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/>
  <mc:AlternateContent xmlns:mc="http://schemas.openxmlformats.org/markup-compatibility/2006">
    <mc:Choice Requires="x15">
      <x15ac:absPath xmlns:x15ac="http://schemas.microsoft.com/office/spreadsheetml/2010/11/ac" url="https://csulb-my.sharepoint.com/personal/tess_monzon_csulb_edu/Documents/Desktop/New folder/"/>
    </mc:Choice>
  </mc:AlternateContent>
  <xr:revisionPtr revIDLastSave="30" documentId="8_{647925D2-A569-44C1-A821-EB05FAC67D41}" xr6:coauthVersionLast="47" xr6:coauthVersionMax="47" xr10:uidLastSave="{F97A12D4-E0A7-4E7E-A93B-702F3A2F4AC4}"/>
  <bookViews>
    <workbookView xWindow="-108" yWindow="-108" windowWidth="23256" windowHeight="12576" tabRatio="821" firstSheet="2" activeTab="2" xr2:uid="{00000000-000D-0000-FFFF-FFFF00000000}"/>
  </bookViews>
  <sheets>
    <sheet name="Interface" sheetId="1" state="hidden" r:id="rId1"/>
    <sheet name="DataSetting" sheetId="2" state="hidden" r:id="rId2"/>
    <sheet name="Summary" sheetId="3" r:id="rId3"/>
    <sheet name="Div 1" sheetId="4" r:id="rId4"/>
    <sheet name="100" sheetId="20" r:id="rId5"/>
    <sheet name="Div 2" sheetId="5" r:id="rId6"/>
    <sheet name="200" sheetId="21" r:id="rId7"/>
    <sheet name="201" sheetId="22" r:id="rId8"/>
    <sheet name="202" sheetId="23" r:id="rId9"/>
    <sheet name="203" sheetId="24" r:id="rId10"/>
    <sheet name="204" sheetId="25" r:id="rId11"/>
    <sheet name="205" sheetId="26" r:id="rId12"/>
    <sheet name="206" sheetId="27" r:id="rId13"/>
    <sheet name="Div 3" sheetId="6" r:id="rId14"/>
    <sheet name="300" sheetId="7" r:id="rId15"/>
    <sheet name="300 &amp; 317" sheetId="8" r:id="rId16"/>
    <sheet name="301" sheetId="28" r:id="rId17"/>
    <sheet name="308" sheetId="10" r:id="rId18"/>
    <sheet name="311" sheetId="31" r:id="rId19"/>
    <sheet name="324" sheetId="38" r:id="rId20"/>
    <sheet name="333" sheetId="13" r:id="rId21"/>
    <sheet name="307" sheetId="29" r:id="rId22"/>
    <sheet name="331" sheetId="11" r:id="rId23"/>
    <sheet name="315" sheetId="33" r:id="rId24"/>
    <sheet name="326" sheetId="40" r:id="rId25"/>
    <sheet name="332" sheetId="12" r:id="rId26"/>
    <sheet name="316" sheetId="34" r:id="rId27"/>
    <sheet name="Div 6" sheetId="19" r:id="rId28"/>
    <sheet name="317" sheetId="35" r:id="rId29"/>
    <sheet name="320" sheetId="36" r:id="rId30"/>
    <sheet name="310" sheetId="9" r:id="rId31"/>
    <sheet name="309" sheetId="30" r:id="rId32"/>
    <sheet name="321" sheetId="37" r:id="rId33"/>
    <sheet name="325" sheetId="39" r:id="rId34"/>
    <sheet name="327" sheetId="41" r:id="rId35"/>
    <sheet name="Div 4" sheetId="14" r:id="rId36"/>
    <sheet name="310 &amp; 491" sheetId="15" r:id="rId37"/>
    <sheet name="491" sheetId="16" r:id="rId38"/>
    <sheet name="405" sheetId="42" r:id="rId39"/>
    <sheet name="406" sheetId="43" r:id="rId40"/>
    <sheet name="411" sheetId="44" r:id="rId41"/>
    <sheet name="412" sheetId="45" r:id="rId42"/>
    <sheet name="413" sheetId="46" r:id="rId43"/>
    <sheet name="414" sheetId="47" r:id="rId44"/>
    <sheet name="415" sheetId="48" r:id="rId45"/>
    <sheet name="418" sheetId="49" r:id="rId46"/>
    <sheet name="423" sheetId="50" r:id="rId47"/>
    <sheet name="424" sheetId="51" r:id="rId48"/>
    <sheet name="425" sheetId="52" r:id="rId49"/>
    <sheet name="492" sheetId="17" r:id="rId50"/>
    <sheet name="430" sheetId="53" r:id="rId51"/>
    <sheet name="433" sheetId="54" r:id="rId52"/>
    <sheet name="435" sheetId="55" r:id="rId53"/>
    <sheet name="444" sheetId="56" r:id="rId54"/>
    <sheet name="450" sheetId="57" r:id="rId55"/>
    <sheet name="Div 5" sheetId="18" r:id="rId56"/>
    <sheet name="501" sheetId="58" r:id="rId57"/>
    <sheet name="Dept" sheetId="59" state="hidden" r:id="rId58"/>
  </sheets>
  <definedNames>
    <definedName name="OSRRefD13x_0" localSheetId="14">'300'!$D$13:$D$19</definedName>
    <definedName name="OSRRefD13x_0" localSheetId="15">'300 &amp; 317'!$D$13:$D$19</definedName>
    <definedName name="OSRRefD13x_0" localSheetId="21">'307'!$D$13:$D$16</definedName>
    <definedName name="OSRRefD13x_0" localSheetId="17">'308'!$D$13:$D$17</definedName>
    <definedName name="OSRRefD13x_0" localSheetId="31">'309'!$D$13:$D$16</definedName>
    <definedName name="OSRRefD13x_0" localSheetId="30">'310'!$D$13:$D$18</definedName>
    <definedName name="OSRRefD13x_0" localSheetId="36">'310 &amp; 491'!$D$13:$D$18</definedName>
    <definedName name="OSRRefD13x_0" localSheetId="18">'311'!$D$13:$D$17</definedName>
    <definedName name="OSRRefD13x_0" localSheetId="23">'315'!$D$13:$D$17</definedName>
    <definedName name="OSRRefD13x_0" localSheetId="26">'316'!$D$13:$D$17</definedName>
    <definedName name="OSRRefD13x_0" localSheetId="28">'317'!$D$13:$D$17</definedName>
    <definedName name="OSRRefD13x_0" localSheetId="32">'321'!$D$13:$D$14</definedName>
    <definedName name="OSRRefD13x_0" localSheetId="19">'324'!$D$13:$D$14</definedName>
    <definedName name="OSRRefD13x_0" localSheetId="33">'325'!$D$13:$D$14</definedName>
    <definedName name="OSRRefD13x_0" localSheetId="24">'326'!$D$13:$D$16</definedName>
    <definedName name="OSRRefD13x_0" localSheetId="34">'327'!$D$13:$D$15</definedName>
    <definedName name="OSRRefD13x_0" localSheetId="22">'331'!$D$13:$D$17</definedName>
    <definedName name="OSRRefD13x_0" localSheetId="25">'332'!$D$13:$D$17</definedName>
    <definedName name="OSRRefD13x_0" localSheetId="20">'333'!$D$13:$D$17</definedName>
    <definedName name="OSRRefD13x_0" localSheetId="38">'405'!$D$13:$D$16</definedName>
    <definedName name="OSRRefD13x_0" localSheetId="44">'415'!$D$13:$D$16</definedName>
    <definedName name="OSRRefD13x_0" localSheetId="45">'418'!$D$13:$D$14</definedName>
    <definedName name="OSRRefD13x_0" localSheetId="48">'425'!$D$13</definedName>
    <definedName name="OSRRefD13x_0" localSheetId="51">'433'!$D$13:$D$16</definedName>
    <definedName name="OSRRefD13x_0" localSheetId="52">'435'!$D$13:$D$14</definedName>
    <definedName name="OSRRefD13x_0" localSheetId="53">'444'!$D$13:$D$16</definedName>
    <definedName name="OSRRefD13x_0" localSheetId="54">'450'!$D$13:$D$16</definedName>
    <definedName name="OSRRefD13x_0" localSheetId="37">'491'!$D$13:$D$17</definedName>
    <definedName name="OSRRefD13x_0" localSheetId="49">'492'!$D$13:$D$18</definedName>
    <definedName name="OSRRefD13x_0" localSheetId="56">'501'!$D$13</definedName>
    <definedName name="OSRRefD13x_0" localSheetId="13">'Div 3'!$D$13:$D$23</definedName>
    <definedName name="OSRRefD13x_0" localSheetId="35">'Div 4'!$D$13:$D$20</definedName>
    <definedName name="OSRRefD13x_0" localSheetId="55">'Div 5'!$D$13</definedName>
    <definedName name="OSRRefD13x_0" localSheetId="27">'Div 6'!$D$13:$D$17</definedName>
    <definedName name="OSRRefD13x_0" localSheetId="2">Summary!$D$13:$D$25</definedName>
    <definedName name="OSRRefD16x_0" localSheetId="14">'300'!$D$22:$D$48</definedName>
    <definedName name="OSRRefD16x_0" localSheetId="15">'300 &amp; 317'!$D$22:$D$54</definedName>
    <definedName name="OSRRefD16x_0" localSheetId="16">'301'!$D$15</definedName>
    <definedName name="OSRRefD16x_0" localSheetId="21">'307'!$D$19:$D$28</definedName>
    <definedName name="OSRRefD16x_0" localSheetId="17">'308'!$D$20:$D$29</definedName>
    <definedName name="OSRRefD16x_0" localSheetId="31">'309'!$D$19:$D$20</definedName>
    <definedName name="OSRRefD16x_0" localSheetId="30">'310'!$D$21:$D$23</definedName>
    <definedName name="OSRRefD16x_0" localSheetId="36">'310 &amp; 491'!$D$21:$D$23</definedName>
    <definedName name="OSRRefD16x_0" localSheetId="18">'311'!$D$20:$D$29</definedName>
    <definedName name="OSRRefD16x_0" localSheetId="23">'315'!$D$20:$D$38</definedName>
    <definedName name="OSRRefD16x_0" localSheetId="26">'316'!$D$20:$D$21</definedName>
    <definedName name="OSRRefD16x_0" localSheetId="28">'317'!$D$20:$D$29</definedName>
    <definedName name="OSRRefD16x_0" localSheetId="32">'321'!$D$17:$D$18</definedName>
    <definedName name="OSRRefD16x_0" localSheetId="19">'324'!$D$17</definedName>
    <definedName name="OSRRefD16x_0" localSheetId="33">'325'!$D$17:$D$19</definedName>
    <definedName name="OSRRefD16x_0" localSheetId="24">'326'!$D$19:$D$22</definedName>
    <definedName name="OSRRefD16x_0" localSheetId="34">'327'!$D$18:$D$20</definedName>
    <definedName name="OSRRefD16x_0" localSheetId="22">'331'!$D$20:$D$38</definedName>
    <definedName name="OSRRefD16x_0" localSheetId="25">'332'!$D$20:$D$21</definedName>
    <definedName name="OSRRefD16x_0" localSheetId="20">'333'!$D$20:$D$40</definedName>
    <definedName name="OSRRefD16x_0" localSheetId="38">'405'!$D$19:$D$21</definedName>
    <definedName name="OSRRefD16x_0" localSheetId="41">'412'!$D$15</definedName>
    <definedName name="OSRRefD16x_0" localSheetId="44">'415'!$D$19:$D$21</definedName>
    <definedName name="OSRRefD16x_0" localSheetId="45">'418'!$D$17:$D$18</definedName>
    <definedName name="OSRRefD16x_0" localSheetId="47">'424'!$D$15</definedName>
    <definedName name="OSRRefD16x_0" localSheetId="48">'425'!$D$16</definedName>
    <definedName name="OSRRefD16x_0" localSheetId="51">'433'!$D$19:$D$21</definedName>
    <definedName name="OSRRefD16x_0" localSheetId="52">'435'!$D$17</definedName>
    <definedName name="OSRRefD16x_0" localSheetId="53">'444'!$D$19:$D$21</definedName>
    <definedName name="OSRRefD16x_0" localSheetId="54">'450'!$D$19:$D$21</definedName>
    <definedName name="OSRRefD16x_0" localSheetId="37">'491'!$D$20:$D$22</definedName>
    <definedName name="OSRRefD16x_0" localSheetId="49">'492'!$D$21:$D$23</definedName>
    <definedName name="OSRRefD16x_0" localSheetId="13">'Div 3'!$D$26:$D$54</definedName>
    <definedName name="OSRRefD16x_0" localSheetId="35">'Div 4'!$D$23:$D$25</definedName>
    <definedName name="OSRRefD16x_0" localSheetId="27">'Div 6'!$D$20:$D$29</definedName>
    <definedName name="OSRRefD16x_0" localSheetId="2">Summary!$D$28:$D$62</definedName>
    <definedName name="OSRRefD22_0x_0" localSheetId="6">'200'!$D$20:$D$21</definedName>
    <definedName name="OSRRefD22_0x_0" localSheetId="7">'201'!$D$20:$D$28</definedName>
    <definedName name="OSRRefD22_0x_0" localSheetId="8">'202'!$D$20:$D$28</definedName>
    <definedName name="OSRRefD22_0x_0" localSheetId="9">'203'!$D$20:$D$29</definedName>
    <definedName name="OSRRefD22_0x_0" localSheetId="10">'204'!$D$20:$D$29</definedName>
    <definedName name="OSRRefD22_0x_0" localSheetId="11">'205'!$D$20:$D$28</definedName>
    <definedName name="OSRRefD22_0x_0" localSheetId="12">'206'!$D$20:$D$28</definedName>
    <definedName name="OSRRefD22_0x_0" localSheetId="14">'300'!$D$54:$D$63</definedName>
    <definedName name="OSRRefD22_0x_0" localSheetId="15">'300 &amp; 317'!$D$60:$D$69</definedName>
    <definedName name="OSRRefD22_0x_0" localSheetId="16">'301'!$D$21:$D$30</definedName>
    <definedName name="OSRRefD22_0x_0" localSheetId="21">'307'!$D$34:$D$42</definedName>
    <definedName name="OSRRefD22_0x_0" localSheetId="17">'308'!$D$35:$D$44</definedName>
    <definedName name="OSRRefD22_0x_0" localSheetId="31">'309'!$D$26:$D$27</definedName>
    <definedName name="OSRRefD22_0x_0" localSheetId="30">'310'!$D$29:$D$38</definedName>
    <definedName name="OSRRefD22_0x_0" localSheetId="36">'310 &amp; 491'!$D$29:$D$38</definedName>
    <definedName name="OSRRefD22_0x_0" localSheetId="18">'311'!$D$35:$D$44</definedName>
    <definedName name="OSRRefD22_0x_0" localSheetId="23">'315'!$D$44:$D$52</definedName>
    <definedName name="OSRRefD22_0x_0" localSheetId="26">'316'!$D$27:$D$35</definedName>
    <definedName name="OSRRefD22_0x_0" localSheetId="28">'317'!$D$35:$D$44</definedName>
    <definedName name="OSRRefD22_0x_0" localSheetId="32">'321'!$D$24:$D$33</definedName>
    <definedName name="OSRRefD22_0x_0" localSheetId="33">'325'!$D$25:$D$33</definedName>
    <definedName name="OSRRefD22_0x_0" localSheetId="24">'326'!$D$28:$D$36</definedName>
    <definedName name="OSRRefD22_0x_0" localSheetId="34">'327'!$D$26</definedName>
    <definedName name="OSRRefD22_0x_0" localSheetId="22">'331'!$D$44:$D$52</definedName>
    <definedName name="OSRRefD22_0x_0" localSheetId="25">'332'!$D$27:$D$35</definedName>
    <definedName name="OSRRefD22_0x_0" localSheetId="20">'333'!$D$46:$D$54</definedName>
    <definedName name="OSRRefD22_0x_0" localSheetId="38">'405'!$D$27:$D$35</definedName>
    <definedName name="OSRRefD22_0x_0" localSheetId="39">'406'!$D$20</definedName>
    <definedName name="OSRRefD22_0x_0" localSheetId="40">'411'!$D$20:$D$28</definedName>
    <definedName name="OSRRefD22_0x_0" localSheetId="41">'412'!$D$21</definedName>
    <definedName name="OSRRefD22_0x_0" localSheetId="42">'413'!$D$20</definedName>
    <definedName name="OSRRefD22_0x_0" localSheetId="43">'414'!$D$20</definedName>
    <definedName name="OSRRefD22_0x_0" localSheetId="44">'415'!$D$27:$D$36</definedName>
    <definedName name="OSRRefD22_0x_0" localSheetId="45">'418'!$D$24:$D$32</definedName>
    <definedName name="OSRRefD22_0x_0" localSheetId="46">'423'!$D$20:$D$27</definedName>
    <definedName name="OSRRefD22_0x_0" localSheetId="47">'424'!$D$21</definedName>
    <definedName name="OSRRefD22_0x_0" localSheetId="48">'425'!$D$22</definedName>
    <definedName name="OSRRefD22_0x_0" localSheetId="50">'430'!$D$20:$D$28</definedName>
    <definedName name="OSRRefD22_0x_0" localSheetId="51">'433'!$D$27:$D$36</definedName>
    <definedName name="OSRRefD22_0x_0" localSheetId="52">'435'!$D$23:$D$24</definedName>
    <definedName name="OSRRefD22_0x_0" localSheetId="53">'444'!$D$27:$D$36</definedName>
    <definedName name="OSRRefD22_0x_0" localSheetId="54">'450'!$D$27:$D$36</definedName>
    <definedName name="OSRRefD22_0x_0" localSheetId="37">'491'!$D$28:$D$37</definedName>
    <definedName name="OSRRefD22_0x_0" localSheetId="49">'492'!$D$29:$D$38</definedName>
    <definedName name="OSRRefD22_0x_0" localSheetId="56">'501'!$D$21:$D$30</definedName>
    <definedName name="OSRRefD22_0x_0" localSheetId="5">'Div 2'!$D$20:$D$30</definedName>
    <definedName name="OSRRefD22_0x_0" localSheetId="13">'Div 3'!$D$60:$D$69</definedName>
    <definedName name="OSRRefD22_0x_0" localSheetId="35">'Div 4'!$D$31:$D$40</definedName>
    <definedName name="OSRRefD22_0x_0" localSheetId="55">'Div 5'!$D$21:$D$30</definedName>
    <definedName name="OSRRefD22_0x_0" localSheetId="27">'Div 6'!$D$35:$D$44</definedName>
    <definedName name="OSRRefD22_0x_0" localSheetId="2">Summary!$D$68:$D$77</definedName>
    <definedName name="OSRRefD22_10x_0" localSheetId="7">'201'!$D$57:$D$59</definedName>
    <definedName name="OSRRefD22_10x_0" localSheetId="8">'202'!$D$59:$D$60</definedName>
    <definedName name="OSRRefD22_10x_0" localSheetId="9">'203'!$D$61:$D$62</definedName>
    <definedName name="OSRRefD22_10x_0" localSheetId="10">'204'!$D$64</definedName>
    <definedName name="OSRRefD22_10x_0" localSheetId="14">'300'!$D$94:$D$95</definedName>
    <definedName name="OSRRefD22_10x_0" localSheetId="15">'300 &amp; 317'!$D$100:$D$101</definedName>
    <definedName name="OSRRefD22_10x_0" localSheetId="16">'301'!$D$61</definedName>
    <definedName name="OSRRefD22_10x_0" localSheetId="21">'307'!$D$73:$D$74</definedName>
    <definedName name="OSRRefD22_10x_0" localSheetId="17">'308'!$D$76:$D$77</definedName>
    <definedName name="OSRRefD22_10x_0" localSheetId="31">'309'!$D$50:$D$51</definedName>
    <definedName name="OSRRefD22_10x_0" localSheetId="30">'310'!$D$68</definedName>
    <definedName name="OSRRefD22_10x_0" localSheetId="36">'310 &amp; 491'!$D$69</definedName>
    <definedName name="OSRRefD22_10x_0" localSheetId="18">'311'!$D$76:$D$77</definedName>
    <definedName name="OSRRefD22_10x_0" localSheetId="23">'315'!$D$82</definedName>
    <definedName name="OSRRefD22_10x_0" localSheetId="26">'316'!$D$67</definedName>
    <definedName name="OSRRefD22_10x_0" localSheetId="28">'317'!$D$74</definedName>
    <definedName name="OSRRefD22_10x_0" localSheetId="32">'321'!$D$66:$D$69</definedName>
    <definedName name="OSRRefD22_10x_0" localSheetId="33">'325'!$D$63</definedName>
    <definedName name="OSRRefD22_10x_0" localSheetId="24">'326'!$D$66</definedName>
    <definedName name="OSRRefD22_10x_0" localSheetId="22">'331'!$D$83</definedName>
    <definedName name="OSRRefD22_10x_0" localSheetId="25">'332'!$D$67</definedName>
    <definedName name="OSRRefD22_10x_0" localSheetId="20">'333'!$D$86</definedName>
    <definedName name="OSRRefD22_10x_0" localSheetId="38">'405'!$D$66:$D$69</definedName>
    <definedName name="OSRRefD22_10x_0" localSheetId="40">'411'!$D$61:$D$63</definedName>
    <definedName name="OSRRefD22_10x_0" localSheetId="44">'415'!$D$66</definedName>
    <definedName name="OSRRefD22_10x_0" localSheetId="45">'418'!$D$67</definedName>
    <definedName name="OSRRefD22_10x_0" localSheetId="51">'433'!$D$65</definedName>
    <definedName name="OSRRefD22_10x_0" localSheetId="53">'444'!$D$65</definedName>
    <definedName name="OSRRefD22_10x_0" localSheetId="54">'450'!$D$65</definedName>
    <definedName name="OSRRefD22_10x_0" localSheetId="37">'491'!$D$68</definedName>
    <definedName name="OSRRefD22_10x_0" localSheetId="49">'492'!$D$67</definedName>
    <definedName name="OSRRefD22_10x_0" localSheetId="56">'501'!$D$62</definedName>
    <definedName name="OSRRefD22_10x_0" localSheetId="5">'Div 2'!$D$60</definedName>
    <definedName name="OSRRefD22_10x_0" localSheetId="13">'Div 3'!$D$100:$D$101</definedName>
    <definedName name="OSRRefD22_10x_0" localSheetId="35">'Div 4'!$D$71</definedName>
    <definedName name="OSRRefD22_10x_0" localSheetId="55">'Div 5'!$D$62</definedName>
    <definedName name="OSRRefD22_10x_0" localSheetId="27">'Div 6'!$D$74</definedName>
    <definedName name="OSRRefD22_10x_0" localSheetId="2">Summary!$D$108:$D$109</definedName>
    <definedName name="OSRRefD22_11x_0" localSheetId="7">'201'!$D$61:$D$62</definedName>
    <definedName name="OSRRefD22_11x_0" localSheetId="8">'202'!$D$62</definedName>
    <definedName name="OSRRefD22_11x_0" localSheetId="9">'203'!$D$64:$D$67</definedName>
    <definedName name="OSRRefD22_11x_0" localSheetId="14">'300'!$D$97:$D$98</definedName>
    <definedName name="OSRRefD22_11x_0" localSheetId="15">'300 &amp; 317'!$D$103:$D$104</definedName>
    <definedName name="OSRRefD22_11x_0" localSheetId="16">'301'!$D$63</definedName>
    <definedName name="OSRRefD22_11x_0" localSheetId="21">'307'!$D$76</definedName>
    <definedName name="OSRRefD22_11x_0" localSheetId="17">'308'!$D$79:$D$80</definedName>
    <definedName name="OSRRefD22_11x_0" localSheetId="31">'309'!$D$53</definedName>
    <definedName name="OSRRefD22_11x_0" localSheetId="30">'310'!$D$70:$D$72</definedName>
    <definedName name="OSRRefD22_11x_0" localSheetId="36">'310 &amp; 491'!$D$71</definedName>
    <definedName name="OSRRefD22_11x_0" localSheetId="18">'311'!$D$79:$D$80</definedName>
    <definedName name="OSRRefD22_11x_0" localSheetId="23">'315'!$D$84</definedName>
    <definedName name="OSRRefD22_11x_0" localSheetId="26">'316'!$D$69:$D$73</definedName>
    <definedName name="OSRRefD22_11x_0" localSheetId="32">'321'!$D$71</definedName>
    <definedName name="OSRRefD22_11x_0" localSheetId="33">'325'!$D$65:$D$67</definedName>
    <definedName name="OSRRefD22_11x_0" localSheetId="24">'326'!$D$68:$D$69</definedName>
    <definedName name="OSRRefD22_11x_0" localSheetId="22">'331'!$D$85</definedName>
    <definedName name="OSRRefD22_11x_0" localSheetId="25">'332'!$D$69:$D$73</definedName>
    <definedName name="OSRRefD22_11x_0" localSheetId="20">'333'!$D$88</definedName>
    <definedName name="OSRRefD22_11x_0" localSheetId="38">'405'!$D$71</definedName>
    <definedName name="OSRRefD22_11x_0" localSheetId="40">'411'!$D$65</definedName>
    <definedName name="OSRRefD22_11x_0" localSheetId="44">'415'!$D$68:$D$69</definedName>
    <definedName name="OSRRefD22_11x_0" localSheetId="45">'418'!$D$69:$D$77</definedName>
    <definedName name="OSRRefD22_11x_0" localSheetId="51">'433'!$D$67:$D$69</definedName>
    <definedName name="OSRRefD22_11x_0" localSheetId="53">'444'!$D$67:$D$68</definedName>
    <definedName name="OSRRefD22_11x_0" localSheetId="54">'450'!$D$67:$D$69</definedName>
    <definedName name="OSRRefD22_11x_0" localSheetId="37">'491'!$D$70</definedName>
    <definedName name="OSRRefD22_11x_0" localSheetId="49">'492'!$D$69</definedName>
    <definedName name="OSRRefD22_11x_0" localSheetId="56">'501'!$D$64:$D$66</definedName>
    <definedName name="OSRRefD22_11x_0" localSheetId="5">'Div 2'!$D$62</definedName>
    <definedName name="OSRRefD22_11x_0" localSheetId="13">'Div 3'!$D$103:$D$104</definedName>
    <definedName name="OSRRefD22_11x_0" localSheetId="35">'Div 4'!$D$73</definedName>
    <definedName name="OSRRefD22_11x_0" localSheetId="55">'Div 5'!$D$64:$D$66</definedName>
    <definedName name="OSRRefD22_11x_0" localSheetId="2">Summary!$D$111:$D$113</definedName>
    <definedName name="OSRRefD22_12x_0" localSheetId="7">'201'!$D$64</definedName>
    <definedName name="OSRRefD22_12x_0" localSheetId="8">'202'!$D$64</definedName>
    <definedName name="OSRRefD22_12x_0" localSheetId="9">'203'!$D$69</definedName>
    <definedName name="OSRRefD22_12x_0" localSheetId="14">'300'!$D$100</definedName>
    <definedName name="OSRRefD22_12x_0" localSheetId="15">'300 &amp; 317'!$D$106</definedName>
    <definedName name="OSRRefD22_12x_0" localSheetId="16">'301'!$D$65</definedName>
    <definedName name="OSRRefD22_12x_0" localSheetId="21">'307'!$D$78:$D$81</definedName>
    <definedName name="OSRRefD22_12x_0" localSheetId="17">'308'!$D$82:$D$83</definedName>
    <definedName name="OSRRefD22_12x_0" localSheetId="31">'309'!$D$55</definedName>
    <definedName name="OSRRefD22_12x_0" localSheetId="30">'310'!$D$74:$D$75</definedName>
    <definedName name="OSRRefD22_12x_0" localSheetId="36">'310 &amp; 491'!$D$73</definedName>
    <definedName name="OSRRefD22_12x_0" localSheetId="18">'311'!$D$82:$D$83</definedName>
    <definedName name="OSRRefD22_12x_0" localSheetId="23">'315'!$D$86:$D$87</definedName>
    <definedName name="OSRRefD22_12x_0" localSheetId="26">'316'!$D$75</definedName>
    <definedName name="OSRRefD22_12x_0" localSheetId="32">'321'!$D$73</definedName>
    <definedName name="OSRRefD22_12x_0" localSheetId="33">'325'!$D$69:$D$71</definedName>
    <definedName name="OSRRefD22_12x_0" localSheetId="24">'326'!$D$71:$D$72</definedName>
    <definedName name="OSRRefD22_12x_0" localSheetId="22">'331'!$D$87</definedName>
    <definedName name="OSRRefD22_12x_0" localSheetId="25">'332'!$D$75</definedName>
    <definedName name="OSRRefD22_12x_0" localSheetId="20">'333'!$D$90</definedName>
    <definedName name="OSRRefD22_12x_0" localSheetId="38">'405'!$D$73:$D$81</definedName>
    <definedName name="OSRRefD22_12x_0" localSheetId="40">'411'!$D$67:$D$68</definedName>
    <definedName name="OSRRefD22_12x_0" localSheetId="44">'415'!$D$71:$D$74</definedName>
    <definedName name="OSRRefD22_12x_0" localSheetId="45">'418'!$D$79:$D$80</definedName>
    <definedName name="OSRRefD22_12x_0" localSheetId="51">'433'!$D$71:$D$74</definedName>
    <definedName name="OSRRefD22_12x_0" localSheetId="53">'444'!$D$70:$D$73</definedName>
    <definedName name="OSRRefD22_12x_0" localSheetId="54">'450'!$D$71:$D$74</definedName>
    <definedName name="OSRRefD22_12x_0" localSheetId="37">'491'!$D$72</definedName>
    <definedName name="OSRRefD22_12x_0" localSheetId="49">'492'!$D$71:$D$73</definedName>
    <definedName name="OSRRefD22_12x_0" localSheetId="56">'501'!$D$68</definedName>
    <definedName name="OSRRefD22_12x_0" localSheetId="5">'Div 2'!$D$64:$D$67</definedName>
    <definedName name="OSRRefD22_12x_0" localSheetId="13">'Div 3'!$D$106</definedName>
    <definedName name="OSRRefD22_12x_0" localSheetId="35">'Div 4'!$D$75</definedName>
    <definedName name="OSRRefD22_12x_0" localSheetId="55">'Div 5'!$D$68</definedName>
    <definedName name="OSRRefD22_12x_0" localSheetId="2">Summary!$D$115</definedName>
    <definedName name="OSRRefD22_13x_0" localSheetId="7">'201'!$D$66:$D$67</definedName>
    <definedName name="OSRRefD22_13x_0" localSheetId="8">'202'!$D$66</definedName>
    <definedName name="OSRRefD22_13x_0" localSheetId="9">'203'!$D$71</definedName>
    <definedName name="OSRRefD22_13x_0" localSheetId="14">'300'!$D$102</definedName>
    <definedName name="OSRRefD22_13x_0" localSheetId="15">'300 &amp; 317'!$D$108</definedName>
    <definedName name="OSRRefD22_13x_0" localSheetId="16">'301'!$D$67</definedName>
    <definedName name="OSRRefD22_13x_0" localSheetId="21">'307'!$D$83</definedName>
    <definedName name="OSRRefD22_13x_0" localSheetId="17">'308'!$D$85</definedName>
    <definedName name="OSRRefD22_13x_0" localSheetId="30">'310'!$D$77:$D$79</definedName>
    <definedName name="OSRRefD22_13x_0" localSheetId="36">'310 &amp; 491'!$D$75:$D$78</definedName>
    <definedName name="OSRRefD22_13x_0" localSheetId="18">'311'!$D$85</definedName>
    <definedName name="OSRRefD22_13x_0" localSheetId="23">'315'!$D$89:$D$91</definedName>
    <definedName name="OSRRefD22_13x_0" localSheetId="32">'321'!$D$75</definedName>
    <definedName name="OSRRefD22_13x_0" localSheetId="33">'325'!$D$73:$D$78</definedName>
    <definedName name="OSRRefD22_13x_0" localSheetId="24">'326'!$D$74:$D$75</definedName>
    <definedName name="OSRRefD22_13x_0" localSheetId="22">'331'!$D$89</definedName>
    <definedName name="OSRRefD22_13x_0" localSheetId="20">'333'!$D$92</definedName>
    <definedName name="OSRRefD22_13x_0" localSheetId="38">'405'!$D$83</definedName>
    <definedName name="OSRRefD22_13x_0" localSheetId="40">'411'!$D$70</definedName>
    <definedName name="OSRRefD22_13x_0" localSheetId="44">'415'!$D$76</definedName>
    <definedName name="OSRRefD22_13x_0" localSheetId="45">'418'!$D$82</definedName>
    <definedName name="OSRRefD22_13x_0" localSheetId="51">'433'!$D$76:$D$83</definedName>
    <definedName name="OSRRefD22_13x_0" localSheetId="53">'444'!$D$75</definedName>
    <definedName name="OSRRefD22_13x_0" localSheetId="54">'450'!$D$76:$D$82</definedName>
    <definedName name="OSRRefD22_13x_0" localSheetId="37">'491'!$D$74:$D$77</definedName>
    <definedName name="OSRRefD22_13x_0" localSheetId="49">'492'!$D$75:$D$78</definedName>
    <definedName name="OSRRefD22_13x_0" localSheetId="56">'501'!$D$70</definedName>
    <definedName name="OSRRefD22_13x_0" localSheetId="5">'Div 2'!$D$69:$D$72</definedName>
    <definedName name="OSRRefD22_13x_0" localSheetId="13">'Div 3'!$D$108</definedName>
    <definedName name="OSRRefD22_13x_0" localSheetId="35">'Div 4'!$D$77</definedName>
    <definedName name="OSRRefD22_13x_0" localSheetId="55">'Div 5'!$D$70</definedName>
    <definedName name="OSRRefD22_13x_0" localSheetId="2">Summary!$D$117</definedName>
    <definedName name="OSRRefD22_14x_0" localSheetId="7">'201'!$D$69</definedName>
    <definedName name="OSRRefD22_14x_0" localSheetId="9">'203'!$D$73</definedName>
    <definedName name="OSRRefD22_14x_0" localSheetId="14">'300'!$D$104</definedName>
    <definedName name="OSRRefD22_14x_0" localSheetId="15">'300 &amp; 317'!$D$110</definedName>
    <definedName name="OSRRefD22_14x_0" localSheetId="16">'301'!$D$69</definedName>
    <definedName name="OSRRefD22_14x_0" localSheetId="30">'310'!$D$81:$D$86</definedName>
    <definedName name="OSRRefD22_14x_0" localSheetId="36">'310 &amp; 491'!$D$80:$D$81</definedName>
    <definedName name="OSRRefD22_14x_0" localSheetId="23">'315'!$D$93:$D$94</definedName>
    <definedName name="OSRRefD22_14x_0" localSheetId="33">'325'!$D$80:$D$81</definedName>
    <definedName name="OSRRefD22_14x_0" localSheetId="24">'326'!$D$77:$D$79</definedName>
    <definedName name="OSRRefD22_14x_0" localSheetId="22">'331'!$D$91:$D$92</definedName>
    <definedName name="OSRRefD22_14x_0" localSheetId="20">'333'!$D$94:$D$95</definedName>
    <definedName name="OSRRefD22_14x_0" localSheetId="38">'405'!$D$85</definedName>
    <definedName name="OSRRefD22_14x_0" localSheetId="40">'411'!$D$72</definedName>
    <definedName name="OSRRefD22_14x_0" localSheetId="44">'415'!$D$78:$D$85</definedName>
    <definedName name="OSRRefD22_14x_0" localSheetId="45">'418'!$D$84</definedName>
    <definedName name="OSRRefD22_14x_0" localSheetId="51">'433'!$D$85</definedName>
    <definedName name="OSRRefD22_14x_0" localSheetId="53">'444'!$D$77:$D$85</definedName>
    <definedName name="OSRRefD22_14x_0" localSheetId="54">'450'!$D$84</definedName>
    <definedName name="OSRRefD22_14x_0" localSheetId="37">'491'!$D$79</definedName>
    <definedName name="OSRRefD22_14x_0" localSheetId="49">'492'!$D$80</definedName>
    <definedName name="OSRRefD22_14x_0" localSheetId="5">'Div 2'!$D$74:$D$75</definedName>
    <definedName name="OSRRefD22_14x_0" localSheetId="13">'Div 3'!$D$110</definedName>
    <definedName name="OSRRefD22_14x_0" localSheetId="35">'Div 4'!$D$79</definedName>
    <definedName name="OSRRefD22_14x_0" localSheetId="2">Summary!$D$119</definedName>
    <definedName name="OSRRefD22_15x_0" localSheetId="7">'201'!$D$71</definedName>
    <definedName name="OSRRefD22_15x_0" localSheetId="14">'300'!$D$106</definedName>
    <definedName name="OSRRefD22_15x_0" localSheetId="15">'300 &amp; 317'!$D$112</definedName>
    <definedName name="OSRRefD22_15x_0" localSheetId="16">'301'!$D$71:$D$74</definedName>
    <definedName name="OSRRefD22_15x_0" localSheetId="30">'310'!$D$88:$D$89</definedName>
    <definedName name="OSRRefD22_15x_0" localSheetId="36">'310 &amp; 491'!$D$83:$D$87</definedName>
    <definedName name="OSRRefD22_15x_0" localSheetId="23">'315'!$D$96:$D$99</definedName>
    <definedName name="OSRRefD22_15x_0" localSheetId="33">'325'!$D$83</definedName>
    <definedName name="OSRRefD22_15x_0" localSheetId="24">'326'!$D$81</definedName>
    <definedName name="OSRRefD22_15x_0" localSheetId="22">'331'!$D$94:$D$96</definedName>
    <definedName name="OSRRefD22_15x_0" localSheetId="20">'333'!$D$97:$D$99</definedName>
    <definedName name="OSRRefD22_15x_0" localSheetId="38">'405'!$D$87</definedName>
    <definedName name="OSRRefD22_15x_0" localSheetId="40">'411'!$D$74:$D$75</definedName>
    <definedName name="OSRRefD22_15x_0" localSheetId="44">'415'!$D$87:$D$88</definedName>
    <definedName name="OSRRefD22_15x_0" localSheetId="45">'418'!$D$86</definedName>
    <definedName name="OSRRefD22_15x_0" localSheetId="51">'433'!$D$87</definedName>
    <definedName name="OSRRefD22_15x_0" localSheetId="53">'444'!$D$87</definedName>
    <definedName name="OSRRefD22_15x_0" localSheetId="54">'450'!$D$86</definedName>
    <definedName name="OSRRefD22_15x_0" localSheetId="37">'491'!$D$81:$D$85</definedName>
    <definedName name="OSRRefD22_15x_0" localSheetId="49">'492'!$D$82:$D$90</definedName>
    <definedName name="OSRRefD22_15x_0" localSheetId="5">'Div 2'!$D$77:$D$78</definedName>
    <definedName name="OSRRefD22_15x_0" localSheetId="13">'Div 3'!$D$112</definedName>
    <definedName name="OSRRefD22_15x_0" localSheetId="35">'Div 4'!$D$81:$D$84</definedName>
    <definedName name="OSRRefD22_15x_0" localSheetId="2">Summary!$D$121</definedName>
    <definedName name="OSRRefD22_16x_0" localSheetId="7">'201'!$D$73</definedName>
    <definedName name="OSRRefD22_16x_0" localSheetId="14">'300'!$D$108:$D$111</definedName>
    <definedName name="OSRRefD22_16x_0" localSheetId="15">'300 &amp; 317'!$D$114:$D$117</definedName>
    <definedName name="OSRRefD22_16x_0" localSheetId="16">'301'!$D$76:$D$77</definedName>
    <definedName name="OSRRefD22_16x_0" localSheetId="30">'310'!$D$91</definedName>
    <definedName name="OSRRefD22_16x_0" localSheetId="36">'310 &amp; 491'!$D$89</definedName>
    <definedName name="OSRRefD22_16x_0" localSheetId="23">'315'!$D$101</definedName>
    <definedName name="OSRRefD22_16x_0" localSheetId="33">'325'!$D$85</definedName>
    <definedName name="OSRRefD22_16x_0" localSheetId="24">'326'!$D$83:$D$84</definedName>
    <definedName name="OSRRefD22_16x_0" localSheetId="22">'331'!$D$98:$D$99</definedName>
    <definedName name="OSRRefD22_16x_0" localSheetId="20">'333'!$D$101:$D$103</definedName>
    <definedName name="OSRRefD22_16x_0" localSheetId="38">'405'!$D$89</definedName>
    <definedName name="OSRRefD22_16x_0" localSheetId="40">'411'!$D$77</definedName>
    <definedName name="OSRRefD22_16x_0" localSheetId="44">'415'!$D$90</definedName>
    <definedName name="OSRRefD22_16x_0" localSheetId="53">'444'!$D$89</definedName>
    <definedName name="OSRRefD22_16x_0" localSheetId="54">'450'!$D$88</definedName>
    <definedName name="OSRRefD22_16x_0" localSheetId="37">'491'!$D$87</definedName>
    <definedName name="OSRRefD22_16x_0" localSheetId="49">'492'!$D$92:$D$93</definedName>
    <definedName name="OSRRefD22_16x_0" localSheetId="5">'Div 2'!$D$80:$D$85</definedName>
    <definedName name="OSRRefD22_16x_0" localSheetId="13">'Div 3'!$D$114</definedName>
    <definedName name="OSRRefD22_16x_0" localSheetId="35">'Div 4'!$D$86</definedName>
    <definedName name="OSRRefD22_16x_0" localSheetId="2">Summary!$D$123</definedName>
    <definedName name="OSRRefD22_17x_0" localSheetId="14">'300'!$D$113:$D$116</definedName>
    <definedName name="OSRRefD22_17x_0" localSheetId="15">'300 &amp; 317'!$D$119:$D$122</definedName>
    <definedName name="OSRRefD22_17x_0" localSheetId="16">'301'!$D$79</definedName>
    <definedName name="OSRRefD22_17x_0" localSheetId="30">'310'!$D$93</definedName>
    <definedName name="OSRRefD22_17x_0" localSheetId="36">'310 &amp; 491'!$D$91:$D$100</definedName>
    <definedName name="OSRRefD22_17x_0" localSheetId="23">'315'!$D$103</definedName>
    <definedName name="OSRRefD22_17x_0" localSheetId="24">'326'!$D$86</definedName>
    <definedName name="OSRRefD22_17x_0" localSheetId="22">'331'!$D$101:$D$102</definedName>
    <definedName name="OSRRefD22_17x_0" localSheetId="20">'333'!$D$105:$D$106</definedName>
    <definedName name="OSRRefD22_17x_0" localSheetId="44">'415'!$D$92</definedName>
    <definedName name="OSRRefD22_17x_0" localSheetId="37">'491'!$D$89:$D$98</definedName>
    <definedName name="OSRRefD22_17x_0" localSheetId="49">'492'!$D$95</definedName>
    <definedName name="OSRRefD22_17x_0" localSheetId="5">'Div 2'!$D$87:$D$88</definedName>
    <definedName name="OSRRefD22_17x_0" localSheetId="13">'Div 3'!$D$116:$D$119</definedName>
    <definedName name="OSRRefD22_17x_0" localSheetId="35">'Div 4'!$D$88:$D$92</definedName>
    <definedName name="OSRRefD22_17x_0" localSheetId="2">Summary!$D$125</definedName>
    <definedName name="OSRRefD22_18x_0" localSheetId="14">'300'!$D$118:$D$120</definedName>
    <definedName name="OSRRefD22_18x_0" localSheetId="15">'300 &amp; 317'!$D$124:$D$126</definedName>
    <definedName name="OSRRefD22_18x_0" localSheetId="16">'301'!$D$81:$D$86</definedName>
    <definedName name="OSRRefD22_18x_0" localSheetId="36">'310 &amp; 491'!$D$102:$D$103</definedName>
    <definedName name="OSRRefD22_18x_0" localSheetId="23">'315'!$D$105</definedName>
    <definedName name="OSRRefD22_18x_0" localSheetId="22">'331'!$D$104:$D$108</definedName>
    <definedName name="OSRRefD22_18x_0" localSheetId="20">'333'!$D$108:$D$113</definedName>
    <definedName name="OSRRefD22_18x_0" localSheetId="37">'491'!$D$100:$D$101</definedName>
    <definedName name="OSRRefD22_18x_0" localSheetId="49">'492'!$D$97:$D$98</definedName>
    <definedName name="OSRRefD22_18x_0" localSheetId="5">'Div 2'!$D$90</definedName>
    <definedName name="OSRRefD22_18x_0" localSheetId="13">'Div 3'!$D$121:$D$124</definedName>
    <definedName name="OSRRefD22_18x_0" localSheetId="35">'Div 4'!$D$94:$D$95</definedName>
    <definedName name="OSRRefD22_18x_0" localSheetId="2">Summary!$D$127:$D$130</definedName>
    <definedName name="OSRRefD22_19x_0" localSheetId="14">'300'!$D$122:$D$123</definedName>
    <definedName name="OSRRefD22_19x_0" localSheetId="15">'300 &amp; 317'!$D$128:$D$129</definedName>
    <definedName name="OSRRefD22_19x_0" localSheetId="16">'301'!$D$88</definedName>
    <definedName name="OSRRefD22_19x_0" localSheetId="36">'310 &amp; 491'!$D$105</definedName>
    <definedName name="OSRRefD22_19x_0" localSheetId="22">'331'!$D$110</definedName>
    <definedName name="OSRRefD22_19x_0" localSheetId="20">'333'!$D$115</definedName>
    <definedName name="OSRRefD22_19x_0" localSheetId="37">'491'!$D$103</definedName>
    <definedName name="OSRRefD22_19x_0" localSheetId="5">'Div 2'!$D$92:$D$93</definedName>
    <definedName name="OSRRefD22_19x_0" localSheetId="13">'Div 3'!$D$126:$D$129</definedName>
    <definedName name="OSRRefD22_19x_0" localSheetId="35">'Div 4'!$D$97:$D$106</definedName>
    <definedName name="OSRRefD22_19x_0" localSheetId="2">Summary!$D$132:$D$135</definedName>
    <definedName name="OSRRefD22_1x_0" localSheetId="6">'200'!$D$23</definedName>
    <definedName name="OSRRefD22_1x_0" localSheetId="7">'201'!$D$30:$D$39</definedName>
    <definedName name="OSRRefD22_1x_0" localSheetId="8">'202'!$D$30:$D$39</definedName>
    <definedName name="OSRRefD22_1x_0" localSheetId="9">'203'!$D$31:$D$40</definedName>
    <definedName name="OSRRefD22_1x_0" localSheetId="10">'204'!$D$31:$D$40</definedName>
    <definedName name="OSRRefD22_1x_0" localSheetId="11">'205'!$D$30:$D$39</definedName>
    <definedName name="OSRRefD22_1x_0" localSheetId="12">'206'!$D$30:$D$39</definedName>
    <definedName name="OSRRefD22_1x_0" localSheetId="14">'300'!$D$65:$D$74</definedName>
    <definedName name="OSRRefD22_1x_0" localSheetId="15">'300 &amp; 317'!$D$71:$D$80</definedName>
    <definedName name="OSRRefD22_1x_0" localSheetId="16">'301'!$D$32:$D$41</definedName>
    <definedName name="OSRRefD22_1x_0" localSheetId="21">'307'!$D$44:$D$53</definedName>
    <definedName name="OSRRefD22_1x_0" localSheetId="17">'308'!$D$46:$D$55</definedName>
    <definedName name="OSRRefD22_1x_0" localSheetId="31">'309'!$D$29:$D$30</definedName>
    <definedName name="OSRRefD22_1x_0" localSheetId="30">'310'!$D$40:$D$49</definedName>
    <definedName name="OSRRefD22_1x_0" localSheetId="36">'310 &amp; 491'!$D$40:$D$49</definedName>
    <definedName name="OSRRefD22_1x_0" localSheetId="18">'311'!$D$46:$D$55</definedName>
    <definedName name="OSRRefD22_1x_0" localSheetId="23">'315'!$D$54:$D$63</definedName>
    <definedName name="OSRRefD22_1x_0" localSheetId="26">'316'!$D$37:$D$46</definedName>
    <definedName name="OSRRefD22_1x_0" localSheetId="28">'317'!$D$46:$D$55</definedName>
    <definedName name="OSRRefD22_1x_0" localSheetId="32">'321'!$D$35:$D$44</definedName>
    <definedName name="OSRRefD22_1x_0" localSheetId="33">'325'!$D$35:$D$44</definedName>
    <definedName name="OSRRefD22_1x_0" localSheetId="24">'326'!$D$38:$D$47</definedName>
    <definedName name="OSRRefD22_1x_0" localSheetId="34">'327'!$D$28</definedName>
    <definedName name="OSRRefD22_1x_0" localSheetId="22">'331'!$D$54:$D$63</definedName>
    <definedName name="OSRRefD22_1x_0" localSheetId="25">'332'!$D$37:$D$46</definedName>
    <definedName name="OSRRefD22_1x_0" localSheetId="20">'333'!$D$56:$D$65</definedName>
    <definedName name="OSRRefD22_1x_0" localSheetId="38">'405'!$D$37:$D$46</definedName>
    <definedName name="OSRRefD22_1x_0" localSheetId="39">'406'!$D$22</definedName>
    <definedName name="OSRRefD22_1x_0" localSheetId="40">'411'!$D$30:$D$39</definedName>
    <definedName name="OSRRefD22_1x_0" localSheetId="41">'412'!$D$23</definedName>
    <definedName name="OSRRefD22_1x_0" localSheetId="42">'413'!$D$22</definedName>
    <definedName name="OSRRefD22_1x_0" localSheetId="43">'414'!$D$22</definedName>
    <definedName name="OSRRefD22_1x_0" localSheetId="44">'415'!$D$38:$D$47</definedName>
    <definedName name="OSRRefD22_1x_0" localSheetId="45">'418'!$D$34:$D$43</definedName>
    <definedName name="OSRRefD22_1x_0" localSheetId="46">'423'!$D$29:$D$38</definedName>
    <definedName name="OSRRefD22_1x_0" localSheetId="47">'424'!$D$23</definedName>
    <definedName name="OSRRefD22_1x_0" localSheetId="48">'425'!$D$24</definedName>
    <definedName name="OSRRefD22_1x_0" localSheetId="50">'430'!$D$30:$D$39</definedName>
    <definedName name="OSRRefD22_1x_0" localSheetId="51">'433'!$D$38:$D$47</definedName>
    <definedName name="OSRRefD22_1x_0" localSheetId="52">'435'!$D$26</definedName>
    <definedName name="OSRRefD22_1x_0" localSheetId="53">'444'!$D$38:$D$47</definedName>
    <definedName name="OSRRefD22_1x_0" localSheetId="54">'450'!$D$38:$D$47</definedName>
    <definedName name="OSRRefD22_1x_0" localSheetId="37">'491'!$D$39:$D$48</definedName>
    <definedName name="OSRRefD22_1x_0" localSheetId="49">'492'!$D$40:$D$49</definedName>
    <definedName name="OSRRefD22_1x_0" localSheetId="56">'501'!$D$32:$D$41</definedName>
    <definedName name="OSRRefD22_1x_0" localSheetId="5">'Div 2'!$D$32:$D$41</definedName>
    <definedName name="OSRRefD22_1x_0" localSheetId="13">'Div 3'!$D$71:$D$80</definedName>
    <definedName name="OSRRefD22_1x_0" localSheetId="35">'Div 4'!$D$42:$D$51</definedName>
    <definedName name="OSRRefD22_1x_0" localSheetId="55">'Div 5'!$D$32:$D$41</definedName>
    <definedName name="OSRRefD22_1x_0" localSheetId="27">'Div 6'!$D$46:$D$55</definedName>
    <definedName name="OSRRefD22_1x_0" localSheetId="2">Summary!$D$79:$D$88</definedName>
    <definedName name="OSRRefD22_20x_0" localSheetId="14">'300'!$D$125:$D$131</definedName>
    <definedName name="OSRRefD22_20x_0" localSheetId="15">'300 &amp; 317'!$D$131:$D$137</definedName>
    <definedName name="OSRRefD22_20x_0" localSheetId="16">'301'!$D$90</definedName>
    <definedName name="OSRRefD22_20x_0" localSheetId="36">'310 &amp; 491'!$D$107:$D$108</definedName>
    <definedName name="OSRRefD22_20x_0" localSheetId="22">'331'!$D$112</definedName>
    <definedName name="OSRRefD22_20x_0" localSheetId="20">'333'!$D$117</definedName>
    <definedName name="OSRRefD22_20x_0" localSheetId="37">'491'!$D$105:$D$106</definedName>
    <definedName name="OSRRefD22_20x_0" localSheetId="13">'Div 3'!$D$131:$D$132</definedName>
    <definedName name="OSRRefD22_20x_0" localSheetId="35">'Div 4'!$D$108:$D$109</definedName>
    <definedName name="OSRRefD22_20x_0" localSheetId="2">Summary!$D$137:$D$141</definedName>
    <definedName name="OSRRefD22_21x_0" localSheetId="14">'300'!$D$133:$D$134</definedName>
    <definedName name="OSRRefD22_21x_0" localSheetId="15">'300 &amp; 317'!$D$139:$D$140</definedName>
    <definedName name="OSRRefD22_21x_0" localSheetId="16">'301'!$D$92:$D$94</definedName>
    <definedName name="OSRRefD22_21x_0" localSheetId="36">'310 &amp; 491'!$D$110</definedName>
    <definedName name="OSRRefD22_21x_0" localSheetId="22">'331'!$D$114:$D$115</definedName>
    <definedName name="OSRRefD22_21x_0" localSheetId="20">'333'!$D$119:$D$120</definedName>
    <definedName name="OSRRefD22_21x_0" localSheetId="37">'491'!$D$108</definedName>
    <definedName name="OSRRefD22_21x_0" localSheetId="13">'Div 3'!$D$134:$D$140</definedName>
    <definedName name="OSRRefD22_21x_0" localSheetId="35">'Div 4'!$D$111</definedName>
    <definedName name="OSRRefD22_21x_0" localSheetId="2">Summary!$D$143:$D$144</definedName>
    <definedName name="OSRRefD22_22x_0" localSheetId="14">'300'!$D$136</definedName>
    <definedName name="OSRRefD22_22x_0" localSheetId="15">'300 &amp; 317'!$D$142</definedName>
    <definedName name="OSRRefD22_22x_0" localSheetId="16">'301'!$D$96</definedName>
    <definedName name="OSRRefD22_22x_0" localSheetId="22">'331'!$D$117</definedName>
    <definedName name="OSRRefD22_22x_0" localSheetId="20">'333'!$D$122</definedName>
    <definedName name="OSRRefD22_22x_0" localSheetId="13">'Div 3'!$D$142:$D$143</definedName>
    <definedName name="OSRRefD22_22x_0" localSheetId="35">'Div 4'!$D$113:$D$114</definedName>
    <definedName name="OSRRefD22_22x_0" localSheetId="2">Summary!$D$146:$D$155</definedName>
    <definedName name="OSRRefD22_23x_0" localSheetId="14">'300'!$D$138:$D$140</definedName>
    <definedName name="OSRRefD22_23x_0" localSheetId="15">'300 &amp; 317'!$D$144:$D$146</definedName>
    <definedName name="OSRRefD22_23x_0" localSheetId="13">'Div 3'!$D$145</definedName>
    <definedName name="OSRRefD22_23x_0" localSheetId="35">'Div 4'!$D$116</definedName>
    <definedName name="OSRRefD22_23x_0" localSheetId="2">Summary!$D$157:$D$158</definedName>
    <definedName name="OSRRefD22_24x_0" localSheetId="14">'300'!$D$142</definedName>
    <definedName name="OSRRefD22_24x_0" localSheetId="15">'300 &amp; 317'!$D$148</definedName>
    <definedName name="OSRRefD22_24x_0" localSheetId="13">'Div 3'!$D$147:$D$149</definedName>
    <definedName name="OSRRefD22_24x_0" localSheetId="2">Summary!$D$160</definedName>
    <definedName name="OSRRefD22_25x_0" localSheetId="13">'Div 3'!$D$151</definedName>
    <definedName name="OSRRefD22_25x_0" localSheetId="2">Summary!$D$162:$D$164</definedName>
    <definedName name="OSRRefD22_26x_0" localSheetId="2">Summary!$D$166</definedName>
    <definedName name="OSRRefD22_2x_0" localSheetId="6">'200'!$D$25</definedName>
    <definedName name="OSRRefD22_2x_0" localSheetId="7">'201'!$D$41</definedName>
    <definedName name="OSRRefD22_2x_0" localSheetId="8">'202'!$D$41</definedName>
    <definedName name="OSRRefD22_2x_0" localSheetId="9">'203'!$D$42</definedName>
    <definedName name="OSRRefD22_2x_0" localSheetId="10">'204'!$D$42</definedName>
    <definedName name="OSRRefD22_2x_0" localSheetId="11">'205'!$D$41</definedName>
    <definedName name="OSRRefD22_2x_0" localSheetId="12">'206'!$D$41</definedName>
    <definedName name="OSRRefD22_2x_0" localSheetId="14">'300'!$D$76</definedName>
    <definedName name="OSRRefD22_2x_0" localSheetId="15">'300 &amp; 317'!$D$82</definedName>
    <definedName name="OSRRefD22_2x_0" localSheetId="16">'301'!$D$43</definedName>
    <definedName name="OSRRefD22_2x_0" localSheetId="21">'307'!$D$55</definedName>
    <definedName name="OSRRefD22_2x_0" localSheetId="17">'308'!$D$57</definedName>
    <definedName name="OSRRefD22_2x_0" localSheetId="31">'309'!$D$32</definedName>
    <definedName name="OSRRefD22_2x_0" localSheetId="30">'310'!$D$51</definedName>
    <definedName name="OSRRefD22_2x_0" localSheetId="36">'310 &amp; 491'!$D$51</definedName>
    <definedName name="OSRRefD22_2x_0" localSheetId="18">'311'!$D$57</definedName>
    <definedName name="OSRRefD22_2x_0" localSheetId="23">'315'!$D$65</definedName>
    <definedName name="OSRRefD22_2x_0" localSheetId="26">'316'!$D$48</definedName>
    <definedName name="OSRRefD22_2x_0" localSheetId="28">'317'!$D$57</definedName>
    <definedName name="OSRRefD22_2x_0" localSheetId="32">'321'!$D$46</definedName>
    <definedName name="OSRRefD22_2x_0" localSheetId="33">'325'!$D$46</definedName>
    <definedName name="OSRRefD22_2x_0" localSheetId="24">'326'!$D$49</definedName>
    <definedName name="OSRRefD22_2x_0" localSheetId="22">'331'!$D$65</definedName>
    <definedName name="OSRRefD22_2x_0" localSheetId="25">'332'!$D$48</definedName>
    <definedName name="OSRRefD22_2x_0" localSheetId="20">'333'!$D$67</definedName>
    <definedName name="OSRRefD22_2x_0" localSheetId="38">'405'!$D$48</definedName>
    <definedName name="OSRRefD22_2x_0" localSheetId="40">'411'!$D$41</definedName>
    <definedName name="OSRRefD22_2x_0" localSheetId="41">'412'!$D$25</definedName>
    <definedName name="OSRRefD22_2x_0" localSheetId="42">'413'!$D$24</definedName>
    <definedName name="OSRRefD22_2x_0" localSheetId="43">'414'!$D$24</definedName>
    <definedName name="OSRRefD22_2x_0" localSheetId="44">'415'!$D$49</definedName>
    <definedName name="OSRRefD22_2x_0" localSheetId="45">'418'!$D$45</definedName>
    <definedName name="OSRRefD22_2x_0" localSheetId="46">'423'!$D$40</definedName>
    <definedName name="OSRRefD22_2x_0" localSheetId="47">'424'!$D$25</definedName>
    <definedName name="OSRRefD22_2x_0" localSheetId="48">'425'!$D$26</definedName>
    <definedName name="OSRRefD22_2x_0" localSheetId="50">'430'!$D$41</definedName>
    <definedName name="OSRRefD22_2x_0" localSheetId="51">'433'!$D$49</definedName>
    <definedName name="OSRRefD22_2x_0" localSheetId="52">'435'!$D$28</definedName>
    <definedName name="OSRRefD22_2x_0" localSheetId="53">'444'!$D$49</definedName>
    <definedName name="OSRRefD22_2x_0" localSheetId="54">'450'!$D$49</definedName>
    <definedName name="OSRRefD22_2x_0" localSheetId="37">'491'!$D$50</definedName>
    <definedName name="OSRRefD22_2x_0" localSheetId="49">'492'!$D$51</definedName>
    <definedName name="OSRRefD22_2x_0" localSheetId="56">'501'!$D$43</definedName>
    <definedName name="OSRRefD22_2x_0" localSheetId="5">'Div 2'!$D$43</definedName>
    <definedName name="OSRRefD22_2x_0" localSheetId="13">'Div 3'!$D$82</definedName>
    <definedName name="OSRRefD22_2x_0" localSheetId="35">'Div 4'!$D$53</definedName>
    <definedName name="OSRRefD22_2x_0" localSheetId="55">'Div 5'!$D$43</definedName>
    <definedName name="OSRRefD22_2x_0" localSheetId="27">'Div 6'!$D$57</definedName>
    <definedName name="OSRRefD22_2x_0" localSheetId="2">Summary!$D$90</definedName>
    <definedName name="OSRRefD22_3x_0" localSheetId="6">'200'!$D$27:$D$28</definedName>
    <definedName name="OSRRefD22_3x_0" localSheetId="7">'201'!$D$43</definedName>
    <definedName name="OSRRefD22_3x_0" localSheetId="8">'202'!$D$43</definedName>
    <definedName name="OSRRefD22_3x_0" localSheetId="9">'203'!$D$44</definedName>
    <definedName name="OSRRefD22_3x_0" localSheetId="10">'204'!$D$44:$D$45</definedName>
    <definedName name="OSRRefD22_3x_0" localSheetId="11">'205'!$D$43</definedName>
    <definedName name="OSRRefD22_3x_0" localSheetId="12">'206'!$D$43</definedName>
    <definedName name="OSRRefD22_3x_0" localSheetId="14">'300'!$D$78</definedName>
    <definedName name="OSRRefD22_3x_0" localSheetId="15">'300 &amp; 317'!$D$84</definedName>
    <definedName name="OSRRefD22_3x_0" localSheetId="16">'301'!$D$45</definedName>
    <definedName name="OSRRefD22_3x_0" localSheetId="21">'307'!$D$57</definedName>
    <definedName name="OSRRefD22_3x_0" localSheetId="17">'308'!$D$59</definedName>
    <definedName name="OSRRefD22_3x_0" localSheetId="31">'309'!$D$34</definedName>
    <definedName name="OSRRefD22_3x_0" localSheetId="30">'310'!$D$53</definedName>
    <definedName name="OSRRefD22_3x_0" localSheetId="36">'310 &amp; 491'!$D$53</definedName>
    <definedName name="OSRRefD22_3x_0" localSheetId="18">'311'!$D$59</definedName>
    <definedName name="OSRRefD22_3x_0" localSheetId="23">'315'!$D$67</definedName>
    <definedName name="OSRRefD22_3x_0" localSheetId="26">'316'!$D$50</definedName>
    <definedName name="OSRRefD22_3x_0" localSheetId="28">'317'!$D$59</definedName>
    <definedName name="OSRRefD22_3x_0" localSheetId="32">'321'!$D$48</definedName>
    <definedName name="OSRRefD22_3x_0" localSheetId="33">'325'!$D$48</definedName>
    <definedName name="OSRRefD22_3x_0" localSheetId="24">'326'!$D$51</definedName>
    <definedName name="OSRRefD22_3x_0" localSheetId="22">'331'!$D$67</definedName>
    <definedName name="OSRRefD22_3x_0" localSheetId="25">'332'!$D$50</definedName>
    <definedName name="OSRRefD22_3x_0" localSheetId="20">'333'!$D$69</definedName>
    <definedName name="OSRRefD22_3x_0" localSheetId="38">'405'!$D$50</definedName>
    <definedName name="OSRRefD22_3x_0" localSheetId="40">'411'!$D$43:$D$44</definedName>
    <definedName name="OSRRefD22_3x_0" localSheetId="41">'412'!$D$27</definedName>
    <definedName name="OSRRefD22_3x_0" localSheetId="44">'415'!$D$51</definedName>
    <definedName name="OSRRefD22_3x_0" localSheetId="45">'418'!$D$47</definedName>
    <definedName name="OSRRefD22_3x_0" localSheetId="46">'423'!$D$42</definedName>
    <definedName name="OSRRefD22_3x_0" localSheetId="48">'425'!$D$28</definedName>
    <definedName name="OSRRefD22_3x_0" localSheetId="50">'430'!$D$43</definedName>
    <definedName name="OSRRefD22_3x_0" localSheetId="51">'433'!$D$51</definedName>
    <definedName name="OSRRefD22_3x_0" localSheetId="52">'435'!$D$30</definedName>
    <definedName name="OSRRefD22_3x_0" localSheetId="53">'444'!$D$51</definedName>
    <definedName name="OSRRefD22_3x_0" localSheetId="54">'450'!$D$51</definedName>
    <definedName name="OSRRefD22_3x_0" localSheetId="37">'491'!$D$52</definedName>
    <definedName name="OSRRefD22_3x_0" localSheetId="49">'492'!$D$53</definedName>
    <definedName name="OSRRefD22_3x_0" localSheetId="56">'501'!$D$45</definedName>
    <definedName name="OSRRefD22_3x_0" localSheetId="5">'Div 2'!$D$45</definedName>
    <definedName name="OSRRefD22_3x_0" localSheetId="13">'Div 3'!$D$84</definedName>
    <definedName name="OSRRefD22_3x_0" localSheetId="35">'Div 4'!$D$55</definedName>
    <definedName name="OSRRefD22_3x_0" localSheetId="55">'Div 5'!$D$45</definedName>
    <definedName name="OSRRefD22_3x_0" localSheetId="27">'Div 6'!$D$59</definedName>
    <definedName name="OSRRefD22_3x_0" localSheetId="2">Summary!$D$92</definedName>
    <definedName name="OSRRefD22_4x_0" localSheetId="7">'201'!$D$45</definedName>
    <definedName name="OSRRefD22_4x_0" localSheetId="8">'202'!$D$45</definedName>
    <definedName name="OSRRefD22_4x_0" localSheetId="9">'203'!$D$46</definedName>
    <definedName name="OSRRefD22_4x_0" localSheetId="10">'204'!$D$47</definedName>
    <definedName name="OSRRefD22_4x_0" localSheetId="11">'205'!$D$45:$D$47</definedName>
    <definedName name="OSRRefD22_4x_0" localSheetId="12">'206'!$D$45:$D$46</definedName>
    <definedName name="OSRRefD22_4x_0" localSheetId="14">'300'!$D$80</definedName>
    <definedName name="OSRRefD22_4x_0" localSheetId="15">'300 &amp; 317'!$D$86</definedName>
    <definedName name="OSRRefD22_4x_0" localSheetId="16">'301'!$D$47</definedName>
    <definedName name="OSRRefD22_4x_0" localSheetId="21">'307'!$D$59</definedName>
    <definedName name="OSRRefD22_4x_0" localSheetId="17">'308'!$D$61</definedName>
    <definedName name="OSRRefD22_4x_0" localSheetId="31">'309'!$D$36</definedName>
    <definedName name="OSRRefD22_4x_0" localSheetId="30">'310'!$D$55</definedName>
    <definedName name="OSRRefD22_4x_0" localSheetId="36">'310 &amp; 491'!$D$55</definedName>
    <definedName name="OSRRefD22_4x_0" localSheetId="18">'311'!$D$61</definedName>
    <definedName name="OSRRefD22_4x_0" localSheetId="23">'315'!$D$69</definedName>
    <definedName name="OSRRefD22_4x_0" localSheetId="26">'316'!$D$52</definedName>
    <definedName name="OSRRefD22_4x_0" localSheetId="28">'317'!$D$61</definedName>
    <definedName name="OSRRefD22_4x_0" localSheetId="32">'321'!$D$50</definedName>
    <definedName name="OSRRefD22_4x_0" localSheetId="33">'325'!$D$50</definedName>
    <definedName name="OSRRefD22_4x_0" localSheetId="24">'326'!$D$53</definedName>
    <definedName name="OSRRefD22_4x_0" localSheetId="22">'331'!$D$69</definedName>
    <definedName name="OSRRefD22_4x_0" localSheetId="25">'332'!$D$52</definedName>
    <definedName name="OSRRefD22_4x_0" localSheetId="20">'333'!$D$71</definedName>
    <definedName name="OSRRefD22_4x_0" localSheetId="38">'405'!$D$52</definedName>
    <definedName name="OSRRefD22_4x_0" localSheetId="40">'411'!$D$46</definedName>
    <definedName name="OSRRefD22_4x_0" localSheetId="41">'412'!$D$29</definedName>
    <definedName name="OSRRefD22_4x_0" localSheetId="44">'415'!$D$53</definedName>
    <definedName name="OSRRefD22_4x_0" localSheetId="45">'418'!$D$49:$D$50</definedName>
    <definedName name="OSRRefD22_4x_0" localSheetId="46">'423'!$D$44</definedName>
    <definedName name="OSRRefD22_4x_0" localSheetId="48">'425'!$D$30</definedName>
    <definedName name="OSRRefD22_4x_0" localSheetId="50">'430'!$D$45</definedName>
    <definedName name="OSRRefD22_4x_0" localSheetId="51">'433'!$D$53</definedName>
    <definedName name="OSRRefD22_4x_0" localSheetId="52">'435'!$D$32</definedName>
    <definedName name="OSRRefD22_4x_0" localSheetId="53">'444'!$D$53</definedName>
    <definedName name="OSRRefD22_4x_0" localSheetId="54">'450'!$D$53</definedName>
    <definedName name="OSRRefD22_4x_0" localSheetId="37">'491'!$D$54</definedName>
    <definedName name="OSRRefD22_4x_0" localSheetId="49">'492'!$D$55</definedName>
    <definedName name="OSRRefD22_4x_0" localSheetId="56">'501'!$D$47</definedName>
    <definedName name="OSRRefD22_4x_0" localSheetId="5">'Div 2'!$D$47</definedName>
    <definedName name="OSRRefD22_4x_0" localSheetId="13">'Div 3'!$D$86</definedName>
    <definedName name="OSRRefD22_4x_0" localSheetId="35">'Div 4'!$D$57</definedName>
    <definedName name="OSRRefD22_4x_0" localSheetId="55">'Div 5'!$D$47</definedName>
    <definedName name="OSRRefD22_4x_0" localSheetId="27">'Div 6'!$D$61</definedName>
    <definedName name="OSRRefD22_4x_0" localSheetId="2">Summary!$D$94</definedName>
    <definedName name="OSRRefD22_5x_0" localSheetId="7">'201'!$D$47</definedName>
    <definedName name="OSRRefD22_5x_0" localSheetId="8">'202'!$D$47</definedName>
    <definedName name="OSRRefD22_5x_0" localSheetId="9">'203'!$D$48</definedName>
    <definedName name="OSRRefD22_5x_0" localSheetId="10">'204'!$D$49:$D$52</definedName>
    <definedName name="OSRRefD22_5x_0" localSheetId="11">'205'!$D$49</definedName>
    <definedName name="OSRRefD22_5x_0" localSheetId="12">'206'!$D$48</definedName>
    <definedName name="OSRRefD22_5x_0" localSheetId="14">'300'!$D$82:$D$83</definedName>
    <definedName name="OSRRefD22_5x_0" localSheetId="15">'300 &amp; 317'!$D$88:$D$89</definedName>
    <definedName name="OSRRefD22_5x_0" localSheetId="16">'301'!$D$49:$D$50</definedName>
    <definedName name="OSRRefD22_5x_0" localSheetId="21">'307'!$D$61:$D$62</definedName>
    <definedName name="OSRRefD22_5x_0" localSheetId="17">'308'!$D$63</definedName>
    <definedName name="OSRRefD22_5x_0" localSheetId="31">'309'!$D$38</definedName>
    <definedName name="OSRRefD22_5x_0" localSheetId="30">'310'!$D$57:$D$58</definedName>
    <definedName name="OSRRefD22_5x_0" localSheetId="36">'310 &amp; 491'!$D$57:$D$58</definedName>
    <definedName name="OSRRefD22_5x_0" localSheetId="18">'311'!$D$63</definedName>
    <definedName name="OSRRefD22_5x_0" localSheetId="23">'315'!$D$71</definedName>
    <definedName name="OSRRefD22_5x_0" localSheetId="26">'316'!$D$54:$D$55</definedName>
    <definedName name="OSRRefD22_5x_0" localSheetId="28">'317'!$D$63</definedName>
    <definedName name="OSRRefD22_5x_0" localSheetId="32">'321'!$D$52</definedName>
    <definedName name="OSRRefD22_5x_0" localSheetId="33">'325'!$D$52:$D$53</definedName>
    <definedName name="OSRRefD22_5x_0" localSheetId="24">'326'!$D$55</definedName>
    <definedName name="OSRRefD22_5x_0" localSheetId="22">'331'!$D$71</definedName>
    <definedName name="OSRRefD22_5x_0" localSheetId="25">'332'!$D$54:$D$55</definedName>
    <definedName name="OSRRefD22_5x_0" localSheetId="20">'333'!$D$73:$D$74</definedName>
    <definedName name="OSRRefD22_5x_0" localSheetId="38">'405'!$D$54:$D$55</definedName>
    <definedName name="OSRRefD22_5x_0" localSheetId="40">'411'!$D$48</definedName>
    <definedName name="OSRRefD22_5x_0" localSheetId="44">'415'!$D$55:$D$56</definedName>
    <definedName name="OSRRefD22_5x_0" localSheetId="45">'418'!$D$52</definedName>
    <definedName name="OSRRefD22_5x_0" localSheetId="46">'423'!$D$46</definedName>
    <definedName name="OSRRefD22_5x_0" localSheetId="48">'425'!$D$32:$D$34</definedName>
    <definedName name="OSRRefD22_5x_0" localSheetId="50">'430'!$D$47:$D$49</definedName>
    <definedName name="OSRRefD22_5x_0" localSheetId="51">'433'!$D$55</definedName>
    <definedName name="OSRRefD22_5x_0" localSheetId="53">'444'!$D$55</definedName>
    <definedName name="OSRRefD22_5x_0" localSheetId="54">'450'!$D$55</definedName>
    <definedName name="OSRRefD22_5x_0" localSheetId="37">'491'!$D$56:$D$57</definedName>
    <definedName name="OSRRefD22_5x_0" localSheetId="49">'492'!$D$57</definedName>
    <definedName name="OSRRefD22_5x_0" localSheetId="56">'501'!$D$49:$D$50</definedName>
    <definedName name="OSRRefD22_5x_0" localSheetId="5">'Div 2'!$D$49:$D$50</definedName>
    <definedName name="OSRRefD22_5x_0" localSheetId="13">'Div 3'!$D$88:$D$89</definedName>
    <definedName name="OSRRefD22_5x_0" localSheetId="35">'Div 4'!$D$59:$D$60</definedName>
    <definedName name="OSRRefD22_5x_0" localSheetId="55">'Div 5'!$D$49:$D$50</definedName>
    <definedName name="OSRRefD22_5x_0" localSheetId="27">'Div 6'!$D$63</definedName>
    <definedName name="OSRRefD22_5x_0" localSheetId="2">Summary!$D$96:$D$97</definedName>
    <definedName name="OSRRefD22_6x_0" localSheetId="7">'201'!$D$49</definedName>
    <definedName name="OSRRefD22_6x_0" localSheetId="8">'202'!$D$49</definedName>
    <definedName name="OSRRefD22_6x_0" localSheetId="9">'203'!$D$50</definedName>
    <definedName name="OSRRefD22_6x_0" localSheetId="10">'204'!$D$54:$D$55</definedName>
    <definedName name="OSRRefD22_6x_0" localSheetId="11">'205'!$D$51:$D$53</definedName>
    <definedName name="OSRRefD22_6x_0" localSheetId="12">'206'!$D$50:$D$51</definedName>
    <definedName name="OSRRefD22_6x_0" localSheetId="14">'300'!$D$85:$D$86</definedName>
    <definedName name="OSRRefD22_6x_0" localSheetId="15">'300 &amp; 317'!$D$91:$D$92</definedName>
    <definedName name="OSRRefD22_6x_0" localSheetId="16">'301'!$D$52:$D$53</definedName>
    <definedName name="OSRRefD22_6x_0" localSheetId="21">'307'!$D$64</definedName>
    <definedName name="OSRRefD22_6x_0" localSheetId="17">'308'!$D$65:$D$66</definedName>
    <definedName name="OSRRefD22_6x_0" localSheetId="31">'309'!$D$40</definedName>
    <definedName name="OSRRefD22_6x_0" localSheetId="30">'310'!$D$60</definedName>
    <definedName name="OSRRefD22_6x_0" localSheetId="36">'310 &amp; 491'!$D$60</definedName>
    <definedName name="OSRRefD22_6x_0" localSheetId="18">'311'!$D$65:$D$66</definedName>
    <definedName name="OSRRefD22_6x_0" localSheetId="23">'315'!$D$73</definedName>
    <definedName name="OSRRefD22_6x_0" localSheetId="26">'316'!$D$57</definedName>
    <definedName name="OSRRefD22_6x_0" localSheetId="28">'317'!$D$65</definedName>
    <definedName name="OSRRefD22_6x_0" localSheetId="32">'321'!$D$54</definedName>
    <definedName name="OSRRefD22_6x_0" localSheetId="33">'325'!$D$55</definedName>
    <definedName name="OSRRefD22_6x_0" localSheetId="24">'326'!$D$57:$D$58</definedName>
    <definedName name="OSRRefD22_6x_0" localSheetId="22">'331'!$D$73</definedName>
    <definedName name="OSRRefD22_6x_0" localSheetId="25">'332'!$D$57</definedName>
    <definedName name="OSRRefD22_6x_0" localSheetId="20">'333'!$D$76</definedName>
    <definedName name="OSRRefD22_6x_0" localSheetId="38">'405'!$D$57</definedName>
    <definedName name="OSRRefD22_6x_0" localSheetId="40">'411'!$D$50</definedName>
    <definedName name="OSRRefD22_6x_0" localSheetId="44">'415'!$D$58</definedName>
    <definedName name="OSRRefD22_6x_0" localSheetId="45">'418'!$D$54</definedName>
    <definedName name="OSRRefD22_6x_0" localSheetId="50">'430'!$D$51:$D$52</definedName>
    <definedName name="OSRRefD22_6x_0" localSheetId="51">'433'!$D$57</definedName>
    <definedName name="OSRRefD22_6x_0" localSheetId="53">'444'!$D$57</definedName>
    <definedName name="OSRRefD22_6x_0" localSheetId="54">'450'!$D$57</definedName>
    <definedName name="OSRRefD22_6x_0" localSheetId="37">'491'!$D$59</definedName>
    <definedName name="OSRRefD22_6x_0" localSheetId="49">'492'!$D$59</definedName>
    <definedName name="OSRRefD22_6x_0" localSheetId="56">'501'!$D$52</definedName>
    <definedName name="OSRRefD22_6x_0" localSheetId="5">'Div 2'!$D$52</definedName>
    <definedName name="OSRRefD22_6x_0" localSheetId="13">'Div 3'!$D$91:$D$92</definedName>
    <definedName name="OSRRefD22_6x_0" localSheetId="35">'Div 4'!$D$62</definedName>
    <definedName name="OSRRefD22_6x_0" localSheetId="55">'Div 5'!$D$52</definedName>
    <definedName name="OSRRefD22_6x_0" localSheetId="27">'Div 6'!$D$65</definedName>
    <definedName name="OSRRefD22_6x_0" localSheetId="2">Summary!$D$99:$D$100</definedName>
    <definedName name="OSRRefD22_7x_0" localSheetId="7">'201'!$D$51</definedName>
    <definedName name="OSRRefD22_7x_0" localSheetId="8">'202'!$D$51</definedName>
    <definedName name="OSRRefD22_7x_0" localSheetId="9">'203'!$D$52</definedName>
    <definedName name="OSRRefD22_7x_0" localSheetId="10">'204'!$D$57</definedName>
    <definedName name="OSRRefD22_7x_0" localSheetId="11">'205'!$D$55</definedName>
    <definedName name="OSRRefD22_7x_0" localSheetId="12">'206'!$D$53</definedName>
    <definedName name="OSRRefD22_7x_0" localSheetId="14">'300'!$D$88</definedName>
    <definedName name="OSRRefD22_7x_0" localSheetId="15">'300 &amp; 317'!$D$94</definedName>
    <definedName name="OSRRefD22_7x_0" localSheetId="16">'301'!$D$55</definedName>
    <definedName name="OSRRefD22_7x_0" localSheetId="21">'307'!$D$66</definedName>
    <definedName name="OSRRefD22_7x_0" localSheetId="17">'308'!$D$68</definedName>
    <definedName name="OSRRefD22_7x_0" localSheetId="31">'309'!$D$42</definedName>
    <definedName name="OSRRefD22_7x_0" localSheetId="30">'310'!$D$62</definedName>
    <definedName name="OSRRefD22_7x_0" localSheetId="36">'310 &amp; 491'!$D$62</definedName>
    <definedName name="OSRRefD22_7x_0" localSheetId="18">'311'!$D$68</definedName>
    <definedName name="OSRRefD22_7x_0" localSheetId="23">'315'!$D$75</definedName>
    <definedName name="OSRRefD22_7x_0" localSheetId="26">'316'!$D$59</definedName>
    <definedName name="OSRRefD22_7x_0" localSheetId="28">'317'!$D$67</definedName>
    <definedName name="OSRRefD22_7x_0" localSheetId="32">'321'!$D$56:$D$57</definedName>
    <definedName name="OSRRefD22_7x_0" localSheetId="33">'325'!$D$57</definedName>
    <definedName name="OSRRefD22_7x_0" localSheetId="24">'326'!$D$60</definedName>
    <definedName name="OSRRefD22_7x_0" localSheetId="22">'331'!$D$75</definedName>
    <definedName name="OSRRefD22_7x_0" localSheetId="25">'332'!$D$59</definedName>
    <definedName name="OSRRefD22_7x_0" localSheetId="20">'333'!$D$78</definedName>
    <definedName name="OSRRefD22_7x_0" localSheetId="38">'405'!$D$59</definedName>
    <definedName name="OSRRefD22_7x_0" localSheetId="40">'411'!$D$52</definedName>
    <definedName name="OSRRefD22_7x_0" localSheetId="44">'415'!$D$60</definedName>
    <definedName name="OSRRefD22_7x_0" localSheetId="45">'418'!$D$56:$D$57</definedName>
    <definedName name="OSRRefD22_7x_0" localSheetId="50">'430'!$D$54</definedName>
    <definedName name="OSRRefD22_7x_0" localSheetId="51">'433'!$D$59</definedName>
    <definedName name="OSRRefD22_7x_0" localSheetId="53">'444'!$D$59</definedName>
    <definedName name="OSRRefD22_7x_0" localSheetId="54">'450'!$D$59</definedName>
    <definedName name="OSRRefD22_7x_0" localSheetId="37">'491'!$D$61</definedName>
    <definedName name="OSRRefD22_7x_0" localSheetId="49">'492'!$D$61</definedName>
    <definedName name="OSRRefD22_7x_0" localSheetId="56">'501'!$D$54</definedName>
    <definedName name="OSRRefD22_7x_0" localSheetId="5">'Div 2'!$D$54</definedName>
    <definedName name="OSRRefD22_7x_0" localSheetId="13">'Div 3'!$D$94</definedName>
    <definedName name="OSRRefD22_7x_0" localSheetId="35">'Div 4'!$D$64</definedName>
    <definedName name="OSRRefD22_7x_0" localSheetId="55">'Div 5'!$D$54</definedName>
    <definedName name="OSRRefD22_7x_0" localSheetId="27">'Div 6'!$D$67</definedName>
    <definedName name="OSRRefD22_7x_0" localSheetId="2">Summary!$D$102</definedName>
    <definedName name="OSRRefD22_8x_0" localSheetId="7">'201'!$D$53</definedName>
    <definedName name="OSRRefD22_8x_0" localSheetId="8">'202'!$D$53:$D$55</definedName>
    <definedName name="OSRRefD22_8x_0" localSheetId="9">'203'!$D$54:$D$56</definedName>
    <definedName name="OSRRefD22_8x_0" localSheetId="10">'204'!$D$59:$D$60</definedName>
    <definedName name="OSRRefD22_8x_0" localSheetId="14">'300'!$D$90</definedName>
    <definedName name="OSRRefD22_8x_0" localSheetId="15">'300 &amp; 317'!$D$96</definedName>
    <definedName name="OSRRefD22_8x_0" localSheetId="16">'301'!$D$57</definedName>
    <definedName name="OSRRefD22_8x_0" localSheetId="21">'307'!$D$68</definedName>
    <definedName name="OSRRefD22_8x_0" localSheetId="17">'308'!$D$70</definedName>
    <definedName name="OSRRefD22_8x_0" localSheetId="31">'309'!$D$44:$D$45</definedName>
    <definedName name="OSRRefD22_8x_0" localSheetId="30">'310'!$D$64</definedName>
    <definedName name="OSRRefD22_8x_0" localSheetId="36">'310 &amp; 491'!$D$64:$D$65</definedName>
    <definedName name="OSRRefD22_8x_0" localSheetId="18">'311'!$D$70</definedName>
    <definedName name="OSRRefD22_8x_0" localSheetId="23">'315'!$D$77:$D$78</definedName>
    <definedName name="OSRRefD22_8x_0" localSheetId="26">'316'!$D$61:$D$63</definedName>
    <definedName name="OSRRefD22_8x_0" localSheetId="28">'317'!$D$69</definedName>
    <definedName name="OSRRefD22_8x_0" localSheetId="32">'321'!$D$59:$D$60</definedName>
    <definedName name="OSRRefD22_8x_0" localSheetId="33">'325'!$D$59</definedName>
    <definedName name="OSRRefD22_8x_0" localSheetId="24">'326'!$D$62</definedName>
    <definedName name="OSRRefD22_8x_0" localSheetId="22">'331'!$D$77:$D$78</definedName>
    <definedName name="OSRRefD22_8x_0" localSheetId="25">'332'!$D$61:$D$63</definedName>
    <definedName name="OSRRefD22_8x_0" localSheetId="20">'333'!$D$80:$D$81</definedName>
    <definedName name="OSRRefD22_8x_0" localSheetId="38">'405'!$D$61</definedName>
    <definedName name="OSRRefD22_8x_0" localSheetId="40">'411'!$D$54</definedName>
    <definedName name="OSRRefD22_8x_0" localSheetId="44">'415'!$D$62</definedName>
    <definedName name="OSRRefD22_8x_0" localSheetId="45">'418'!$D$59:$D$60</definedName>
    <definedName name="OSRRefD22_8x_0" localSheetId="50">'430'!$D$56</definedName>
    <definedName name="OSRRefD22_8x_0" localSheetId="51">'433'!$D$61</definedName>
    <definedName name="OSRRefD22_8x_0" localSheetId="53">'444'!$D$61</definedName>
    <definedName name="OSRRefD22_8x_0" localSheetId="54">'450'!$D$61</definedName>
    <definedName name="OSRRefD22_8x_0" localSheetId="37">'491'!$D$63:$D$64</definedName>
    <definedName name="OSRRefD22_8x_0" localSheetId="49">'492'!$D$63</definedName>
    <definedName name="OSRRefD22_8x_0" localSheetId="56">'501'!$D$56</definedName>
    <definedName name="OSRRefD22_8x_0" localSheetId="5">'Div 2'!$D$56</definedName>
    <definedName name="OSRRefD22_8x_0" localSheetId="13">'Div 3'!$D$96</definedName>
    <definedName name="OSRRefD22_8x_0" localSheetId="35">'Div 4'!$D$66</definedName>
    <definedName name="OSRRefD22_8x_0" localSheetId="55">'Div 5'!$D$56</definedName>
    <definedName name="OSRRefD22_8x_0" localSheetId="27">'Div 6'!$D$69</definedName>
    <definedName name="OSRRefD22_8x_0" localSheetId="2">Summary!$D$104</definedName>
    <definedName name="OSRRefD22_9x_0" localSheetId="7">'201'!$D$55</definedName>
    <definedName name="OSRRefD22_9x_0" localSheetId="8">'202'!$D$57</definedName>
    <definedName name="OSRRefD22_9x_0" localSheetId="9">'203'!$D$58:$D$59</definedName>
    <definedName name="OSRRefD22_9x_0" localSheetId="10">'204'!$D$62</definedName>
    <definedName name="OSRRefD22_9x_0" localSheetId="14">'300'!$D$92</definedName>
    <definedName name="OSRRefD22_9x_0" localSheetId="15">'300 &amp; 317'!$D$98</definedName>
    <definedName name="OSRRefD22_9x_0" localSheetId="16">'301'!$D$59</definedName>
    <definedName name="OSRRefD22_9x_0" localSheetId="21">'307'!$D$70:$D$71</definedName>
    <definedName name="OSRRefD22_9x_0" localSheetId="17">'308'!$D$72:$D$74</definedName>
    <definedName name="OSRRefD22_9x_0" localSheetId="31">'309'!$D$47:$D$48</definedName>
    <definedName name="OSRRefD22_9x_0" localSheetId="30">'310'!$D$66</definedName>
    <definedName name="OSRRefD22_9x_0" localSheetId="36">'310 &amp; 491'!$D$67</definedName>
    <definedName name="OSRRefD22_9x_0" localSheetId="18">'311'!$D$72:$D$74</definedName>
    <definedName name="OSRRefD22_9x_0" localSheetId="23">'315'!$D$80</definedName>
    <definedName name="OSRRefD22_9x_0" localSheetId="26">'316'!$D$65</definedName>
    <definedName name="OSRRefD22_9x_0" localSheetId="28">'317'!$D$71:$D$72</definedName>
    <definedName name="OSRRefD22_9x_0" localSheetId="32">'321'!$D$62:$D$64</definedName>
    <definedName name="OSRRefD22_9x_0" localSheetId="33">'325'!$D$61</definedName>
    <definedName name="OSRRefD22_9x_0" localSheetId="24">'326'!$D$64</definedName>
    <definedName name="OSRRefD22_9x_0" localSheetId="22">'331'!$D$80:$D$81</definedName>
    <definedName name="OSRRefD22_9x_0" localSheetId="25">'332'!$D$65</definedName>
    <definedName name="OSRRefD22_9x_0" localSheetId="20">'333'!$D$83:$D$84</definedName>
    <definedName name="OSRRefD22_9x_0" localSheetId="38">'405'!$D$63:$D$64</definedName>
    <definedName name="OSRRefD22_9x_0" localSheetId="40">'411'!$D$56:$D$59</definedName>
    <definedName name="OSRRefD22_9x_0" localSheetId="44">'415'!$D$64</definedName>
    <definedName name="OSRRefD22_9x_0" localSheetId="45">'418'!$D$62:$D$65</definedName>
    <definedName name="OSRRefD22_9x_0" localSheetId="51">'433'!$D$63</definedName>
    <definedName name="OSRRefD22_9x_0" localSheetId="53">'444'!$D$63</definedName>
    <definedName name="OSRRefD22_9x_0" localSheetId="54">'450'!$D$63</definedName>
    <definedName name="OSRRefD22_9x_0" localSheetId="37">'491'!$D$66</definedName>
    <definedName name="OSRRefD22_9x_0" localSheetId="49">'492'!$D$65</definedName>
    <definedName name="OSRRefD22_9x_0" localSheetId="56">'501'!$D$58:$D$60</definedName>
    <definedName name="OSRRefD22_9x_0" localSheetId="5">'Div 2'!$D$58</definedName>
    <definedName name="OSRRefD22_9x_0" localSheetId="13">'Div 3'!$D$98</definedName>
    <definedName name="OSRRefD22_9x_0" localSheetId="35">'Div 4'!$D$68:$D$69</definedName>
    <definedName name="OSRRefD22_9x_0" localSheetId="55">'Div 5'!$D$58:$D$60</definedName>
    <definedName name="OSRRefD22_9x_0" localSheetId="27">'Div 6'!$D$71:$D$72</definedName>
    <definedName name="OSRRefD22_9x_0" localSheetId="2">Summary!$D$106</definedName>
    <definedName name="OSRRefD22x_0" localSheetId="6">'200'!$D$20:$D$21,'200'!$D$23,'200'!$D$25,'200'!$D$27:$D$28</definedName>
    <definedName name="OSRRefD22x_0" localSheetId="7">'201'!$D$20:$D$28,'201'!$D$30:$D$39,'201'!$D$41,'201'!$D$43,'201'!$D$45,'201'!$D$47,'201'!$D$49,'201'!$D$51,'201'!$D$53,'201'!$D$55,'201'!$D$57:$D$59,'201'!$D$61:$D$62,'201'!$D$64,'201'!$D$66:$D$67,'201'!$D$69,'201'!$D$71,'201'!$D$73</definedName>
    <definedName name="OSRRefD22x_0" localSheetId="8">'202'!$D$20:$D$28,'202'!$D$30:$D$39,'202'!$D$41,'202'!$D$43,'202'!$D$45,'202'!$D$47,'202'!$D$49,'202'!$D$51,'202'!$D$53:$D$55,'202'!$D$57,'202'!$D$59:$D$60,'202'!$D$62,'202'!$D$64,'202'!$D$66</definedName>
    <definedName name="OSRRefD22x_0" localSheetId="9">'203'!$D$20:$D$29,'203'!$D$31:$D$40,'203'!$D$42,'203'!$D$44,'203'!$D$46,'203'!$D$48,'203'!$D$50,'203'!$D$52,'203'!$D$54:$D$56,'203'!$D$58:$D$59,'203'!$D$61:$D$62,'203'!$D$64:$D$67,'203'!$D$69,'203'!$D$71,'203'!$D$73</definedName>
    <definedName name="OSRRefD22x_0" localSheetId="10">'204'!$D$20:$D$29,'204'!$D$31:$D$40,'204'!$D$42,'204'!$D$44:$D$45,'204'!$D$47,'204'!$D$49:$D$52,'204'!$D$54:$D$55,'204'!$D$57,'204'!$D$59:$D$60,'204'!$D$62,'204'!$D$64</definedName>
    <definedName name="OSRRefD22x_0" localSheetId="11">'205'!$D$20:$D$28,'205'!$D$30:$D$39,'205'!$D$41,'205'!$D$43,'205'!$D$45:$D$47,'205'!$D$49,'205'!$D$51:$D$53,'205'!$D$55</definedName>
    <definedName name="OSRRefD22x_0" localSheetId="12">'206'!$D$20:$D$28,'206'!$D$30:$D$39,'206'!$D$41,'206'!$D$43,'206'!$D$45:$D$46,'206'!$D$48,'206'!$D$50:$D$51,'206'!$D$53</definedName>
    <definedName name="OSRRefD22x_0" localSheetId="14">'300'!$D$54:$D$63,'300'!$D$65:$D$74,'300'!$D$76,'300'!$D$78,'300'!$D$80,'300'!$D$82:$D$83,'300'!$D$85:$D$86,'300'!$D$88,'300'!$D$90,'300'!$D$92,'300'!$D$94:$D$95,'300'!$D$97:$D$98,'300'!$D$100,'300'!$D$102,'300'!$D$104,'300'!$D$106,'300'!$D$108:$D$111,'300'!$D$113:$D$116,'300'!$D$118:$D$120,'300'!$D$122:$D$123,'300'!$D$125:$D$131,'300'!$D$133:$D$134,'300'!$D$136,'300'!$D$138:$D$140,'300'!$D$142</definedName>
    <definedName name="OSRRefD22x_0" localSheetId="15">'300 &amp; 317'!$D$60:$D$69,'300 &amp; 317'!$D$71:$D$80,'300 &amp; 317'!$D$82,'300 &amp; 317'!$D$84,'300 &amp; 317'!$D$86,'300 &amp; 317'!$D$88:$D$89,'300 &amp; 317'!$D$91:$D$92,'300 &amp; 317'!$D$94,'300 &amp; 317'!$D$96,'300 &amp; 317'!$D$98,'300 &amp; 317'!$D$100:$D$101,'300 &amp; 317'!$D$103:$D$104,'300 &amp; 317'!$D$106,'300 &amp; 317'!$D$108,'300 &amp; 317'!$D$110,'300 &amp; 317'!$D$112,'300 &amp; 317'!$D$114:$D$117,'300 &amp; 317'!$D$119:$D$122,'300 &amp; 317'!$D$124:$D$126,'300 &amp; 317'!$D$128:$D$129,'300 &amp; 317'!$D$131:$D$137,'300 &amp; 317'!$D$139:$D$140,'300 &amp; 317'!$D$142,'300 &amp; 317'!$D$144:$D$146,'300 &amp; 317'!$D$148</definedName>
    <definedName name="OSRRefD22x_0" localSheetId="16">'301'!$D$21:$D$30,'301'!$D$32:$D$41,'301'!$D$43,'301'!$D$45,'301'!$D$47,'301'!$D$49:$D$50,'301'!$D$52:$D$53,'301'!$D$55,'301'!$D$57,'301'!$D$59,'301'!$D$61,'301'!$D$63,'301'!$D$65,'301'!$D$67,'301'!$D$69,'301'!$D$71:$D$74,'301'!$D$76:$D$77,'301'!$D$79,'301'!$D$81:$D$86,'301'!$D$88,'301'!$D$90,'301'!$D$92:$D$94,'301'!$D$96</definedName>
    <definedName name="OSRRefD22x_0" localSheetId="21">'307'!$D$34:$D$42,'307'!$D$44:$D$53,'307'!$D$55,'307'!$D$57,'307'!$D$59,'307'!$D$61:$D$62,'307'!$D$64,'307'!$D$66,'307'!$D$68,'307'!$D$70:$D$71,'307'!$D$73:$D$74,'307'!$D$76,'307'!$D$78:$D$81,'307'!$D$83</definedName>
    <definedName name="OSRRefD22x_0" localSheetId="17">'308'!$D$35:$D$44,'308'!$D$46:$D$55,'308'!$D$57,'308'!$D$59,'308'!$D$61,'308'!$D$63,'308'!$D$65:$D$66,'308'!$D$68,'308'!$D$70,'308'!$D$72:$D$74,'308'!$D$76:$D$77,'308'!$D$79:$D$80,'308'!$D$82:$D$83,'308'!$D$85</definedName>
    <definedName name="OSRRefD22x_0" localSheetId="31">'309'!$D$26:$D$27,'309'!$D$29:$D$30,'309'!$D$32,'309'!$D$34,'309'!$D$36,'309'!$D$38,'309'!$D$40,'309'!$D$42,'309'!$D$44:$D$45,'309'!$D$47:$D$48,'309'!$D$50:$D$51,'309'!$D$53,'309'!$D$55</definedName>
    <definedName name="OSRRefD22x_0" localSheetId="30">'310'!$D$29:$D$38,'310'!$D$40:$D$49,'310'!$D$51,'310'!$D$53,'310'!$D$55,'310'!$D$57:$D$58,'310'!$D$60,'310'!$D$62,'310'!$D$64,'310'!$D$66,'310'!$D$68,'310'!$D$70:$D$72,'310'!$D$74:$D$75,'310'!$D$77:$D$79,'310'!$D$81:$D$86,'310'!$D$88:$D$89,'310'!$D$91,'310'!$D$93</definedName>
    <definedName name="OSRRefD22x_0" localSheetId="36">'310 &amp; 491'!$D$29:$D$38,'310 &amp; 491'!$D$40:$D$49,'310 &amp; 491'!$D$51,'310 &amp; 491'!$D$53,'310 &amp; 491'!$D$55,'310 &amp; 491'!$D$57:$D$58,'310 &amp; 491'!$D$60,'310 &amp; 491'!$D$62,'310 &amp; 491'!$D$64:$D$65,'310 &amp; 491'!$D$67,'310 &amp; 491'!$D$69,'310 &amp; 491'!$D$71,'310 &amp; 491'!$D$73,'310 &amp; 491'!$D$75:$D$78,'310 &amp; 491'!$D$80:$D$81,'310 &amp; 491'!$D$83:$D$87,'310 &amp; 491'!$D$89,'310 &amp; 491'!$D$91:$D$100,'310 &amp; 491'!$D$102:$D$103,'310 &amp; 491'!$D$105,'310 &amp; 491'!$D$107:$D$108,'310 &amp; 491'!$D$110</definedName>
    <definedName name="OSRRefD22x_0" localSheetId="18">'311'!$D$35:$D$44,'311'!$D$46:$D$55,'311'!$D$57,'311'!$D$59,'311'!$D$61,'311'!$D$63,'311'!$D$65:$D$66,'311'!$D$68,'311'!$D$70,'311'!$D$72:$D$74,'311'!$D$76:$D$77,'311'!$D$79:$D$80,'311'!$D$82:$D$83,'311'!$D$85</definedName>
    <definedName name="OSRRefD22x_0" localSheetId="23">'315'!$D$44:$D$52,'315'!$D$54:$D$63,'315'!$D$65,'315'!$D$67,'315'!$D$69,'315'!$D$71,'315'!$D$73,'315'!$D$75,'315'!$D$77:$D$78,'315'!$D$80,'315'!$D$82,'315'!$D$84,'315'!$D$86:$D$87,'315'!$D$89:$D$91,'315'!$D$93:$D$94,'315'!$D$96:$D$99,'315'!$D$101,'315'!$D$103,'315'!$D$105</definedName>
    <definedName name="OSRRefD22x_0" localSheetId="26">'316'!$D$27:$D$35,'316'!$D$37:$D$46,'316'!$D$48,'316'!$D$50,'316'!$D$52,'316'!$D$54:$D$55,'316'!$D$57,'316'!$D$59,'316'!$D$61:$D$63,'316'!$D$65,'316'!$D$67,'316'!$D$69:$D$73,'316'!$D$75</definedName>
    <definedName name="OSRRefD22x_0" localSheetId="28">'317'!$D$35:$D$44,'317'!$D$46:$D$55,'317'!$D$57,'317'!$D$59,'317'!$D$61,'317'!$D$63,'317'!$D$65,'317'!$D$67,'317'!$D$69,'317'!$D$71:$D$72,'317'!$D$74</definedName>
    <definedName name="OSRRefD22x_0" localSheetId="32">'321'!$D$24:$D$33,'321'!$D$35:$D$44,'321'!$D$46,'321'!$D$48,'321'!$D$50,'321'!$D$52,'321'!$D$54,'321'!$D$56:$D$57,'321'!$D$59:$D$60,'321'!$D$62:$D$64,'321'!$D$66:$D$69,'321'!$D$71,'321'!$D$73,'321'!$D$75</definedName>
    <definedName name="OSRRefD22x_0" localSheetId="33">'325'!$D$25:$D$33,'325'!$D$35:$D$44,'325'!$D$46,'325'!$D$48,'325'!$D$50,'325'!$D$52:$D$53,'325'!$D$55,'325'!$D$57,'325'!$D$59,'325'!$D$61,'325'!$D$63,'325'!$D$65:$D$67,'325'!$D$69:$D$71,'325'!$D$73:$D$78,'325'!$D$80:$D$81,'325'!$D$83,'325'!$D$85</definedName>
    <definedName name="OSRRefD22x_0" localSheetId="24">'326'!$D$28:$D$36,'326'!$D$38:$D$47,'326'!$D$49,'326'!$D$51,'326'!$D$53,'326'!$D$55,'326'!$D$57:$D$58,'326'!$D$60,'326'!$D$62,'326'!$D$64,'326'!$D$66,'326'!$D$68:$D$69,'326'!$D$71:$D$72,'326'!$D$74:$D$75,'326'!$D$77:$D$79,'326'!$D$81,'326'!$D$83:$D$84,'326'!$D$86</definedName>
    <definedName name="OSRRefD22x_0" localSheetId="34">'327'!$D$26,'327'!$D$28</definedName>
    <definedName name="OSRRefD22x_0" localSheetId="22">'331'!$D$44:$D$52,'331'!$D$54:$D$63,'331'!$D$65,'331'!$D$67,'331'!$D$69,'331'!$D$71,'331'!$D$73,'331'!$D$75,'331'!$D$77:$D$78,'331'!$D$80:$D$81,'331'!$D$83,'331'!$D$85,'331'!$D$87,'331'!$D$89,'331'!$D$91:$D$92,'331'!$D$94:$D$96,'331'!$D$98:$D$99,'331'!$D$101:$D$102,'331'!$D$104:$D$108,'331'!$D$110,'331'!$D$112,'331'!$D$114:$D$115,'331'!$D$117</definedName>
    <definedName name="OSRRefD22x_0" localSheetId="25">'332'!$D$27:$D$35,'332'!$D$37:$D$46,'332'!$D$48,'332'!$D$50,'332'!$D$52,'332'!$D$54:$D$55,'332'!$D$57,'332'!$D$59,'332'!$D$61:$D$63,'332'!$D$65,'332'!$D$67,'332'!$D$69:$D$73,'332'!$D$75</definedName>
    <definedName name="OSRRefD22x_0" localSheetId="20">'333'!$D$46:$D$54,'333'!$D$56:$D$65,'333'!$D$67,'333'!$D$69,'333'!$D$71,'333'!$D$73:$D$74,'333'!$D$76,'333'!$D$78,'333'!$D$80:$D$81,'333'!$D$83:$D$84,'333'!$D$86,'333'!$D$88,'333'!$D$90,'333'!$D$92,'333'!$D$94:$D$95,'333'!$D$97:$D$99,'333'!$D$101:$D$103,'333'!$D$105:$D$106,'333'!$D$108:$D$113,'333'!$D$115,'333'!$D$117,'333'!$D$119:$D$120,'333'!$D$122</definedName>
    <definedName name="OSRRefD22x_0" localSheetId="38">'405'!$D$27:$D$35,'405'!$D$37:$D$46,'405'!$D$48,'405'!$D$50,'405'!$D$52,'405'!$D$54:$D$55,'405'!$D$57,'405'!$D$59,'405'!$D$61,'405'!$D$63:$D$64,'405'!$D$66:$D$69,'405'!$D$71,'405'!$D$73:$D$81,'405'!$D$83,'405'!$D$85,'405'!$D$87,'405'!$D$89</definedName>
    <definedName name="OSRRefD22x_0" localSheetId="39">'406'!$D$20,'406'!$D$22</definedName>
    <definedName name="OSRRefD22x_0" localSheetId="40">'411'!$D$20:$D$28,'411'!$D$30:$D$39,'411'!$D$41,'411'!$D$43:$D$44,'411'!$D$46,'411'!$D$48,'411'!$D$50,'411'!$D$52,'411'!$D$54,'411'!$D$56:$D$59,'411'!$D$61:$D$63,'411'!$D$65,'411'!$D$67:$D$68,'411'!$D$70,'411'!$D$72,'411'!$D$74:$D$75,'411'!$D$77</definedName>
    <definedName name="OSRRefD22x_0" localSheetId="41">'412'!$D$21,'412'!$D$23,'412'!$D$25,'412'!$D$27,'412'!$D$29</definedName>
    <definedName name="OSRRefD22x_0" localSheetId="42">'413'!$D$20,'413'!$D$22,'413'!$D$24</definedName>
    <definedName name="OSRRefD22x_0" localSheetId="43">'414'!$D$20,'414'!$D$22,'414'!$D$24</definedName>
    <definedName name="OSRRefD22x_0" localSheetId="44">'415'!$D$27:$D$36,'415'!$D$38:$D$47,'415'!$D$49,'415'!$D$51,'415'!$D$53,'415'!$D$55:$D$56,'415'!$D$58,'415'!$D$60,'415'!$D$62,'415'!$D$64,'415'!$D$66,'415'!$D$68:$D$69,'415'!$D$71:$D$74,'415'!$D$76,'415'!$D$78:$D$85,'415'!$D$87:$D$88,'415'!$D$90,'415'!$D$92</definedName>
    <definedName name="OSRRefD22x_0" localSheetId="45">'418'!$D$24:$D$32,'418'!$D$34:$D$43,'418'!$D$45,'418'!$D$47,'418'!$D$49:$D$50,'418'!$D$52,'418'!$D$54,'418'!$D$56:$D$57,'418'!$D$59:$D$60,'418'!$D$62:$D$65,'418'!$D$67,'418'!$D$69:$D$77,'418'!$D$79:$D$80,'418'!$D$82,'418'!$D$84,'418'!$D$86</definedName>
    <definedName name="OSRRefD22x_0" localSheetId="46">'423'!$D$20:$D$27,'423'!$D$29:$D$38,'423'!$D$40,'423'!$D$42,'423'!$D$44,'423'!$D$46</definedName>
    <definedName name="OSRRefD22x_0" localSheetId="47">'424'!$D$21,'424'!$D$23,'424'!$D$25</definedName>
    <definedName name="OSRRefD22x_0" localSheetId="48">'425'!$D$22,'425'!$D$24,'425'!$D$26,'425'!$D$28,'425'!$D$30,'425'!$D$32:$D$34</definedName>
    <definedName name="OSRRefD22x_0" localSheetId="50">'430'!$D$20:$D$28,'430'!$D$30:$D$39,'430'!$D$41,'430'!$D$43,'430'!$D$45,'430'!$D$47:$D$49,'430'!$D$51:$D$52,'430'!$D$54,'430'!$D$56</definedName>
    <definedName name="OSRRefD22x_0" localSheetId="51">'433'!$D$27:$D$36,'433'!$D$38:$D$47,'433'!$D$49,'433'!$D$51,'433'!$D$53,'433'!$D$55,'433'!$D$57,'433'!$D$59,'433'!$D$61,'433'!$D$63,'433'!$D$65,'433'!$D$67:$D$69,'433'!$D$71:$D$74,'433'!$D$76:$D$83,'433'!$D$85,'433'!$D$87</definedName>
    <definedName name="OSRRefD22x_0" localSheetId="52">'435'!$D$23:$D$24,'435'!$D$26,'435'!$D$28,'435'!$D$30,'435'!$D$32</definedName>
    <definedName name="OSRRefD22x_0" localSheetId="53">'444'!$D$27:$D$36,'444'!$D$38:$D$47,'444'!$D$49,'444'!$D$51,'444'!$D$53,'444'!$D$55,'444'!$D$57,'444'!$D$59,'444'!$D$61,'444'!$D$63,'444'!$D$65,'444'!$D$67:$D$68,'444'!$D$70:$D$73,'444'!$D$75,'444'!$D$77:$D$85,'444'!$D$87,'444'!$D$89</definedName>
    <definedName name="OSRRefD22x_0" localSheetId="54">'450'!$D$27:$D$36,'450'!$D$38:$D$47,'450'!$D$49,'450'!$D$51,'450'!$D$53,'450'!$D$55,'450'!$D$57,'450'!$D$59,'450'!$D$61,'450'!$D$63,'450'!$D$65,'450'!$D$67:$D$69,'450'!$D$71:$D$74,'450'!$D$76:$D$82,'450'!$D$84,'450'!$D$86,'450'!$D$88</definedName>
    <definedName name="OSRRefD22x_0" localSheetId="37">'491'!$D$28:$D$37,'491'!$D$39:$D$48,'491'!$D$50,'491'!$D$52,'491'!$D$54,'491'!$D$56:$D$57,'491'!$D$59,'491'!$D$61,'491'!$D$63:$D$64,'491'!$D$66,'491'!$D$68,'491'!$D$70,'491'!$D$72,'491'!$D$74:$D$77,'491'!$D$79,'491'!$D$81:$D$85,'491'!$D$87,'491'!$D$89:$D$98,'491'!$D$100:$D$101,'491'!$D$103,'491'!$D$105:$D$106,'491'!$D$108</definedName>
    <definedName name="OSRRefD22x_0" localSheetId="49">'492'!$D$29:$D$38,'492'!$D$40:$D$49,'492'!$D$51,'492'!$D$53,'492'!$D$55,'492'!$D$57,'492'!$D$59,'492'!$D$61,'492'!$D$63,'492'!$D$65,'492'!$D$67,'492'!$D$69,'492'!$D$71:$D$73,'492'!$D$75:$D$78,'492'!$D$80,'492'!$D$82:$D$90,'492'!$D$92:$D$93,'492'!$D$95,'492'!$D$97:$D$98</definedName>
    <definedName name="OSRRefD22x_0" localSheetId="56">'501'!$D$21:$D$30,'501'!$D$32:$D$41,'501'!$D$43,'501'!$D$45,'501'!$D$47,'501'!$D$49:$D$50,'501'!$D$52,'501'!$D$54,'501'!$D$56,'501'!$D$58:$D$60,'501'!$D$62,'501'!$D$64:$D$66,'501'!$D$68,'501'!$D$70</definedName>
    <definedName name="OSRRefD22x_0" localSheetId="5">'Div 2'!$D$20:$D$30,'Div 2'!$D$32:$D$41,'Div 2'!$D$43,'Div 2'!$D$45,'Div 2'!$D$47,'Div 2'!$D$49:$D$50,'Div 2'!$D$52,'Div 2'!$D$54,'Div 2'!$D$56,'Div 2'!$D$58,'Div 2'!$D$60,'Div 2'!$D$62,'Div 2'!$D$64:$D$67,'Div 2'!$D$69:$D$72,'Div 2'!$D$74:$D$75,'Div 2'!$D$77:$D$78,'Div 2'!$D$80:$D$85,'Div 2'!$D$87:$D$88,'Div 2'!$D$90,'Div 2'!$D$92:$D$93</definedName>
    <definedName name="OSRRefD22x_0" localSheetId="13">'Div 3'!$D$60:$D$69,'Div 3'!$D$71:$D$80,'Div 3'!$D$82,'Div 3'!$D$84,'Div 3'!$D$86,'Div 3'!$D$88:$D$89,'Div 3'!$D$91:$D$92,'Div 3'!$D$94,'Div 3'!$D$96,'Div 3'!$D$98,'Div 3'!$D$100:$D$101,'Div 3'!$D$103:$D$104,'Div 3'!$D$106,'Div 3'!$D$108,'Div 3'!$D$110,'Div 3'!$D$112,'Div 3'!$D$114,'Div 3'!$D$116:$D$119,'Div 3'!$D$121:$D$124,'Div 3'!$D$126:$D$129,'Div 3'!$D$131:$D$132,'Div 3'!$D$134:$D$140,'Div 3'!$D$142:$D$143,'Div 3'!$D$145,'Div 3'!$D$147:$D$149,'Div 3'!$D$151</definedName>
    <definedName name="OSRRefD22x_0" localSheetId="35">'Div 4'!$D$31:$D$40,'Div 4'!$D$42:$D$51,'Div 4'!$D$53,'Div 4'!$D$55,'Div 4'!$D$57,'Div 4'!$D$59:$D$60,'Div 4'!$D$62,'Div 4'!$D$64,'Div 4'!$D$66,'Div 4'!$D$68:$D$69,'Div 4'!$D$71,'Div 4'!$D$73,'Div 4'!$D$75,'Div 4'!$D$77,'Div 4'!$D$79,'Div 4'!$D$81:$D$84,'Div 4'!$D$86,'Div 4'!$D$88:$D$92,'Div 4'!$D$94:$D$95,'Div 4'!$D$97:$D$106,'Div 4'!$D$108:$D$109,'Div 4'!$D$111,'Div 4'!$D$113:$D$114,'Div 4'!$D$116</definedName>
    <definedName name="OSRRefD22x_0" localSheetId="55">'Div 5'!$D$21:$D$30,'Div 5'!$D$32:$D$41,'Div 5'!$D$43,'Div 5'!$D$45,'Div 5'!$D$47,'Div 5'!$D$49:$D$50,'Div 5'!$D$52,'Div 5'!$D$54,'Div 5'!$D$56,'Div 5'!$D$58:$D$60,'Div 5'!$D$62,'Div 5'!$D$64:$D$66,'Div 5'!$D$68,'Div 5'!$D$70</definedName>
    <definedName name="OSRRefD22x_0" localSheetId="27">'Div 6'!$D$35:$D$44,'Div 6'!$D$46:$D$55,'Div 6'!$D$57,'Div 6'!$D$59,'Div 6'!$D$61,'Div 6'!$D$63,'Div 6'!$D$65,'Div 6'!$D$67,'Div 6'!$D$69,'Div 6'!$D$71:$D$72,'Div 6'!$D$74</definedName>
    <definedName name="OSRRefD22x_0" localSheetId="2">Summary!$D$68:$D$77,Summary!$D$79:$D$88,Summary!$D$90,Summary!$D$92,Summary!$D$94,Summary!$D$96:$D$97,Summary!$D$99:$D$100,Summary!$D$102,Summary!$D$104,Summary!$D$106,Summary!$D$108:$D$109,Summary!$D$111:$D$113,Summary!$D$115,Summary!$D$117,Summary!$D$119,Summary!$D$121,Summary!$D$123,Summary!$D$125,Summary!$D$127:$D$130,Summary!$D$132:$D$135,Summary!$D$137:$D$141,Summary!$D$143:$D$144,Summary!$D$146:$D$155,Summary!$D$157:$D$158,Summary!$D$160,Summary!$D$162:$D$164,Summary!$D$166</definedName>
    <definedName name="OSRRefD25x_0" localSheetId="14">'300'!$D$145:$D$149</definedName>
    <definedName name="OSRRefD25x_0" localSheetId="15">'300 &amp; 317'!$D$151:$D$157</definedName>
    <definedName name="OSRRefD25x_0" localSheetId="16">'301'!$D$99:$D$100</definedName>
    <definedName name="OSRRefD25x_0" localSheetId="17">'308'!$D$88:$D$91</definedName>
    <definedName name="OSRRefD25x_0" localSheetId="36">'310 &amp; 491'!$D$113:$D$116</definedName>
    <definedName name="OSRRefD25x_0" localSheetId="18">'311'!$D$88:$D$91</definedName>
    <definedName name="OSRRefD25x_0" localSheetId="23">'315'!$D$108:$D$111</definedName>
    <definedName name="OSRRefD25x_0" localSheetId="26">'316'!$D$78</definedName>
    <definedName name="OSRRefD25x_0" localSheetId="28">'317'!$D$77:$D$79</definedName>
    <definedName name="OSRRefD25x_0" localSheetId="22">'331'!$D$120:$D$123</definedName>
    <definedName name="OSRRefD25x_0" localSheetId="25">'332'!$D$78</definedName>
    <definedName name="OSRRefD25x_0" localSheetId="20">'333'!$D$125:$D$128</definedName>
    <definedName name="OSRRefD25x_0" localSheetId="38">'405'!$D$92</definedName>
    <definedName name="OSRRefD25x_0" localSheetId="40">'411'!$D$80</definedName>
    <definedName name="OSRRefD25x_0" localSheetId="44">'415'!$D$95</definedName>
    <definedName name="OSRRefD25x_0" localSheetId="45">'418'!$D$89</definedName>
    <definedName name="OSRRefD25x_0" localSheetId="46">'423'!$D$49:$D$51</definedName>
    <definedName name="OSRRefD25x_0" localSheetId="37">'491'!$D$111:$D$114</definedName>
    <definedName name="OSRRefD25x_0" localSheetId="56">'501'!$D$73</definedName>
    <definedName name="OSRRefD25x_0" localSheetId="13">'Div 3'!$D$154:$D$158</definedName>
    <definedName name="OSRRefD25x_0" localSheetId="35">'Div 4'!$D$119:$D$122</definedName>
    <definedName name="OSRRefD25x_0" localSheetId="55">'Div 5'!$D$73</definedName>
    <definedName name="OSRRefD25x_0" localSheetId="27">'Div 6'!$D$77:$D$79</definedName>
    <definedName name="OSRRefD25x_0" localSheetId="2">Summary!$D$169:$D$176</definedName>
    <definedName name="OSRRefH13x_0" localSheetId="14">'300'!$H$13:$H$19</definedName>
    <definedName name="OSRRefH13x_0" localSheetId="15">'300 &amp; 317'!$H$13:$H$19</definedName>
    <definedName name="OSRRefH13x_0" localSheetId="21">'307'!$H$13:$H$16</definedName>
    <definedName name="OSRRefH13x_0" localSheetId="17">'308'!$H$13:$H$17</definedName>
    <definedName name="OSRRefH13x_0" localSheetId="31">'309'!$H$13:$H$16</definedName>
    <definedName name="OSRRefH13x_0" localSheetId="30">'310'!$H$13:$H$18</definedName>
    <definedName name="OSRRefH13x_0" localSheetId="36">'310 &amp; 491'!$H$13:$H$18</definedName>
    <definedName name="OSRRefH13x_0" localSheetId="18">'311'!$H$13:$H$17</definedName>
    <definedName name="OSRRefH13x_0" localSheetId="23">'315'!$H$13:$H$17</definedName>
    <definedName name="OSRRefH13x_0" localSheetId="26">'316'!$H$13:$H$17</definedName>
    <definedName name="OSRRefH13x_0" localSheetId="28">'317'!$H$13:$H$17</definedName>
    <definedName name="OSRRefH13x_0" localSheetId="32">'321'!$H$13:$H$14</definedName>
    <definedName name="OSRRefH13x_0" localSheetId="19">'324'!$H$13:$H$14</definedName>
    <definedName name="OSRRefH13x_0" localSheetId="33">'325'!$H$13:$H$14</definedName>
    <definedName name="OSRRefH13x_0" localSheetId="24">'326'!$H$13:$H$16</definedName>
    <definedName name="OSRRefH13x_0" localSheetId="34">'327'!$H$13:$H$15</definedName>
    <definedName name="OSRRefH13x_0" localSheetId="22">'331'!$H$13:$H$17</definedName>
    <definedName name="OSRRefH13x_0" localSheetId="25">'332'!$H$13:$H$17</definedName>
    <definedName name="OSRRefH13x_0" localSheetId="20">'333'!$H$13:$H$17</definedName>
    <definedName name="OSRRefH13x_0" localSheetId="38">'405'!$H$13:$H$16</definedName>
    <definedName name="OSRRefH13x_0" localSheetId="44">'415'!$H$13:$H$16</definedName>
    <definedName name="OSRRefH13x_0" localSheetId="45">'418'!$H$13:$H$14</definedName>
    <definedName name="OSRRefH13x_0" localSheetId="48">'425'!$H$13</definedName>
    <definedName name="OSRRefH13x_0" localSheetId="51">'433'!$H$13:$H$16</definedName>
    <definedName name="OSRRefH13x_0" localSheetId="52">'435'!$H$13:$H$14</definedName>
    <definedName name="OSRRefH13x_0" localSheetId="53">'444'!$H$13:$H$16</definedName>
    <definedName name="OSRRefH13x_0" localSheetId="54">'450'!$H$13:$H$16</definedName>
    <definedName name="OSRRefH13x_0" localSheetId="37">'491'!$H$13:$H$17</definedName>
    <definedName name="OSRRefH13x_0" localSheetId="49">'492'!$H$13:$H$18</definedName>
    <definedName name="OSRRefH13x_0" localSheetId="56">'501'!$H$13</definedName>
    <definedName name="OSRRefH13x_0" localSheetId="13">'Div 3'!$H$13:$H$23</definedName>
    <definedName name="OSRRefH13x_0" localSheetId="35">'Div 4'!$H$13:$H$20</definedName>
    <definedName name="OSRRefH13x_0" localSheetId="55">'Div 5'!$H$13</definedName>
    <definedName name="OSRRefH13x_0" localSheetId="27">'Div 6'!$H$13:$H$17</definedName>
    <definedName name="OSRRefH13x_0" localSheetId="2">Summary!$H$13:$H$25</definedName>
    <definedName name="OSRRefH16x_0" localSheetId="14">'300'!$H$22:$H$48</definedName>
    <definedName name="OSRRefH16x_0" localSheetId="15">'300 &amp; 317'!$H$22:$H$54</definedName>
    <definedName name="OSRRefH16x_0" localSheetId="16">'301'!$H$15</definedName>
    <definedName name="OSRRefH16x_0" localSheetId="21">'307'!$H$19:$H$28</definedName>
    <definedName name="OSRRefH16x_0" localSheetId="17">'308'!$H$20:$H$29</definedName>
    <definedName name="OSRRefH16x_0" localSheetId="31">'309'!$H$19:$H$20</definedName>
    <definedName name="OSRRefH16x_0" localSheetId="30">'310'!$H$21:$H$23</definedName>
    <definedName name="OSRRefH16x_0" localSheetId="36">'310 &amp; 491'!$H$21:$H$23</definedName>
    <definedName name="OSRRefH16x_0" localSheetId="18">'311'!$H$20:$H$29</definedName>
    <definedName name="OSRRefH16x_0" localSheetId="23">'315'!$H$20:$H$38</definedName>
    <definedName name="OSRRefH16x_0" localSheetId="26">'316'!$H$20:$H$21</definedName>
    <definedName name="OSRRefH16x_0" localSheetId="28">'317'!$H$20:$H$29</definedName>
    <definedName name="OSRRefH16x_0" localSheetId="32">'321'!$H$17:$H$18</definedName>
    <definedName name="OSRRefH16x_0" localSheetId="19">'324'!$H$17</definedName>
    <definedName name="OSRRefH16x_0" localSheetId="33">'325'!$H$17:$H$19</definedName>
    <definedName name="OSRRefH16x_0" localSheetId="24">'326'!$H$19:$H$22</definedName>
    <definedName name="OSRRefH16x_0" localSheetId="34">'327'!$H$18:$H$20</definedName>
    <definedName name="OSRRefH16x_0" localSheetId="22">'331'!$H$20:$H$38</definedName>
    <definedName name="OSRRefH16x_0" localSheetId="25">'332'!$H$20:$H$21</definedName>
    <definedName name="OSRRefH16x_0" localSheetId="20">'333'!$H$20:$H$40</definedName>
    <definedName name="OSRRefH16x_0" localSheetId="38">'405'!$H$19:$H$21</definedName>
    <definedName name="OSRRefH16x_0" localSheetId="41">'412'!$H$15</definedName>
    <definedName name="OSRRefH16x_0" localSheetId="44">'415'!$H$19:$H$21</definedName>
    <definedName name="OSRRefH16x_0" localSheetId="45">'418'!$H$17:$H$18</definedName>
    <definedName name="OSRRefH16x_0" localSheetId="47">'424'!$H$15</definedName>
    <definedName name="OSRRefH16x_0" localSheetId="48">'425'!$H$16</definedName>
    <definedName name="OSRRefH16x_0" localSheetId="51">'433'!$H$19:$H$21</definedName>
    <definedName name="OSRRefH16x_0" localSheetId="52">'435'!$H$17</definedName>
    <definedName name="OSRRefH16x_0" localSheetId="53">'444'!$H$19:$H$21</definedName>
    <definedName name="OSRRefH16x_0" localSheetId="54">'450'!$H$19:$H$21</definedName>
    <definedName name="OSRRefH16x_0" localSheetId="37">'491'!$H$20:$H$22</definedName>
    <definedName name="OSRRefH16x_0" localSheetId="49">'492'!$H$21:$H$23</definedName>
    <definedName name="OSRRefH16x_0" localSheetId="13">'Div 3'!$H$26:$H$54</definedName>
    <definedName name="OSRRefH16x_0" localSheetId="35">'Div 4'!$H$23:$H$25</definedName>
    <definedName name="OSRRefH16x_0" localSheetId="27">'Div 6'!$H$20:$H$29</definedName>
    <definedName name="OSRRefH16x_0" localSheetId="2">Summary!$H$28:$H$62</definedName>
    <definedName name="OSRRefH22_0x_0" localSheetId="6">'200'!$H$20:$H$21</definedName>
    <definedName name="OSRRefH22_0x_0" localSheetId="7">'201'!$H$20:$H$28</definedName>
    <definedName name="OSRRefH22_0x_0" localSheetId="8">'202'!$H$20:$H$28</definedName>
    <definedName name="OSRRefH22_0x_0" localSheetId="9">'203'!$H$20:$H$29</definedName>
    <definedName name="OSRRefH22_0x_0" localSheetId="10">'204'!$H$20:$H$29</definedName>
    <definedName name="OSRRefH22_0x_0" localSheetId="11">'205'!$H$20:$H$28</definedName>
    <definedName name="OSRRefH22_0x_0" localSheetId="12">'206'!$H$20:$H$28</definedName>
    <definedName name="OSRRefH22_0x_0" localSheetId="14">'300'!$H$54:$H$63</definedName>
    <definedName name="OSRRefH22_0x_0" localSheetId="15">'300 &amp; 317'!$H$60:$H$69</definedName>
    <definedName name="OSRRefH22_0x_0" localSheetId="16">'301'!$H$21:$H$30</definedName>
    <definedName name="OSRRefH22_0x_0" localSheetId="21">'307'!$H$34:$H$42</definedName>
    <definedName name="OSRRefH22_0x_0" localSheetId="17">'308'!$H$35:$H$44</definedName>
    <definedName name="OSRRefH22_0x_0" localSheetId="31">'309'!$H$26:$H$27</definedName>
    <definedName name="OSRRefH22_0x_0" localSheetId="30">'310'!$H$29:$H$38</definedName>
    <definedName name="OSRRefH22_0x_0" localSheetId="36">'310 &amp; 491'!$H$29:$H$38</definedName>
    <definedName name="OSRRefH22_0x_0" localSheetId="18">'311'!$H$35:$H$44</definedName>
    <definedName name="OSRRefH22_0x_0" localSheetId="23">'315'!$H$44:$H$52</definedName>
    <definedName name="OSRRefH22_0x_0" localSheetId="26">'316'!$H$27:$H$35</definedName>
    <definedName name="OSRRefH22_0x_0" localSheetId="28">'317'!$H$35:$H$44</definedName>
    <definedName name="OSRRefH22_0x_0" localSheetId="32">'321'!$H$24:$H$33</definedName>
    <definedName name="OSRRefH22_0x_0" localSheetId="33">'325'!$H$25:$H$33</definedName>
    <definedName name="OSRRefH22_0x_0" localSheetId="24">'326'!$H$28:$H$36</definedName>
    <definedName name="OSRRefH22_0x_0" localSheetId="34">'327'!$H$26</definedName>
    <definedName name="OSRRefH22_0x_0" localSheetId="22">'331'!$H$44:$H$52</definedName>
    <definedName name="OSRRefH22_0x_0" localSheetId="25">'332'!$H$27:$H$35</definedName>
    <definedName name="OSRRefH22_0x_0" localSheetId="20">'333'!$H$46:$H$54</definedName>
    <definedName name="OSRRefH22_0x_0" localSheetId="38">'405'!$H$27:$H$35</definedName>
    <definedName name="OSRRefH22_0x_0" localSheetId="39">'406'!$H$20</definedName>
    <definedName name="OSRRefH22_0x_0" localSheetId="40">'411'!$H$20:$H$28</definedName>
    <definedName name="OSRRefH22_0x_0" localSheetId="41">'412'!$H$21</definedName>
    <definedName name="OSRRefH22_0x_0" localSheetId="42">'413'!$H$20</definedName>
    <definedName name="OSRRefH22_0x_0" localSheetId="43">'414'!$H$20</definedName>
    <definedName name="OSRRefH22_0x_0" localSheetId="44">'415'!$H$27:$H$36</definedName>
    <definedName name="OSRRefH22_0x_0" localSheetId="45">'418'!$H$24:$H$32</definedName>
    <definedName name="OSRRefH22_0x_0" localSheetId="46">'423'!$H$20:$H$27</definedName>
    <definedName name="OSRRefH22_0x_0" localSheetId="47">'424'!$H$21</definedName>
    <definedName name="OSRRefH22_0x_0" localSheetId="48">'425'!$H$22</definedName>
    <definedName name="OSRRefH22_0x_0" localSheetId="50">'430'!$H$20:$H$28</definedName>
    <definedName name="OSRRefH22_0x_0" localSheetId="51">'433'!$H$27:$H$36</definedName>
    <definedName name="OSRRefH22_0x_0" localSheetId="52">'435'!$H$23:$H$24</definedName>
    <definedName name="OSRRefH22_0x_0" localSheetId="53">'444'!$H$27:$H$36</definedName>
    <definedName name="OSRRefH22_0x_0" localSheetId="54">'450'!$H$27:$H$36</definedName>
    <definedName name="OSRRefH22_0x_0" localSheetId="37">'491'!$H$28:$H$37</definedName>
    <definedName name="OSRRefH22_0x_0" localSheetId="49">'492'!$H$29:$H$38</definedName>
    <definedName name="OSRRefH22_0x_0" localSheetId="56">'501'!$H$21:$H$30</definedName>
    <definedName name="OSRRefH22_0x_0" localSheetId="5">'Div 2'!$H$20:$H$30</definedName>
    <definedName name="OSRRefH22_0x_0" localSheetId="13">'Div 3'!$H$60:$H$69</definedName>
    <definedName name="OSRRefH22_0x_0" localSheetId="35">'Div 4'!$H$31:$H$40</definedName>
    <definedName name="OSRRefH22_0x_0" localSheetId="55">'Div 5'!$H$21:$H$30</definedName>
    <definedName name="OSRRefH22_0x_0" localSheetId="27">'Div 6'!$H$35:$H$44</definedName>
    <definedName name="OSRRefH22_0x_0" localSheetId="2">Summary!$H$68:$H$77</definedName>
    <definedName name="OSRRefH22_10x_0" localSheetId="7">'201'!$H$57:$H$59</definedName>
    <definedName name="OSRRefH22_10x_0" localSheetId="8">'202'!$H$59:$H$60</definedName>
    <definedName name="OSRRefH22_10x_0" localSheetId="9">'203'!$H$61:$H$62</definedName>
    <definedName name="OSRRefH22_10x_0" localSheetId="10">'204'!$H$64</definedName>
    <definedName name="OSRRefH22_10x_0" localSheetId="14">'300'!$H$94:$H$95</definedName>
    <definedName name="OSRRefH22_10x_0" localSheetId="15">'300 &amp; 317'!$H$100:$H$101</definedName>
    <definedName name="OSRRefH22_10x_0" localSheetId="16">'301'!$H$61</definedName>
    <definedName name="OSRRefH22_10x_0" localSheetId="21">'307'!$H$73:$H$74</definedName>
    <definedName name="OSRRefH22_10x_0" localSheetId="17">'308'!$H$76:$H$77</definedName>
    <definedName name="OSRRefH22_10x_0" localSheetId="31">'309'!$H$50:$H$51</definedName>
    <definedName name="OSRRefH22_10x_0" localSheetId="30">'310'!$H$68</definedName>
    <definedName name="OSRRefH22_10x_0" localSheetId="36">'310 &amp; 491'!$H$69</definedName>
    <definedName name="OSRRefH22_10x_0" localSheetId="18">'311'!$H$76:$H$77</definedName>
    <definedName name="OSRRefH22_10x_0" localSheetId="23">'315'!$H$82</definedName>
    <definedName name="OSRRefH22_10x_0" localSheetId="26">'316'!$H$67</definedName>
    <definedName name="OSRRefH22_10x_0" localSheetId="28">'317'!$H$74</definedName>
    <definedName name="OSRRefH22_10x_0" localSheetId="32">'321'!$H$66:$H$69</definedName>
    <definedName name="OSRRefH22_10x_0" localSheetId="33">'325'!$H$63</definedName>
    <definedName name="OSRRefH22_10x_0" localSheetId="24">'326'!$H$66</definedName>
    <definedName name="OSRRefH22_10x_0" localSheetId="22">'331'!$H$83</definedName>
    <definedName name="OSRRefH22_10x_0" localSheetId="25">'332'!$H$67</definedName>
    <definedName name="OSRRefH22_10x_0" localSheetId="20">'333'!$H$86</definedName>
    <definedName name="OSRRefH22_10x_0" localSheetId="38">'405'!$H$66:$H$69</definedName>
    <definedName name="OSRRefH22_10x_0" localSheetId="40">'411'!$H$61:$H$63</definedName>
    <definedName name="OSRRefH22_10x_0" localSheetId="44">'415'!$H$66</definedName>
    <definedName name="OSRRefH22_10x_0" localSheetId="45">'418'!$H$67</definedName>
    <definedName name="OSRRefH22_10x_0" localSheetId="51">'433'!$H$65</definedName>
    <definedName name="OSRRefH22_10x_0" localSheetId="53">'444'!$H$65</definedName>
    <definedName name="OSRRefH22_10x_0" localSheetId="54">'450'!$H$65</definedName>
    <definedName name="OSRRefH22_10x_0" localSheetId="37">'491'!$H$68</definedName>
    <definedName name="OSRRefH22_10x_0" localSheetId="49">'492'!$H$67</definedName>
    <definedName name="OSRRefH22_10x_0" localSheetId="56">'501'!$H$62</definedName>
    <definedName name="OSRRefH22_10x_0" localSheetId="5">'Div 2'!$H$60</definedName>
    <definedName name="OSRRefH22_10x_0" localSheetId="13">'Div 3'!$H$100:$H$101</definedName>
    <definedName name="OSRRefH22_10x_0" localSheetId="35">'Div 4'!$H$71</definedName>
    <definedName name="OSRRefH22_10x_0" localSheetId="55">'Div 5'!$H$62</definedName>
    <definedName name="OSRRefH22_10x_0" localSheetId="27">'Div 6'!$H$74</definedName>
    <definedName name="OSRRefH22_10x_0" localSheetId="2">Summary!$H$108:$H$109</definedName>
    <definedName name="OSRRefH22_11x_0" localSheetId="7">'201'!$H$61:$H$62</definedName>
    <definedName name="OSRRefH22_11x_0" localSheetId="8">'202'!$H$62</definedName>
    <definedName name="OSRRefH22_11x_0" localSheetId="9">'203'!$H$64:$H$67</definedName>
    <definedName name="OSRRefH22_11x_0" localSheetId="14">'300'!$H$97:$H$98</definedName>
    <definedName name="OSRRefH22_11x_0" localSheetId="15">'300 &amp; 317'!$H$103:$H$104</definedName>
    <definedName name="OSRRefH22_11x_0" localSheetId="16">'301'!$H$63</definedName>
    <definedName name="OSRRefH22_11x_0" localSheetId="21">'307'!$H$76</definedName>
    <definedName name="OSRRefH22_11x_0" localSheetId="17">'308'!$H$79:$H$80</definedName>
    <definedName name="OSRRefH22_11x_0" localSheetId="31">'309'!$H$53</definedName>
    <definedName name="OSRRefH22_11x_0" localSheetId="30">'310'!$H$70:$H$72</definedName>
    <definedName name="OSRRefH22_11x_0" localSheetId="36">'310 &amp; 491'!$H$71</definedName>
    <definedName name="OSRRefH22_11x_0" localSheetId="18">'311'!$H$79:$H$80</definedName>
    <definedName name="OSRRefH22_11x_0" localSheetId="23">'315'!$H$84</definedName>
    <definedName name="OSRRefH22_11x_0" localSheetId="26">'316'!$H$69:$H$73</definedName>
    <definedName name="OSRRefH22_11x_0" localSheetId="32">'321'!$H$71</definedName>
    <definedName name="OSRRefH22_11x_0" localSheetId="33">'325'!$H$65:$H$67</definedName>
    <definedName name="OSRRefH22_11x_0" localSheetId="24">'326'!$H$68:$H$69</definedName>
    <definedName name="OSRRefH22_11x_0" localSheetId="22">'331'!$H$85</definedName>
    <definedName name="OSRRefH22_11x_0" localSheetId="25">'332'!$H$69:$H$73</definedName>
    <definedName name="OSRRefH22_11x_0" localSheetId="20">'333'!$H$88</definedName>
    <definedName name="OSRRefH22_11x_0" localSheetId="38">'405'!$H$71</definedName>
    <definedName name="OSRRefH22_11x_0" localSheetId="40">'411'!$H$65</definedName>
    <definedName name="OSRRefH22_11x_0" localSheetId="44">'415'!$H$68:$H$69</definedName>
    <definedName name="OSRRefH22_11x_0" localSheetId="45">'418'!$H$69:$H$77</definedName>
    <definedName name="OSRRefH22_11x_0" localSheetId="51">'433'!$H$67:$H$69</definedName>
    <definedName name="OSRRefH22_11x_0" localSheetId="53">'444'!$H$67:$H$68</definedName>
    <definedName name="OSRRefH22_11x_0" localSheetId="54">'450'!$H$67:$H$69</definedName>
    <definedName name="OSRRefH22_11x_0" localSheetId="37">'491'!$H$70</definedName>
    <definedName name="OSRRefH22_11x_0" localSheetId="49">'492'!$H$69</definedName>
    <definedName name="OSRRefH22_11x_0" localSheetId="56">'501'!$H$64:$H$66</definedName>
    <definedName name="OSRRefH22_11x_0" localSheetId="5">'Div 2'!$H$62</definedName>
    <definedName name="OSRRefH22_11x_0" localSheetId="13">'Div 3'!$H$103:$H$104</definedName>
    <definedName name="OSRRefH22_11x_0" localSheetId="35">'Div 4'!$H$73</definedName>
    <definedName name="OSRRefH22_11x_0" localSheetId="55">'Div 5'!$H$64:$H$66</definedName>
    <definedName name="OSRRefH22_11x_0" localSheetId="2">Summary!$H$111:$H$113</definedName>
    <definedName name="OSRRefH22_12x_0" localSheetId="7">'201'!$H$64</definedName>
    <definedName name="OSRRefH22_12x_0" localSheetId="8">'202'!$H$64</definedName>
    <definedName name="OSRRefH22_12x_0" localSheetId="9">'203'!$H$69</definedName>
    <definedName name="OSRRefH22_12x_0" localSheetId="14">'300'!$H$100</definedName>
    <definedName name="OSRRefH22_12x_0" localSheetId="15">'300 &amp; 317'!$H$106</definedName>
    <definedName name="OSRRefH22_12x_0" localSheetId="16">'301'!$H$65</definedName>
    <definedName name="OSRRefH22_12x_0" localSheetId="21">'307'!$H$78:$H$81</definedName>
    <definedName name="OSRRefH22_12x_0" localSheetId="17">'308'!$H$82:$H$83</definedName>
    <definedName name="OSRRefH22_12x_0" localSheetId="31">'309'!$H$55</definedName>
    <definedName name="OSRRefH22_12x_0" localSheetId="30">'310'!$H$74:$H$75</definedName>
    <definedName name="OSRRefH22_12x_0" localSheetId="36">'310 &amp; 491'!$H$73</definedName>
    <definedName name="OSRRefH22_12x_0" localSheetId="18">'311'!$H$82:$H$83</definedName>
    <definedName name="OSRRefH22_12x_0" localSheetId="23">'315'!$H$86:$H$87</definedName>
    <definedName name="OSRRefH22_12x_0" localSheetId="26">'316'!$H$75</definedName>
    <definedName name="OSRRefH22_12x_0" localSheetId="32">'321'!$H$73</definedName>
    <definedName name="OSRRefH22_12x_0" localSheetId="33">'325'!$H$69:$H$71</definedName>
    <definedName name="OSRRefH22_12x_0" localSheetId="24">'326'!$H$71:$H$72</definedName>
    <definedName name="OSRRefH22_12x_0" localSheetId="22">'331'!$H$87</definedName>
    <definedName name="OSRRefH22_12x_0" localSheetId="25">'332'!$H$75</definedName>
    <definedName name="OSRRefH22_12x_0" localSheetId="20">'333'!$H$90</definedName>
    <definedName name="OSRRefH22_12x_0" localSheetId="38">'405'!$H$73:$H$81</definedName>
    <definedName name="OSRRefH22_12x_0" localSheetId="40">'411'!$H$67:$H$68</definedName>
    <definedName name="OSRRefH22_12x_0" localSheetId="44">'415'!$H$71:$H$74</definedName>
    <definedName name="OSRRefH22_12x_0" localSheetId="45">'418'!$H$79:$H$80</definedName>
    <definedName name="OSRRefH22_12x_0" localSheetId="51">'433'!$H$71:$H$74</definedName>
    <definedName name="OSRRefH22_12x_0" localSheetId="53">'444'!$H$70:$H$73</definedName>
    <definedName name="OSRRefH22_12x_0" localSheetId="54">'450'!$H$71:$H$74</definedName>
    <definedName name="OSRRefH22_12x_0" localSheetId="37">'491'!$H$72</definedName>
    <definedName name="OSRRefH22_12x_0" localSheetId="49">'492'!$H$71:$H$73</definedName>
    <definedName name="OSRRefH22_12x_0" localSheetId="56">'501'!$H$68</definedName>
    <definedName name="OSRRefH22_12x_0" localSheetId="5">'Div 2'!$H$64:$H$67</definedName>
    <definedName name="OSRRefH22_12x_0" localSheetId="13">'Div 3'!$H$106</definedName>
    <definedName name="OSRRefH22_12x_0" localSheetId="35">'Div 4'!$H$75</definedName>
    <definedName name="OSRRefH22_12x_0" localSheetId="55">'Div 5'!$H$68</definedName>
    <definedName name="OSRRefH22_12x_0" localSheetId="2">Summary!$H$115</definedName>
    <definedName name="OSRRefH22_13x_0" localSheetId="7">'201'!$H$66:$H$67</definedName>
    <definedName name="OSRRefH22_13x_0" localSheetId="8">'202'!$H$66</definedName>
    <definedName name="OSRRefH22_13x_0" localSheetId="9">'203'!$H$71</definedName>
    <definedName name="OSRRefH22_13x_0" localSheetId="14">'300'!$H$102</definedName>
    <definedName name="OSRRefH22_13x_0" localSheetId="15">'300 &amp; 317'!$H$108</definedName>
    <definedName name="OSRRefH22_13x_0" localSheetId="16">'301'!$H$67</definedName>
    <definedName name="OSRRefH22_13x_0" localSheetId="21">'307'!$H$83</definedName>
    <definedName name="OSRRefH22_13x_0" localSheetId="17">'308'!$H$85</definedName>
    <definedName name="OSRRefH22_13x_0" localSheetId="30">'310'!$H$77:$H$79</definedName>
    <definedName name="OSRRefH22_13x_0" localSheetId="36">'310 &amp; 491'!$H$75:$H$78</definedName>
    <definedName name="OSRRefH22_13x_0" localSheetId="18">'311'!$H$85</definedName>
    <definedName name="OSRRefH22_13x_0" localSheetId="23">'315'!$H$89:$H$91</definedName>
    <definedName name="OSRRefH22_13x_0" localSheetId="32">'321'!$H$75</definedName>
    <definedName name="OSRRefH22_13x_0" localSheetId="33">'325'!$H$73:$H$78</definedName>
    <definedName name="OSRRefH22_13x_0" localSheetId="24">'326'!$H$74:$H$75</definedName>
    <definedName name="OSRRefH22_13x_0" localSheetId="22">'331'!$H$89</definedName>
    <definedName name="OSRRefH22_13x_0" localSheetId="20">'333'!$H$92</definedName>
    <definedName name="OSRRefH22_13x_0" localSheetId="38">'405'!$H$83</definedName>
    <definedName name="OSRRefH22_13x_0" localSheetId="40">'411'!$H$70</definedName>
    <definedName name="OSRRefH22_13x_0" localSheetId="44">'415'!$H$76</definedName>
    <definedName name="OSRRefH22_13x_0" localSheetId="45">'418'!$H$82</definedName>
    <definedName name="OSRRefH22_13x_0" localSheetId="51">'433'!$H$76:$H$83</definedName>
    <definedName name="OSRRefH22_13x_0" localSheetId="53">'444'!$H$75</definedName>
    <definedName name="OSRRefH22_13x_0" localSheetId="54">'450'!$H$76:$H$82</definedName>
    <definedName name="OSRRefH22_13x_0" localSheetId="37">'491'!$H$74:$H$77</definedName>
    <definedName name="OSRRefH22_13x_0" localSheetId="49">'492'!$H$75:$H$78</definedName>
    <definedName name="OSRRefH22_13x_0" localSheetId="56">'501'!$H$70</definedName>
    <definedName name="OSRRefH22_13x_0" localSheetId="5">'Div 2'!$H$69:$H$72</definedName>
    <definedName name="OSRRefH22_13x_0" localSheetId="13">'Div 3'!$H$108</definedName>
    <definedName name="OSRRefH22_13x_0" localSheetId="35">'Div 4'!$H$77</definedName>
    <definedName name="OSRRefH22_13x_0" localSheetId="55">'Div 5'!$H$70</definedName>
    <definedName name="OSRRefH22_13x_0" localSheetId="2">Summary!$H$117</definedName>
    <definedName name="OSRRefH22_14x_0" localSheetId="7">'201'!$H$69</definedName>
    <definedName name="OSRRefH22_14x_0" localSheetId="9">'203'!$H$73</definedName>
    <definedName name="OSRRefH22_14x_0" localSheetId="14">'300'!$H$104</definedName>
    <definedName name="OSRRefH22_14x_0" localSheetId="15">'300 &amp; 317'!$H$110</definedName>
    <definedName name="OSRRefH22_14x_0" localSheetId="16">'301'!$H$69</definedName>
    <definedName name="OSRRefH22_14x_0" localSheetId="30">'310'!$H$81:$H$86</definedName>
    <definedName name="OSRRefH22_14x_0" localSheetId="36">'310 &amp; 491'!$H$80:$H$81</definedName>
    <definedName name="OSRRefH22_14x_0" localSheetId="23">'315'!$H$93:$H$94</definedName>
    <definedName name="OSRRefH22_14x_0" localSheetId="33">'325'!$H$80:$H$81</definedName>
    <definedName name="OSRRefH22_14x_0" localSheetId="24">'326'!$H$77:$H$79</definedName>
    <definedName name="OSRRefH22_14x_0" localSheetId="22">'331'!$H$91:$H$92</definedName>
    <definedName name="OSRRefH22_14x_0" localSheetId="20">'333'!$H$94:$H$95</definedName>
    <definedName name="OSRRefH22_14x_0" localSheetId="38">'405'!$H$85</definedName>
    <definedName name="OSRRefH22_14x_0" localSheetId="40">'411'!$H$72</definedName>
    <definedName name="OSRRefH22_14x_0" localSheetId="44">'415'!$H$78:$H$85</definedName>
    <definedName name="OSRRefH22_14x_0" localSheetId="45">'418'!$H$84</definedName>
    <definedName name="OSRRefH22_14x_0" localSheetId="51">'433'!$H$85</definedName>
    <definedName name="OSRRefH22_14x_0" localSheetId="53">'444'!$H$77:$H$85</definedName>
    <definedName name="OSRRefH22_14x_0" localSheetId="54">'450'!$H$84</definedName>
    <definedName name="OSRRefH22_14x_0" localSheetId="37">'491'!$H$79</definedName>
    <definedName name="OSRRefH22_14x_0" localSheetId="49">'492'!$H$80</definedName>
    <definedName name="OSRRefH22_14x_0" localSheetId="5">'Div 2'!$H$74:$H$75</definedName>
    <definedName name="OSRRefH22_14x_0" localSheetId="13">'Div 3'!$H$110</definedName>
    <definedName name="OSRRefH22_14x_0" localSheetId="35">'Div 4'!$H$79</definedName>
    <definedName name="OSRRefH22_14x_0" localSheetId="2">Summary!$H$119</definedName>
    <definedName name="OSRRefH22_15x_0" localSheetId="7">'201'!$H$71</definedName>
    <definedName name="OSRRefH22_15x_0" localSheetId="14">'300'!$H$106</definedName>
    <definedName name="OSRRefH22_15x_0" localSheetId="15">'300 &amp; 317'!$H$112</definedName>
    <definedName name="OSRRefH22_15x_0" localSheetId="16">'301'!$H$71:$H$74</definedName>
    <definedName name="OSRRefH22_15x_0" localSheetId="30">'310'!$H$88:$H$89</definedName>
    <definedName name="OSRRefH22_15x_0" localSheetId="36">'310 &amp; 491'!$H$83:$H$87</definedName>
    <definedName name="OSRRefH22_15x_0" localSheetId="23">'315'!$H$96:$H$99</definedName>
    <definedName name="OSRRefH22_15x_0" localSheetId="33">'325'!$H$83</definedName>
    <definedName name="OSRRefH22_15x_0" localSheetId="24">'326'!$H$81</definedName>
    <definedName name="OSRRefH22_15x_0" localSheetId="22">'331'!$H$94:$H$96</definedName>
    <definedName name="OSRRefH22_15x_0" localSheetId="20">'333'!$H$97:$H$99</definedName>
    <definedName name="OSRRefH22_15x_0" localSheetId="38">'405'!$H$87</definedName>
    <definedName name="OSRRefH22_15x_0" localSheetId="40">'411'!$H$74:$H$75</definedName>
    <definedName name="OSRRefH22_15x_0" localSheetId="44">'415'!$H$87:$H$88</definedName>
    <definedName name="OSRRefH22_15x_0" localSheetId="45">'418'!$H$86</definedName>
    <definedName name="OSRRefH22_15x_0" localSheetId="51">'433'!$H$87</definedName>
    <definedName name="OSRRefH22_15x_0" localSheetId="53">'444'!$H$87</definedName>
    <definedName name="OSRRefH22_15x_0" localSheetId="54">'450'!$H$86</definedName>
    <definedName name="OSRRefH22_15x_0" localSheetId="37">'491'!$H$81:$H$85</definedName>
    <definedName name="OSRRefH22_15x_0" localSheetId="49">'492'!$H$82:$H$90</definedName>
    <definedName name="OSRRefH22_15x_0" localSheetId="5">'Div 2'!$H$77:$H$78</definedName>
    <definedName name="OSRRefH22_15x_0" localSheetId="13">'Div 3'!$H$112</definedName>
    <definedName name="OSRRefH22_15x_0" localSheetId="35">'Div 4'!$H$81:$H$84</definedName>
    <definedName name="OSRRefH22_15x_0" localSheetId="2">Summary!$H$121</definedName>
    <definedName name="OSRRefH22_16x_0" localSheetId="7">'201'!$H$73</definedName>
    <definedName name="OSRRefH22_16x_0" localSheetId="14">'300'!$H$108:$H$111</definedName>
    <definedName name="OSRRefH22_16x_0" localSheetId="15">'300 &amp; 317'!$H$114:$H$117</definedName>
    <definedName name="OSRRefH22_16x_0" localSheetId="16">'301'!$H$76:$H$77</definedName>
    <definedName name="OSRRefH22_16x_0" localSheetId="30">'310'!$H$91</definedName>
    <definedName name="OSRRefH22_16x_0" localSheetId="36">'310 &amp; 491'!$H$89</definedName>
    <definedName name="OSRRefH22_16x_0" localSheetId="23">'315'!$H$101</definedName>
    <definedName name="OSRRefH22_16x_0" localSheetId="33">'325'!$H$85</definedName>
    <definedName name="OSRRefH22_16x_0" localSheetId="24">'326'!$H$83:$H$84</definedName>
    <definedName name="OSRRefH22_16x_0" localSheetId="22">'331'!$H$98:$H$99</definedName>
    <definedName name="OSRRefH22_16x_0" localSheetId="20">'333'!$H$101:$H$103</definedName>
    <definedName name="OSRRefH22_16x_0" localSheetId="38">'405'!$H$89</definedName>
    <definedName name="OSRRefH22_16x_0" localSheetId="40">'411'!$H$77</definedName>
    <definedName name="OSRRefH22_16x_0" localSheetId="44">'415'!$H$90</definedName>
    <definedName name="OSRRefH22_16x_0" localSheetId="53">'444'!$H$89</definedName>
    <definedName name="OSRRefH22_16x_0" localSheetId="54">'450'!$H$88</definedName>
    <definedName name="OSRRefH22_16x_0" localSheetId="37">'491'!$H$87</definedName>
    <definedName name="OSRRefH22_16x_0" localSheetId="49">'492'!$H$92:$H$93</definedName>
    <definedName name="OSRRefH22_16x_0" localSheetId="5">'Div 2'!$H$80:$H$85</definedName>
    <definedName name="OSRRefH22_16x_0" localSheetId="13">'Div 3'!$H$114</definedName>
    <definedName name="OSRRefH22_16x_0" localSheetId="35">'Div 4'!$H$86</definedName>
    <definedName name="OSRRefH22_16x_0" localSheetId="2">Summary!$H$123</definedName>
    <definedName name="OSRRefH22_17x_0" localSheetId="14">'300'!$H$113:$H$116</definedName>
    <definedName name="OSRRefH22_17x_0" localSheetId="15">'300 &amp; 317'!$H$119:$H$122</definedName>
    <definedName name="OSRRefH22_17x_0" localSheetId="16">'301'!$H$79</definedName>
    <definedName name="OSRRefH22_17x_0" localSheetId="30">'310'!$H$93</definedName>
    <definedName name="OSRRefH22_17x_0" localSheetId="36">'310 &amp; 491'!$H$91:$H$100</definedName>
    <definedName name="OSRRefH22_17x_0" localSheetId="23">'315'!$H$103</definedName>
    <definedName name="OSRRefH22_17x_0" localSheetId="24">'326'!$H$86</definedName>
    <definedName name="OSRRefH22_17x_0" localSheetId="22">'331'!$H$101:$H$102</definedName>
    <definedName name="OSRRefH22_17x_0" localSheetId="20">'333'!$H$105:$H$106</definedName>
    <definedName name="OSRRefH22_17x_0" localSheetId="44">'415'!$H$92</definedName>
    <definedName name="OSRRefH22_17x_0" localSheetId="37">'491'!$H$89:$H$98</definedName>
    <definedName name="OSRRefH22_17x_0" localSheetId="49">'492'!$H$95</definedName>
    <definedName name="OSRRefH22_17x_0" localSheetId="5">'Div 2'!$H$87:$H$88</definedName>
    <definedName name="OSRRefH22_17x_0" localSheetId="13">'Div 3'!$H$116:$H$119</definedName>
    <definedName name="OSRRefH22_17x_0" localSheetId="35">'Div 4'!$H$88:$H$92</definedName>
    <definedName name="OSRRefH22_17x_0" localSheetId="2">Summary!$H$125</definedName>
    <definedName name="OSRRefH22_18x_0" localSheetId="14">'300'!$H$118:$H$120</definedName>
    <definedName name="OSRRefH22_18x_0" localSheetId="15">'300 &amp; 317'!$H$124:$H$126</definedName>
    <definedName name="OSRRefH22_18x_0" localSheetId="16">'301'!$H$81:$H$86</definedName>
    <definedName name="OSRRefH22_18x_0" localSheetId="36">'310 &amp; 491'!$H$102:$H$103</definedName>
    <definedName name="OSRRefH22_18x_0" localSheetId="23">'315'!$H$105</definedName>
    <definedName name="OSRRefH22_18x_0" localSheetId="22">'331'!$H$104:$H$108</definedName>
    <definedName name="OSRRefH22_18x_0" localSheetId="20">'333'!$H$108:$H$113</definedName>
    <definedName name="OSRRefH22_18x_0" localSheetId="37">'491'!$H$100:$H$101</definedName>
    <definedName name="OSRRefH22_18x_0" localSheetId="49">'492'!$H$97:$H$98</definedName>
    <definedName name="OSRRefH22_18x_0" localSheetId="5">'Div 2'!$H$90</definedName>
    <definedName name="OSRRefH22_18x_0" localSheetId="13">'Div 3'!$H$121:$H$124</definedName>
    <definedName name="OSRRefH22_18x_0" localSheetId="35">'Div 4'!$H$94:$H$95</definedName>
    <definedName name="OSRRefH22_18x_0" localSheetId="2">Summary!$H$127:$H$130</definedName>
    <definedName name="OSRRefH22_19x_0" localSheetId="14">'300'!$H$122:$H$123</definedName>
    <definedName name="OSRRefH22_19x_0" localSheetId="15">'300 &amp; 317'!$H$128:$H$129</definedName>
    <definedName name="OSRRefH22_19x_0" localSheetId="16">'301'!$H$88</definedName>
    <definedName name="OSRRefH22_19x_0" localSheetId="36">'310 &amp; 491'!$H$105</definedName>
    <definedName name="OSRRefH22_19x_0" localSheetId="22">'331'!$H$110</definedName>
    <definedName name="OSRRefH22_19x_0" localSheetId="20">'333'!$H$115</definedName>
    <definedName name="OSRRefH22_19x_0" localSheetId="37">'491'!$H$103</definedName>
    <definedName name="OSRRefH22_19x_0" localSheetId="5">'Div 2'!$H$92:$H$93</definedName>
    <definedName name="OSRRefH22_19x_0" localSheetId="13">'Div 3'!$H$126:$H$129</definedName>
    <definedName name="OSRRefH22_19x_0" localSheetId="35">'Div 4'!$H$97:$H$106</definedName>
    <definedName name="OSRRefH22_19x_0" localSheetId="2">Summary!$H$132:$H$135</definedName>
    <definedName name="OSRRefH22_1x_0" localSheetId="6">'200'!$H$23</definedName>
    <definedName name="OSRRefH22_1x_0" localSheetId="7">'201'!$H$30:$H$39</definedName>
    <definedName name="OSRRefH22_1x_0" localSheetId="8">'202'!$H$30:$H$39</definedName>
    <definedName name="OSRRefH22_1x_0" localSheetId="9">'203'!$H$31:$H$40</definedName>
    <definedName name="OSRRefH22_1x_0" localSheetId="10">'204'!$H$31:$H$40</definedName>
    <definedName name="OSRRefH22_1x_0" localSheetId="11">'205'!$H$30:$H$39</definedName>
    <definedName name="OSRRefH22_1x_0" localSheetId="12">'206'!$H$30:$H$39</definedName>
    <definedName name="OSRRefH22_1x_0" localSheetId="14">'300'!$H$65:$H$74</definedName>
    <definedName name="OSRRefH22_1x_0" localSheetId="15">'300 &amp; 317'!$H$71:$H$80</definedName>
    <definedName name="OSRRefH22_1x_0" localSheetId="16">'301'!$H$32:$H$41</definedName>
    <definedName name="OSRRefH22_1x_0" localSheetId="21">'307'!$H$44:$H$53</definedName>
    <definedName name="OSRRefH22_1x_0" localSheetId="17">'308'!$H$46:$H$55</definedName>
    <definedName name="OSRRefH22_1x_0" localSheetId="31">'309'!$H$29:$H$30</definedName>
    <definedName name="OSRRefH22_1x_0" localSheetId="30">'310'!$H$40:$H$49</definedName>
    <definedName name="OSRRefH22_1x_0" localSheetId="36">'310 &amp; 491'!$H$40:$H$49</definedName>
    <definedName name="OSRRefH22_1x_0" localSheetId="18">'311'!$H$46:$H$55</definedName>
    <definedName name="OSRRefH22_1x_0" localSheetId="23">'315'!$H$54:$H$63</definedName>
    <definedName name="OSRRefH22_1x_0" localSheetId="26">'316'!$H$37:$H$46</definedName>
    <definedName name="OSRRefH22_1x_0" localSheetId="28">'317'!$H$46:$H$55</definedName>
    <definedName name="OSRRefH22_1x_0" localSheetId="32">'321'!$H$35:$H$44</definedName>
    <definedName name="OSRRefH22_1x_0" localSheetId="33">'325'!$H$35:$H$44</definedName>
    <definedName name="OSRRefH22_1x_0" localSheetId="24">'326'!$H$38:$H$47</definedName>
    <definedName name="OSRRefH22_1x_0" localSheetId="34">'327'!$H$28</definedName>
    <definedName name="OSRRefH22_1x_0" localSheetId="22">'331'!$H$54:$H$63</definedName>
    <definedName name="OSRRefH22_1x_0" localSheetId="25">'332'!$H$37:$H$46</definedName>
    <definedName name="OSRRefH22_1x_0" localSheetId="20">'333'!$H$56:$H$65</definedName>
    <definedName name="OSRRefH22_1x_0" localSheetId="38">'405'!$H$37:$H$46</definedName>
    <definedName name="OSRRefH22_1x_0" localSheetId="39">'406'!$H$22</definedName>
    <definedName name="OSRRefH22_1x_0" localSheetId="40">'411'!$H$30:$H$39</definedName>
    <definedName name="OSRRefH22_1x_0" localSheetId="41">'412'!$H$23</definedName>
    <definedName name="OSRRefH22_1x_0" localSheetId="42">'413'!$H$22</definedName>
    <definedName name="OSRRefH22_1x_0" localSheetId="43">'414'!$H$22</definedName>
    <definedName name="OSRRefH22_1x_0" localSheetId="44">'415'!$H$38:$H$47</definedName>
    <definedName name="OSRRefH22_1x_0" localSheetId="45">'418'!$H$34:$H$43</definedName>
    <definedName name="OSRRefH22_1x_0" localSheetId="46">'423'!$H$29:$H$38</definedName>
    <definedName name="OSRRefH22_1x_0" localSheetId="47">'424'!$H$23</definedName>
    <definedName name="OSRRefH22_1x_0" localSheetId="48">'425'!$H$24</definedName>
    <definedName name="OSRRefH22_1x_0" localSheetId="50">'430'!$H$30:$H$39</definedName>
    <definedName name="OSRRefH22_1x_0" localSheetId="51">'433'!$H$38:$H$47</definedName>
    <definedName name="OSRRefH22_1x_0" localSheetId="52">'435'!$H$26</definedName>
    <definedName name="OSRRefH22_1x_0" localSheetId="53">'444'!$H$38:$H$47</definedName>
    <definedName name="OSRRefH22_1x_0" localSheetId="54">'450'!$H$38:$H$47</definedName>
    <definedName name="OSRRefH22_1x_0" localSheetId="37">'491'!$H$39:$H$48</definedName>
    <definedName name="OSRRefH22_1x_0" localSheetId="49">'492'!$H$40:$H$49</definedName>
    <definedName name="OSRRefH22_1x_0" localSheetId="56">'501'!$H$32:$H$41</definedName>
    <definedName name="OSRRefH22_1x_0" localSheetId="5">'Div 2'!$H$32:$H$41</definedName>
    <definedName name="OSRRefH22_1x_0" localSheetId="13">'Div 3'!$H$71:$H$80</definedName>
    <definedName name="OSRRefH22_1x_0" localSheetId="35">'Div 4'!$H$42:$H$51</definedName>
    <definedName name="OSRRefH22_1x_0" localSheetId="55">'Div 5'!$H$32:$H$41</definedName>
    <definedName name="OSRRefH22_1x_0" localSheetId="27">'Div 6'!$H$46:$H$55</definedName>
    <definedName name="OSRRefH22_1x_0" localSheetId="2">Summary!$H$79:$H$88</definedName>
    <definedName name="OSRRefH22_20x_0" localSheetId="14">'300'!$H$125:$H$131</definedName>
    <definedName name="OSRRefH22_20x_0" localSheetId="15">'300 &amp; 317'!$H$131:$H$137</definedName>
    <definedName name="OSRRefH22_20x_0" localSheetId="16">'301'!$H$90</definedName>
    <definedName name="OSRRefH22_20x_0" localSheetId="36">'310 &amp; 491'!$H$107:$H$108</definedName>
    <definedName name="OSRRefH22_20x_0" localSheetId="22">'331'!$H$112</definedName>
    <definedName name="OSRRefH22_20x_0" localSheetId="20">'333'!$H$117</definedName>
    <definedName name="OSRRefH22_20x_0" localSheetId="37">'491'!$H$105:$H$106</definedName>
    <definedName name="OSRRefH22_20x_0" localSheetId="13">'Div 3'!$H$131:$H$132</definedName>
    <definedName name="OSRRefH22_20x_0" localSheetId="35">'Div 4'!$H$108:$H$109</definedName>
    <definedName name="OSRRefH22_20x_0" localSheetId="2">Summary!$H$137:$H$141</definedName>
    <definedName name="OSRRefH22_21x_0" localSheetId="14">'300'!$H$133:$H$134</definedName>
    <definedName name="OSRRefH22_21x_0" localSheetId="15">'300 &amp; 317'!$H$139:$H$140</definedName>
    <definedName name="OSRRefH22_21x_0" localSheetId="16">'301'!$H$92:$H$94</definedName>
    <definedName name="OSRRefH22_21x_0" localSheetId="36">'310 &amp; 491'!$H$110</definedName>
    <definedName name="OSRRefH22_21x_0" localSheetId="22">'331'!$H$114:$H$115</definedName>
    <definedName name="OSRRefH22_21x_0" localSheetId="20">'333'!$H$119:$H$120</definedName>
    <definedName name="OSRRefH22_21x_0" localSheetId="37">'491'!$H$108</definedName>
    <definedName name="OSRRefH22_21x_0" localSheetId="13">'Div 3'!$H$134:$H$140</definedName>
    <definedName name="OSRRefH22_21x_0" localSheetId="35">'Div 4'!$H$111</definedName>
    <definedName name="OSRRefH22_21x_0" localSheetId="2">Summary!$H$143:$H$144</definedName>
    <definedName name="OSRRefH22_22x_0" localSheetId="14">'300'!$H$136</definedName>
    <definedName name="OSRRefH22_22x_0" localSheetId="15">'300 &amp; 317'!$H$142</definedName>
    <definedName name="OSRRefH22_22x_0" localSheetId="16">'301'!$H$96</definedName>
    <definedName name="OSRRefH22_22x_0" localSheetId="22">'331'!$H$117</definedName>
    <definedName name="OSRRefH22_22x_0" localSheetId="20">'333'!$H$122</definedName>
    <definedName name="OSRRefH22_22x_0" localSheetId="13">'Div 3'!$H$142:$H$143</definedName>
    <definedName name="OSRRefH22_22x_0" localSheetId="35">'Div 4'!$H$113:$H$114</definedName>
    <definedName name="OSRRefH22_22x_0" localSheetId="2">Summary!$H$146:$H$155</definedName>
    <definedName name="OSRRefH22_23x_0" localSheetId="14">'300'!$H$138:$H$140</definedName>
    <definedName name="OSRRefH22_23x_0" localSheetId="15">'300 &amp; 317'!$H$144:$H$146</definedName>
    <definedName name="OSRRefH22_23x_0" localSheetId="13">'Div 3'!$H$145</definedName>
    <definedName name="OSRRefH22_23x_0" localSheetId="35">'Div 4'!$H$116</definedName>
    <definedName name="OSRRefH22_23x_0" localSheetId="2">Summary!$H$157:$H$158</definedName>
    <definedName name="OSRRefH22_24x_0" localSheetId="14">'300'!$H$142</definedName>
    <definedName name="OSRRefH22_24x_0" localSheetId="15">'300 &amp; 317'!$H$148</definedName>
    <definedName name="OSRRefH22_24x_0" localSheetId="13">'Div 3'!$H$147:$H$149</definedName>
    <definedName name="OSRRefH22_24x_0" localSheetId="2">Summary!$H$160</definedName>
    <definedName name="OSRRefH22_25x_0" localSheetId="13">'Div 3'!$H$151</definedName>
    <definedName name="OSRRefH22_25x_0" localSheetId="2">Summary!$H$162:$H$164</definedName>
    <definedName name="OSRRefH22_26x_0" localSheetId="2">Summary!$H$166</definedName>
    <definedName name="OSRRefH22_2x_0" localSheetId="6">'200'!$H$25</definedName>
    <definedName name="OSRRefH22_2x_0" localSheetId="7">'201'!$H$41</definedName>
    <definedName name="OSRRefH22_2x_0" localSheetId="8">'202'!$H$41</definedName>
    <definedName name="OSRRefH22_2x_0" localSheetId="9">'203'!$H$42</definedName>
    <definedName name="OSRRefH22_2x_0" localSheetId="10">'204'!$H$42</definedName>
    <definedName name="OSRRefH22_2x_0" localSheetId="11">'205'!$H$41</definedName>
    <definedName name="OSRRefH22_2x_0" localSheetId="12">'206'!$H$41</definedName>
    <definedName name="OSRRefH22_2x_0" localSheetId="14">'300'!$H$76</definedName>
    <definedName name="OSRRefH22_2x_0" localSheetId="15">'300 &amp; 317'!$H$82</definedName>
    <definedName name="OSRRefH22_2x_0" localSheetId="16">'301'!$H$43</definedName>
    <definedName name="OSRRefH22_2x_0" localSheetId="21">'307'!$H$55</definedName>
    <definedName name="OSRRefH22_2x_0" localSheetId="17">'308'!$H$57</definedName>
    <definedName name="OSRRefH22_2x_0" localSheetId="31">'309'!$H$32</definedName>
    <definedName name="OSRRefH22_2x_0" localSheetId="30">'310'!$H$51</definedName>
    <definedName name="OSRRefH22_2x_0" localSheetId="36">'310 &amp; 491'!$H$51</definedName>
    <definedName name="OSRRefH22_2x_0" localSheetId="18">'311'!$H$57</definedName>
    <definedName name="OSRRefH22_2x_0" localSheetId="23">'315'!$H$65</definedName>
    <definedName name="OSRRefH22_2x_0" localSheetId="26">'316'!$H$48</definedName>
    <definedName name="OSRRefH22_2x_0" localSheetId="28">'317'!$H$57</definedName>
    <definedName name="OSRRefH22_2x_0" localSheetId="32">'321'!$H$46</definedName>
    <definedName name="OSRRefH22_2x_0" localSheetId="33">'325'!$H$46</definedName>
    <definedName name="OSRRefH22_2x_0" localSheetId="24">'326'!$H$49</definedName>
    <definedName name="OSRRefH22_2x_0" localSheetId="22">'331'!$H$65</definedName>
    <definedName name="OSRRefH22_2x_0" localSheetId="25">'332'!$H$48</definedName>
    <definedName name="OSRRefH22_2x_0" localSheetId="20">'333'!$H$67</definedName>
    <definedName name="OSRRefH22_2x_0" localSheetId="38">'405'!$H$48</definedName>
    <definedName name="OSRRefH22_2x_0" localSheetId="40">'411'!$H$41</definedName>
    <definedName name="OSRRefH22_2x_0" localSheetId="41">'412'!$H$25</definedName>
    <definedName name="OSRRefH22_2x_0" localSheetId="42">'413'!$H$24</definedName>
    <definedName name="OSRRefH22_2x_0" localSheetId="43">'414'!$H$24</definedName>
    <definedName name="OSRRefH22_2x_0" localSheetId="44">'415'!$H$49</definedName>
    <definedName name="OSRRefH22_2x_0" localSheetId="45">'418'!$H$45</definedName>
    <definedName name="OSRRefH22_2x_0" localSheetId="46">'423'!$H$40</definedName>
    <definedName name="OSRRefH22_2x_0" localSheetId="47">'424'!$H$25</definedName>
    <definedName name="OSRRefH22_2x_0" localSheetId="48">'425'!$H$26</definedName>
    <definedName name="OSRRefH22_2x_0" localSheetId="50">'430'!$H$41</definedName>
    <definedName name="OSRRefH22_2x_0" localSheetId="51">'433'!$H$49</definedName>
    <definedName name="OSRRefH22_2x_0" localSheetId="52">'435'!$H$28</definedName>
    <definedName name="OSRRefH22_2x_0" localSheetId="53">'444'!$H$49</definedName>
    <definedName name="OSRRefH22_2x_0" localSheetId="54">'450'!$H$49</definedName>
    <definedName name="OSRRefH22_2x_0" localSheetId="37">'491'!$H$50</definedName>
    <definedName name="OSRRefH22_2x_0" localSheetId="49">'492'!$H$51</definedName>
    <definedName name="OSRRefH22_2x_0" localSheetId="56">'501'!$H$43</definedName>
    <definedName name="OSRRefH22_2x_0" localSheetId="5">'Div 2'!$H$43</definedName>
    <definedName name="OSRRefH22_2x_0" localSheetId="13">'Div 3'!$H$82</definedName>
    <definedName name="OSRRefH22_2x_0" localSheetId="35">'Div 4'!$H$53</definedName>
    <definedName name="OSRRefH22_2x_0" localSheetId="55">'Div 5'!$H$43</definedName>
    <definedName name="OSRRefH22_2x_0" localSheetId="27">'Div 6'!$H$57</definedName>
    <definedName name="OSRRefH22_2x_0" localSheetId="2">Summary!$H$90</definedName>
    <definedName name="OSRRefH22_3x_0" localSheetId="6">'200'!$H$27:$H$28</definedName>
    <definedName name="OSRRefH22_3x_0" localSheetId="7">'201'!$H$43</definedName>
    <definedName name="OSRRefH22_3x_0" localSheetId="8">'202'!$H$43</definedName>
    <definedName name="OSRRefH22_3x_0" localSheetId="9">'203'!$H$44</definedName>
    <definedName name="OSRRefH22_3x_0" localSheetId="10">'204'!$H$44:$H$45</definedName>
    <definedName name="OSRRefH22_3x_0" localSheetId="11">'205'!$H$43</definedName>
    <definedName name="OSRRefH22_3x_0" localSheetId="12">'206'!$H$43</definedName>
    <definedName name="OSRRefH22_3x_0" localSheetId="14">'300'!$H$78</definedName>
    <definedName name="OSRRefH22_3x_0" localSheetId="15">'300 &amp; 317'!$H$84</definedName>
    <definedName name="OSRRefH22_3x_0" localSheetId="16">'301'!$H$45</definedName>
    <definedName name="OSRRefH22_3x_0" localSheetId="21">'307'!$H$57</definedName>
    <definedName name="OSRRefH22_3x_0" localSheetId="17">'308'!$H$59</definedName>
    <definedName name="OSRRefH22_3x_0" localSheetId="31">'309'!$H$34</definedName>
    <definedName name="OSRRefH22_3x_0" localSheetId="30">'310'!$H$53</definedName>
    <definedName name="OSRRefH22_3x_0" localSheetId="36">'310 &amp; 491'!$H$53</definedName>
    <definedName name="OSRRefH22_3x_0" localSheetId="18">'311'!$H$59</definedName>
    <definedName name="OSRRefH22_3x_0" localSheetId="23">'315'!$H$67</definedName>
    <definedName name="OSRRefH22_3x_0" localSheetId="26">'316'!$H$50</definedName>
    <definedName name="OSRRefH22_3x_0" localSheetId="28">'317'!$H$59</definedName>
    <definedName name="OSRRefH22_3x_0" localSheetId="32">'321'!$H$48</definedName>
    <definedName name="OSRRefH22_3x_0" localSheetId="33">'325'!$H$48</definedName>
    <definedName name="OSRRefH22_3x_0" localSheetId="24">'326'!$H$51</definedName>
    <definedName name="OSRRefH22_3x_0" localSheetId="22">'331'!$H$67</definedName>
    <definedName name="OSRRefH22_3x_0" localSheetId="25">'332'!$H$50</definedName>
    <definedName name="OSRRefH22_3x_0" localSheetId="20">'333'!$H$69</definedName>
    <definedName name="OSRRefH22_3x_0" localSheetId="38">'405'!$H$50</definedName>
    <definedName name="OSRRefH22_3x_0" localSheetId="40">'411'!$H$43:$H$44</definedName>
    <definedName name="OSRRefH22_3x_0" localSheetId="41">'412'!$H$27</definedName>
    <definedName name="OSRRefH22_3x_0" localSheetId="44">'415'!$H$51</definedName>
    <definedName name="OSRRefH22_3x_0" localSheetId="45">'418'!$H$47</definedName>
    <definedName name="OSRRefH22_3x_0" localSheetId="46">'423'!$H$42</definedName>
    <definedName name="OSRRefH22_3x_0" localSheetId="48">'425'!$H$28</definedName>
    <definedName name="OSRRefH22_3x_0" localSheetId="50">'430'!$H$43</definedName>
    <definedName name="OSRRefH22_3x_0" localSheetId="51">'433'!$H$51</definedName>
    <definedName name="OSRRefH22_3x_0" localSheetId="52">'435'!$H$30</definedName>
    <definedName name="OSRRefH22_3x_0" localSheetId="53">'444'!$H$51</definedName>
    <definedName name="OSRRefH22_3x_0" localSheetId="54">'450'!$H$51</definedName>
    <definedName name="OSRRefH22_3x_0" localSheetId="37">'491'!$H$52</definedName>
    <definedName name="OSRRefH22_3x_0" localSheetId="49">'492'!$H$53</definedName>
    <definedName name="OSRRefH22_3x_0" localSheetId="56">'501'!$H$45</definedName>
    <definedName name="OSRRefH22_3x_0" localSheetId="5">'Div 2'!$H$45</definedName>
    <definedName name="OSRRefH22_3x_0" localSheetId="13">'Div 3'!$H$84</definedName>
    <definedName name="OSRRefH22_3x_0" localSheetId="35">'Div 4'!$H$55</definedName>
    <definedName name="OSRRefH22_3x_0" localSheetId="55">'Div 5'!$H$45</definedName>
    <definedName name="OSRRefH22_3x_0" localSheetId="27">'Div 6'!$H$59</definedName>
    <definedName name="OSRRefH22_3x_0" localSheetId="2">Summary!$H$92</definedName>
    <definedName name="OSRRefH22_4x_0" localSheetId="7">'201'!$H$45</definedName>
    <definedName name="OSRRefH22_4x_0" localSheetId="8">'202'!$H$45</definedName>
    <definedName name="OSRRefH22_4x_0" localSheetId="9">'203'!$H$46</definedName>
    <definedName name="OSRRefH22_4x_0" localSheetId="10">'204'!$H$47</definedName>
    <definedName name="OSRRefH22_4x_0" localSheetId="11">'205'!$H$45:$H$47</definedName>
    <definedName name="OSRRefH22_4x_0" localSheetId="12">'206'!$H$45:$H$46</definedName>
    <definedName name="OSRRefH22_4x_0" localSheetId="14">'300'!$H$80</definedName>
    <definedName name="OSRRefH22_4x_0" localSheetId="15">'300 &amp; 317'!$H$86</definedName>
    <definedName name="OSRRefH22_4x_0" localSheetId="16">'301'!$H$47</definedName>
    <definedName name="OSRRefH22_4x_0" localSheetId="21">'307'!$H$59</definedName>
    <definedName name="OSRRefH22_4x_0" localSheetId="17">'308'!$H$61</definedName>
    <definedName name="OSRRefH22_4x_0" localSheetId="31">'309'!$H$36</definedName>
    <definedName name="OSRRefH22_4x_0" localSheetId="30">'310'!$H$55</definedName>
    <definedName name="OSRRefH22_4x_0" localSheetId="36">'310 &amp; 491'!$H$55</definedName>
    <definedName name="OSRRefH22_4x_0" localSheetId="18">'311'!$H$61</definedName>
    <definedName name="OSRRefH22_4x_0" localSheetId="23">'315'!$H$69</definedName>
    <definedName name="OSRRefH22_4x_0" localSheetId="26">'316'!$H$52</definedName>
    <definedName name="OSRRefH22_4x_0" localSheetId="28">'317'!$H$61</definedName>
    <definedName name="OSRRefH22_4x_0" localSheetId="32">'321'!$H$50</definedName>
    <definedName name="OSRRefH22_4x_0" localSheetId="33">'325'!$H$50</definedName>
    <definedName name="OSRRefH22_4x_0" localSheetId="24">'326'!$H$53</definedName>
    <definedName name="OSRRefH22_4x_0" localSheetId="22">'331'!$H$69</definedName>
    <definedName name="OSRRefH22_4x_0" localSheetId="25">'332'!$H$52</definedName>
    <definedName name="OSRRefH22_4x_0" localSheetId="20">'333'!$H$71</definedName>
    <definedName name="OSRRefH22_4x_0" localSheetId="38">'405'!$H$52</definedName>
    <definedName name="OSRRefH22_4x_0" localSheetId="40">'411'!$H$46</definedName>
    <definedName name="OSRRefH22_4x_0" localSheetId="41">'412'!$H$29</definedName>
    <definedName name="OSRRefH22_4x_0" localSheetId="44">'415'!$H$53</definedName>
    <definedName name="OSRRefH22_4x_0" localSheetId="45">'418'!$H$49:$H$50</definedName>
    <definedName name="OSRRefH22_4x_0" localSheetId="46">'423'!$H$44</definedName>
    <definedName name="OSRRefH22_4x_0" localSheetId="48">'425'!$H$30</definedName>
    <definedName name="OSRRefH22_4x_0" localSheetId="50">'430'!$H$45</definedName>
    <definedName name="OSRRefH22_4x_0" localSheetId="51">'433'!$H$53</definedName>
    <definedName name="OSRRefH22_4x_0" localSheetId="52">'435'!$H$32</definedName>
    <definedName name="OSRRefH22_4x_0" localSheetId="53">'444'!$H$53</definedName>
    <definedName name="OSRRefH22_4x_0" localSheetId="54">'450'!$H$53</definedName>
    <definedName name="OSRRefH22_4x_0" localSheetId="37">'491'!$H$54</definedName>
    <definedName name="OSRRefH22_4x_0" localSheetId="49">'492'!$H$55</definedName>
    <definedName name="OSRRefH22_4x_0" localSheetId="56">'501'!$H$47</definedName>
    <definedName name="OSRRefH22_4x_0" localSheetId="5">'Div 2'!$H$47</definedName>
    <definedName name="OSRRefH22_4x_0" localSheetId="13">'Div 3'!$H$86</definedName>
    <definedName name="OSRRefH22_4x_0" localSheetId="35">'Div 4'!$H$57</definedName>
    <definedName name="OSRRefH22_4x_0" localSheetId="55">'Div 5'!$H$47</definedName>
    <definedName name="OSRRefH22_4x_0" localSheetId="27">'Div 6'!$H$61</definedName>
    <definedName name="OSRRefH22_4x_0" localSheetId="2">Summary!$H$94</definedName>
    <definedName name="OSRRefH22_5x_0" localSheetId="7">'201'!$H$47</definedName>
    <definedName name="OSRRefH22_5x_0" localSheetId="8">'202'!$H$47</definedName>
    <definedName name="OSRRefH22_5x_0" localSheetId="9">'203'!$H$48</definedName>
    <definedName name="OSRRefH22_5x_0" localSheetId="10">'204'!$H$49:$H$52</definedName>
    <definedName name="OSRRefH22_5x_0" localSheetId="11">'205'!$H$49</definedName>
    <definedName name="OSRRefH22_5x_0" localSheetId="12">'206'!$H$48</definedName>
    <definedName name="OSRRefH22_5x_0" localSheetId="14">'300'!$H$82:$H$83</definedName>
    <definedName name="OSRRefH22_5x_0" localSheetId="15">'300 &amp; 317'!$H$88:$H$89</definedName>
    <definedName name="OSRRefH22_5x_0" localSheetId="16">'301'!$H$49:$H$50</definedName>
    <definedName name="OSRRefH22_5x_0" localSheetId="21">'307'!$H$61:$H$62</definedName>
    <definedName name="OSRRefH22_5x_0" localSheetId="17">'308'!$H$63</definedName>
    <definedName name="OSRRefH22_5x_0" localSheetId="31">'309'!$H$38</definedName>
    <definedName name="OSRRefH22_5x_0" localSheetId="30">'310'!$H$57:$H$58</definedName>
    <definedName name="OSRRefH22_5x_0" localSheetId="36">'310 &amp; 491'!$H$57:$H$58</definedName>
    <definedName name="OSRRefH22_5x_0" localSheetId="18">'311'!$H$63</definedName>
    <definedName name="OSRRefH22_5x_0" localSheetId="23">'315'!$H$71</definedName>
    <definedName name="OSRRefH22_5x_0" localSheetId="26">'316'!$H$54:$H$55</definedName>
    <definedName name="OSRRefH22_5x_0" localSheetId="28">'317'!$H$63</definedName>
    <definedName name="OSRRefH22_5x_0" localSheetId="32">'321'!$H$52</definedName>
    <definedName name="OSRRefH22_5x_0" localSheetId="33">'325'!$H$52:$H$53</definedName>
    <definedName name="OSRRefH22_5x_0" localSheetId="24">'326'!$H$55</definedName>
    <definedName name="OSRRefH22_5x_0" localSheetId="22">'331'!$H$71</definedName>
    <definedName name="OSRRefH22_5x_0" localSheetId="25">'332'!$H$54:$H$55</definedName>
    <definedName name="OSRRefH22_5x_0" localSheetId="20">'333'!$H$73:$H$74</definedName>
    <definedName name="OSRRefH22_5x_0" localSheetId="38">'405'!$H$54:$H$55</definedName>
    <definedName name="OSRRefH22_5x_0" localSheetId="40">'411'!$H$48</definedName>
    <definedName name="OSRRefH22_5x_0" localSheetId="44">'415'!$H$55:$H$56</definedName>
    <definedName name="OSRRefH22_5x_0" localSheetId="45">'418'!$H$52</definedName>
    <definedName name="OSRRefH22_5x_0" localSheetId="46">'423'!$H$46</definedName>
    <definedName name="OSRRefH22_5x_0" localSheetId="48">'425'!$H$32:$H$34</definedName>
    <definedName name="OSRRefH22_5x_0" localSheetId="50">'430'!$H$47:$H$49</definedName>
    <definedName name="OSRRefH22_5x_0" localSheetId="51">'433'!$H$55</definedName>
    <definedName name="OSRRefH22_5x_0" localSheetId="53">'444'!$H$55</definedName>
    <definedName name="OSRRefH22_5x_0" localSheetId="54">'450'!$H$55</definedName>
    <definedName name="OSRRefH22_5x_0" localSheetId="37">'491'!$H$56:$H$57</definedName>
    <definedName name="OSRRefH22_5x_0" localSheetId="49">'492'!$H$57</definedName>
    <definedName name="OSRRefH22_5x_0" localSheetId="56">'501'!$H$49:$H$50</definedName>
    <definedName name="OSRRefH22_5x_0" localSheetId="5">'Div 2'!$H$49:$H$50</definedName>
    <definedName name="OSRRefH22_5x_0" localSheetId="13">'Div 3'!$H$88:$H$89</definedName>
    <definedName name="OSRRefH22_5x_0" localSheetId="35">'Div 4'!$H$59:$H$60</definedName>
    <definedName name="OSRRefH22_5x_0" localSheetId="55">'Div 5'!$H$49:$H$50</definedName>
    <definedName name="OSRRefH22_5x_0" localSheetId="27">'Div 6'!$H$63</definedName>
    <definedName name="OSRRefH22_5x_0" localSheetId="2">Summary!$H$96:$H$97</definedName>
    <definedName name="OSRRefH22_6x_0" localSheetId="7">'201'!$H$49</definedName>
    <definedName name="OSRRefH22_6x_0" localSheetId="8">'202'!$H$49</definedName>
    <definedName name="OSRRefH22_6x_0" localSheetId="9">'203'!$H$50</definedName>
    <definedName name="OSRRefH22_6x_0" localSheetId="10">'204'!$H$54:$H$55</definedName>
    <definedName name="OSRRefH22_6x_0" localSheetId="11">'205'!$H$51:$H$53</definedName>
    <definedName name="OSRRefH22_6x_0" localSheetId="12">'206'!$H$50:$H$51</definedName>
    <definedName name="OSRRefH22_6x_0" localSheetId="14">'300'!$H$85:$H$86</definedName>
    <definedName name="OSRRefH22_6x_0" localSheetId="15">'300 &amp; 317'!$H$91:$H$92</definedName>
    <definedName name="OSRRefH22_6x_0" localSheetId="16">'301'!$H$52:$H$53</definedName>
    <definedName name="OSRRefH22_6x_0" localSheetId="21">'307'!$H$64</definedName>
    <definedName name="OSRRefH22_6x_0" localSheetId="17">'308'!$H$65:$H$66</definedName>
    <definedName name="OSRRefH22_6x_0" localSheetId="31">'309'!$H$40</definedName>
    <definedName name="OSRRefH22_6x_0" localSheetId="30">'310'!$H$60</definedName>
    <definedName name="OSRRefH22_6x_0" localSheetId="36">'310 &amp; 491'!$H$60</definedName>
    <definedName name="OSRRefH22_6x_0" localSheetId="18">'311'!$H$65:$H$66</definedName>
    <definedName name="OSRRefH22_6x_0" localSheetId="23">'315'!$H$73</definedName>
    <definedName name="OSRRefH22_6x_0" localSheetId="26">'316'!$H$57</definedName>
    <definedName name="OSRRefH22_6x_0" localSheetId="28">'317'!$H$65</definedName>
    <definedName name="OSRRefH22_6x_0" localSheetId="32">'321'!$H$54</definedName>
    <definedName name="OSRRefH22_6x_0" localSheetId="33">'325'!$H$55</definedName>
    <definedName name="OSRRefH22_6x_0" localSheetId="24">'326'!$H$57:$H$58</definedName>
    <definedName name="OSRRefH22_6x_0" localSheetId="22">'331'!$H$73</definedName>
    <definedName name="OSRRefH22_6x_0" localSheetId="25">'332'!$H$57</definedName>
    <definedName name="OSRRefH22_6x_0" localSheetId="20">'333'!$H$76</definedName>
    <definedName name="OSRRefH22_6x_0" localSheetId="38">'405'!$H$57</definedName>
    <definedName name="OSRRefH22_6x_0" localSheetId="40">'411'!$H$50</definedName>
    <definedName name="OSRRefH22_6x_0" localSheetId="44">'415'!$H$58</definedName>
    <definedName name="OSRRefH22_6x_0" localSheetId="45">'418'!$H$54</definedName>
    <definedName name="OSRRefH22_6x_0" localSheetId="50">'430'!$H$51:$H$52</definedName>
    <definedName name="OSRRefH22_6x_0" localSheetId="51">'433'!$H$57</definedName>
    <definedName name="OSRRefH22_6x_0" localSheetId="53">'444'!$H$57</definedName>
    <definedName name="OSRRefH22_6x_0" localSheetId="54">'450'!$H$57</definedName>
    <definedName name="OSRRefH22_6x_0" localSheetId="37">'491'!$H$59</definedName>
    <definedName name="OSRRefH22_6x_0" localSheetId="49">'492'!$H$59</definedName>
    <definedName name="OSRRefH22_6x_0" localSheetId="56">'501'!$H$52</definedName>
    <definedName name="OSRRefH22_6x_0" localSheetId="5">'Div 2'!$H$52</definedName>
    <definedName name="OSRRefH22_6x_0" localSheetId="13">'Div 3'!$H$91:$H$92</definedName>
    <definedName name="OSRRefH22_6x_0" localSheetId="35">'Div 4'!$H$62</definedName>
    <definedName name="OSRRefH22_6x_0" localSheetId="55">'Div 5'!$H$52</definedName>
    <definedName name="OSRRefH22_6x_0" localSheetId="27">'Div 6'!$H$65</definedName>
    <definedName name="OSRRefH22_6x_0" localSheetId="2">Summary!$H$99:$H$100</definedName>
    <definedName name="OSRRefH22_7x_0" localSheetId="7">'201'!$H$51</definedName>
    <definedName name="OSRRefH22_7x_0" localSheetId="8">'202'!$H$51</definedName>
    <definedName name="OSRRefH22_7x_0" localSheetId="9">'203'!$H$52</definedName>
    <definedName name="OSRRefH22_7x_0" localSheetId="10">'204'!$H$57</definedName>
    <definedName name="OSRRefH22_7x_0" localSheetId="11">'205'!$H$55</definedName>
    <definedName name="OSRRefH22_7x_0" localSheetId="12">'206'!$H$53</definedName>
    <definedName name="OSRRefH22_7x_0" localSheetId="14">'300'!$H$88</definedName>
    <definedName name="OSRRefH22_7x_0" localSheetId="15">'300 &amp; 317'!$H$94</definedName>
    <definedName name="OSRRefH22_7x_0" localSheetId="16">'301'!$H$55</definedName>
    <definedName name="OSRRefH22_7x_0" localSheetId="21">'307'!$H$66</definedName>
    <definedName name="OSRRefH22_7x_0" localSheetId="17">'308'!$H$68</definedName>
    <definedName name="OSRRefH22_7x_0" localSheetId="31">'309'!$H$42</definedName>
    <definedName name="OSRRefH22_7x_0" localSheetId="30">'310'!$H$62</definedName>
    <definedName name="OSRRefH22_7x_0" localSheetId="36">'310 &amp; 491'!$H$62</definedName>
    <definedName name="OSRRefH22_7x_0" localSheetId="18">'311'!$H$68</definedName>
    <definedName name="OSRRefH22_7x_0" localSheetId="23">'315'!$H$75</definedName>
    <definedName name="OSRRefH22_7x_0" localSheetId="26">'316'!$H$59</definedName>
    <definedName name="OSRRefH22_7x_0" localSheetId="28">'317'!$H$67</definedName>
    <definedName name="OSRRefH22_7x_0" localSheetId="32">'321'!$H$56:$H$57</definedName>
    <definedName name="OSRRefH22_7x_0" localSheetId="33">'325'!$H$57</definedName>
    <definedName name="OSRRefH22_7x_0" localSheetId="24">'326'!$H$60</definedName>
    <definedName name="OSRRefH22_7x_0" localSheetId="22">'331'!$H$75</definedName>
    <definedName name="OSRRefH22_7x_0" localSheetId="25">'332'!$H$59</definedName>
    <definedName name="OSRRefH22_7x_0" localSheetId="20">'333'!$H$78</definedName>
    <definedName name="OSRRefH22_7x_0" localSheetId="38">'405'!$H$59</definedName>
    <definedName name="OSRRefH22_7x_0" localSheetId="40">'411'!$H$52</definedName>
    <definedName name="OSRRefH22_7x_0" localSheetId="44">'415'!$H$60</definedName>
    <definedName name="OSRRefH22_7x_0" localSheetId="45">'418'!$H$56:$H$57</definedName>
    <definedName name="OSRRefH22_7x_0" localSheetId="50">'430'!$H$54</definedName>
    <definedName name="OSRRefH22_7x_0" localSheetId="51">'433'!$H$59</definedName>
    <definedName name="OSRRefH22_7x_0" localSheetId="53">'444'!$H$59</definedName>
    <definedName name="OSRRefH22_7x_0" localSheetId="54">'450'!$H$59</definedName>
    <definedName name="OSRRefH22_7x_0" localSheetId="37">'491'!$H$61</definedName>
    <definedName name="OSRRefH22_7x_0" localSheetId="49">'492'!$H$61</definedName>
    <definedName name="OSRRefH22_7x_0" localSheetId="56">'501'!$H$54</definedName>
    <definedName name="OSRRefH22_7x_0" localSheetId="5">'Div 2'!$H$54</definedName>
    <definedName name="OSRRefH22_7x_0" localSheetId="13">'Div 3'!$H$94</definedName>
    <definedName name="OSRRefH22_7x_0" localSheetId="35">'Div 4'!$H$64</definedName>
    <definedName name="OSRRefH22_7x_0" localSheetId="55">'Div 5'!$H$54</definedName>
    <definedName name="OSRRefH22_7x_0" localSheetId="27">'Div 6'!$H$67</definedName>
    <definedName name="OSRRefH22_7x_0" localSheetId="2">Summary!$H$102</definedName>
    <definedName name="OSRRefH22_8x_0" localSheetId="7">'201'!$H$53</definedName>
    <definedName name="OSRRefH22_8x_0" localSheetId="8">'202'!$H$53:$H$55</definedName>
    <definedName name="OSRRefH22_8x_0" localSheetId="9">'203'!$H$54:$H$56</definedName>
    <definedName name="OSRRefH22_8x_0" localSheetId="10">'204'!$H$59:$H$60</definedName>
    <definedName name="OSRRefH22_8x_0" localSheetId="14">'300'!$H$90</definedName>
    <definedName name="OSRRefH22_8x_0" localSheetId="15">'300 &amp; 317'!$H$96</definedName>
    <definedName name="OSRRefH22_8x_0" localSheetId="16">'301'!$H$57</definedName>
    <definedName name="OSRRefH22_8x_0" localSheetId="21">'307'!$H$68</definedName>
    <definedName name="OSRRefH22_8x_0" localSheetId="17">'308'!$H$70</definedName>
    <definedName name="OSRRefH22_8x_0" localSheetId="31">'309'!$H$44:$H$45</definedName>
    <definedName name="OSRRefH22_8x_0" localSheetId="30">'310'!$H$64</definedName>
    <definedName name="OSRRefH22_8x_0" localSheetId="36">'310 &amp; 491'!$H$64:$H$65</definedName>
    <definedName name="OSRRefH22_8x_0" localSheetId="18">'311'!$H$70</definedName>
    <definedName name="OSRRefH22_8x_0" localSheetId="23">'315'!$H$77:$H$78</definedName>
    <definedName name="OSRRefH22_8x_0" localSheetId="26">'316'!$H$61:$H$63</definedName>
    <definedName name="OSRRefH22_8x_0" localSheetId="28">'317'!$H$69</definedName>
    <definedName name="OSRRefH22_8x_0" localSheetId="32">'321'!$H$59:$H$60</definedName>
    <definedName name="OSRRefH22_8x_0" localSheetId="33">'325'!$H$59</definedName>
    <definedName name="OSRRefH22_8x_0" localSheetId="24">'326'!$H$62</definedName>
    <definedName name="OSRRefH22_8x_0" localSheetId="22">'331'!$H$77:$H$78</definedName>
    <definedName name="OSRRefH22_8x_0" localSheetId="25">'332'!$H$61:$H$63</definedName>
    <definedName name="OSRRefH22_8x_0" localSheetId="20">'333'!$H$80:$H$81</definedName>
    <definedName name="OSRRefH22_8x_0" localSheetId="38">'405'!$H$61</definedName>
    <definedName name="OSRRefH22_8x_0" localSheetId="40">'411'!$H$54</definedName>
    <definedName name="OSRRefH22_8x_0" localSheetId="44">'415'!$H$62</definedName>
    <definedName name="OSRRefH22_8x_0" localSheetId="45">'418'!$H$59:$H$60</definedName>
    <definedName name="OSRRefH22_8x_0" localSheetId="50">'430'!$H$56</definedName>
    <definedName name="OSRRefH22_8x_0" localSheetId="51">'433'!$H$61</definedName>
    <definedName name="OSRRefH22_8x_0" localSheetId="53">'444'!$H$61</definedName>
    <definedName name="OSRRefH22_8x_0" localSheetId="54">'450'!$H$61</definedName>
    <definedName name="OSRRefH22_8x_0" localSheetId="37">'491'!$H$63:$H$64</definedName>
    <definedName name="OSRRefH22_8x_0" localSheetId="49">'492'!$H$63</definedName>
    <definedName name="OSRRefH22_8x_0" localSheetId="56">'501'!$H$56</definedName>
    <definedName name="OSRRefH22_8x_0" localSheetId="5">'Div 2'!$H$56</definedName>
    <definedName name="OSRRefH22_8x_0" localSheetId="13">'Div 3'!$H$96</definedName>
    <definedName name="OSRRefH22_8x_0" localSheetId="35">'Div 4'!$H$66</definedName>
    <definedName name="OSRRefH22_8x_0" localSheetId="55">'Div 5'!$H$56</definedName>
    <definedName name="OSRRefH22_8x_0" localSheetId="27">'Div 6'!$H$69</definedName>
    <definedName name="OSRRefH22_8x_0" localSheetId="2">Summary!$H$104</definedName>
    <definedName name="OSRRefH22_9x_0" localSheetId="7">'201'!$H$55</definedName>
    <definedName name="OSRRefH22_9x_0" localSheetId="8">'202'!$H$57</definedName>
    <definedName name="OSRRefH22_9x_0" localSheetId="9">'203'!$H$58:$H$59</definedName>
    <definedName name="OSRRefH22_9x_0" localSheetId="10">'204'!$H$62</definedName>
    <definedName name="OSRRefH22_9x_0" localSheetId="14">'300'!$H$92</definedName>
    <definedName name="OSRRefH22_9x_0" localSheetId="15">'300 &amp; 317'!$H$98</definedName>
    <definedName name="OSRRefH22_9x_0" localSheetId="16">'301'!$H$59</definedName>
    <definedName name="OSRRefH22_9x_0" localSheetId="21">'307'!$H$70:$H$71</definedName>
    <definedName name="OSRRefH22_9x_0" localSheetId="17">'308'!$H$72:$H$74</definedName>
    <definedName name="OSRRefH22_9x_0" localSheetId="31">'309'!$H$47:$H$48</definedName>
    <definedName name="OSRRefH22_9x_0" localSheetId="30">'310'!$H$66</definedName>
    <definedName name="OSRRefH22_9x_0" localSheetId="36">'310 &amp; 491'!$H$67</definedName>
    <definedName name="OSRRefH22_9x_0" localSheetId="18">'311'!$H$72:$H$74</definedName>
    <definedName name="OSRRefH22_9x_0" localSheetId="23">'315'!$H$80</definedName>
    <definedName name="OSRRefH22_9x_0" localSheetId="26">'316'!$H$65</definedName>
    <definedName name="OSRRefH22_9x_0" localSheetId="28">'317'!$H$71:$H$72</definedName>
    <definedName name="OSRRefH22_9x_0" localSheetId="32">'321'!$H$62:$H$64</definedName>
    <definedName name="OSRRefH22_9x_0" localSheetId="33">'325'!$H$61</definedName>
    <definedName name="OSRRefH22_9x_0" localSheetId="24">'326'!$H$64</definedName>
    <definedName name="OSRRefH22_9x_0" localSheetId="22">'331'!$H$80:$H$81</definedName>
    <definedName name="OSRRefH22_9x_0" localSheetId="25">'332'!$H$65</definedName>
    <definedName name="OSRRefH22_9x_0" localSheetId="20">'333'!$H$83:$H$84</definedName>
    <definedName name="OSRRefH22_9x_0" localSheetId="38">'405'!$H$63:$H$64</definedName>
    <definedName name="OSRRefH22_9x_0" localSheetId="40">'411'!$H$56:$H$59</definedName>
    <definedName name="OSRRefH22_9x_0" localSheetId="44">'415'!$H$64</definedName>
    <definedName name="OSRRefH22_9x_0" localSheetId="45">'418'!$H$62:$H$65</definedName>
    <definedName name="OSRRefH22_9x_0" localSheetId="51">'433'!$H$63</definedName>
    <definedName name="OSRRefH22_9x_0" localSheetId="53">'444'!$H$63</definedName>
    <definedName name="OSRRefH22_9x_0" localSheetId="54">'450'!$H$63</definedName>
    <definedName name="OSRRefH22_9x_0" localSheetId="37">'491'!$H$66</definedName>
    <definedName name="OSRRefH22_9x_0" localSheetId="49">'492'!$H$65</definedName>
    <definedName name="OSRRefH22_9x_0" localSheetId="56">'501'!$H$58:$H$60</definedName>
    <definedName name="OSRRefH22_9x_0" localSheetId="5">'Div 2'!$H$58</definedName>
    <definedName name="OSRRefH22_9x_0" localSheetId="13">'Div 3'!$H$98</definedName>
    <definedName name="OSRRefH22_9x_0" localSheetId="35">'Div 4'!$H$68:$H$69</definedName>
    <definedName name="OSRRefH22_9x_0" localSheetId="55">'Div 5'!$H$58:$H$60</definedName>
    <definedName name="OSRRefH22_9x_0" localSheetId="27">'Div 6'!$H$71:$H$72</definedName>
    <definedName name="OSRRefH22_9x_0" localSheetId="2">Summary!$H$106</definedName>
    <definedName name="OSRRefH22x_0" localSheetId="6">'200'!$H$20:$H$21,'200'!$H$23,'200'!$H$25,'200'!$H$27:$H$28</definedName>
    <definedName name="OSRRefH22x_0" localSheetId="7">'201'!$H$20:$H$28,'201'!$H$30:$H$39,'201'!$H$41,'201'!$H$43,'201'!$H$45,'201'!$H$47,'201'!$H$49,'201'!$H$51,'201'!$H$53,'201'!$H$55,'201'!$H$57:$H$59,'201'!$H$61:$H$62,'201'!$H$64,'201'!$H$66:$H$67,'201'!$H$69,'201'!$H$71,'201'!$H$73</definedName>
    <definedName name="OSRRefH22x_0" localSheetId="8">'202'!$H$20:$H$28,'202'!$H$30:$H$39,'202'!$H$41,'202'!$H$43,'202'!$H$45,'202'!$H$47,'202'!$H$49,'202'!$H$51,'202'!$H$53:$H$55,'202'!$H$57,'202'!$H$59:$H$60,'202'!$H$62,'202'!$H$64,'202'!$H$66</definedName>
    <definedName name="OSRRefH22x_0" localSheetId="9">'203'!$H$20:$H$29,'203'!$H$31:$H$40,'203'!$H$42,'203'!$H$44,'203'!$H$46,'203'!$H$48,'203'!$H$50,'203'!$H$52,'203'!$H$54:$H$56,'203'!$H$58:$H$59,'203'!$H$61:$H$62,'203'!$H$64:$H$67,'203'!$H$69,'203'!$H$71,'203'!$H$73</definedName>
    <definedName name="OSRRefH22x_0" localSheetId="10">'204'!$H$20:$H$29,'204'!$H$31:$H$40,'204'!$H$42,'204'!$H$44:$H$45,'204'!$H$47,'204'!$H$49:$H$52,'204'!$H$54:$H$55,'204'!$H$57,'204'!$H$59:$H$60,'204'!$H$62,'204'!$H$64</definedName>
    <definedName name="OSRRefH22x_0" localSheetId="11">'205'!$H$20:$H$28,'205'!$H$30:$H$39,'205'!$H$41,'205'!$H$43,'205'!$H$45:$H$47,'205'!$H$49,'205'!$H$51:$H$53,'205'!$H$55</definedName>
    <definedName name="OSRRefH22x_0" localSheetId="12">'206'!$H$20:$H$28,'206'!$H$30:$H$39,'206'!$H$41,'206'!$H$43,'206'!$H$45:$H$46,'206'!$H$48,'206'!$H$50:$H$51,'206'!$H$53</definedName>
    <definedName name="OSRRefH22x_0" localSheetId="14">'300'!$H$54:$H$63,'300'!$H$65:$H$74,'300'!$H$76,'300'!$H$78,'300'!$H$80,'300'!$H$82:$H$83,'300'!$H$85:$H$86,'300'!$H$88,'300'!$H$90,'300'!$H$92,'300'!$H$94:$H$95,'300'!$H$97:$H$98,'300'!$H$100,'300'!$H$102,'300'!$H$104,'300'!$H$106,'300'!$H$108:$H$111,'300'!$H$113:$H$116,'300'!$H$118:$H$120,'300'!$H$122:$H$123,'300'!$H$125:$H$131,'300'!$H$133:$H$134,'300'!$H$136,'300'!$H$138:$H$140,'300'!$H$142</definedName>
    <definedName name="OSRRefH22x_0" localSheetId="15">'300 &amp; 317'!$H$60:$H$69,'300 &amp; 317'!$H$71:$H$80,'300 &amp; 317'!$H$82,'300 &amp; 317'!$H$84,'300 &amp; 317'!$H$86,'300 &amp; 317'!$H$88:$H$89,'300 &amp; 317'!$H$91:$H$92,'300 &amp; 317'!$H$94,'300 &amp; 317'!$H$96,'300 &amp; 317'!$H$98,'300 &amp; 317'!$H$100:$H$101,'300 &amp; 317'!$H$103:$H$104,'300 &amp; 317'!$H$106,'300 &amp; 317'!$H$108,'300 &amp; 317'!$H$110,'300 &amp; 317'!$H$112,'300 &amp; 317'!$H$114:$H$117,'300 &amp; 317'!$H$119:$H$122,'300 &amp; 317'!$H$124:$H$126,'300 &amp; 317'!$H$128:$H$129,'300 &amp; 317'!$H$131:$H$137,'300 &amp; 317'!$H$139:$H$140,'300 &amp; 317'!$H$142,'300 &amp; 317'!$H$144:$H$146,'300 &amp; 317'!$H$148</definedName>
    <definedName name="OSRRefH22x_0" localSheetId="16">'301'!$H$21:$H$30,'301'!$H$32:$H$41,'301'!$H$43,'301'!$H$45,'301'!$H$47,'301'!$H$49:$H$50,'301'!$H$52:$H$53,'301'!$H$55,'301'!$H$57,'301'!$H$59,'301'!$H$61,'301'!$H$63,'301'!$H$65,'301'!$H$67,'301'!$H$69,'301'!$H$71:$H$74,'301'!$H$76:$H$77,'301'!$H$79,'301'!$H$81:$H$86,'301'!$H$88,'301'!$H$90,'301'!$H$92:$H$94,'301'!$H$96</definedName>
    <definedName name="OSRRefH22x_0" localSheetId="21">'307'!$H$34:$H$42,'307'!$H$44:$H$53,'307'!$H$55,'307'!$H$57,'307'!$H$59,'307'!$H$61:$H$62,'307'!$H$64,'307'!$H$66,'307'!$H$68,'307'!$H$70:$H$71,'307'!$H$73:$H$74,'307'!$H$76,'307'!$H$78:$H$81,'307'!$H$83</definedName>
    <definedName name="OSRRefH22x_0" localSheetId="17">'308'!$H$35:$H$44,'308'!$H$46:$H$55,'308'!$H$57,'308'!$H$59,'308'!$H$61,'308'!$H$63,'308'!$H$65:$H$66,'308'!$H$68,'308'!$H$70,'308'!$H$72:$H$74,'308'!$H$76:$H$77,'308'!$H$79:$H$80,'308'!$H$82:$H$83,'308'!$H$85</definedName>
    <definedName name="OSRRefH22x_0" localSheetId="31">'309'!$H$26:$H$27,'309'!$H$29:$H$30,'309'!$H$32,'309'!$H$34,'309'!$H$36,'309'!$H$38,'309'!$H$40,'309'!$H$42,'309'!$H$44:$H$45,'309'!$H$47:$H$48,'309'!$H$50:$H$51,'309'!$H$53,'309'!$H$55</definedName>
    <definedName name="OSRRefH22x_0" localSheetId="30">'310'!$H$29:$H$38,'310'!$H$40:$H$49,'310'!$H$51,'310'!$H$53,'310'!$H$55,'310'!$H$57:$H$58,'310'!$H$60,'310'!$H$62,'310'!$H$64,'310'!$H$66,'310'!$H$68,'310'!$H$70:$H$72,'310'!$H$74:$H$75,'310'!$H$77:$H$79,'310'!$H$81:$H$86,'310'!$H$88:$H$89,'310'!$H$91,'310'!$H$93</definedName>
    <definedName name="OSRRefH22x_0" localSheetId="36">'310 &amp; 491'!$H$29:$H$38,'310 &amp; 491'!$H$40:$H$49,'310 &amp; 491'!$H$51,'310 &amp; 491'!$H$53,'310 &amp; 491'!$H$55,'310 &amp; 491'!$H$57:$H$58,'310 &amp; 491'!$H$60,'310 &amp; 491'!$H$62,'310 &amp; 491'!$H$64:$H$65,'310 &amp; 491'!$H$67,'310 &amp; 491'!$H$69,'310 &amp; 491'!$H$71,'310 &amp; 491'!$H$73,'310 &amp; 491'!$H$75:$H$78,'310 &amp; 491'!$H$80:$H$81,'310 &amp; 491'!$H$83:$H$87,'310 &amp; 491'!$H$89,'310 &amp; 491'!$H$91:$H$100,'310 &amp; 491'!$H$102:$H$103,'310 &amp; 491'!$H$105,'310 &amp; 491'!$H$107:$H$108,'310 &amp; 491'!$H$110</definedName>
    <definedName name="OSRRefH22x_0" localSheetId="18">'311'!$H$35:$H$44,'311'!$H$46:$H$55,'311'!$H$57,'311'!$H$59,'311'!$H$61,'311'!$H$63,'311'!$H$65:$H$66,'311'!$H$68,'311'!$H$70,'311'!$H$72:$H$74,'311'!$H$76:$H$77,'311'!$H$79:$H$80,'311'!$H$82:$H$83,'311'!$H$85</definedName>
    <definedName name="OSRRefH22x_0" localSheetId="23">'315'!$H$44:$H$52,'315'!$H$54:$H$63,'315'!$H$65,'315'!$H$67,'315'!$H$69,'315'!$H$71,'315'!$H$73,'315'!$H$75,'315'!$H$77:$H$78,'315'!$H$80,'315'!$H$82,'315'!$H$84,'315'!$H$86:$H$87,'315'!$H$89:$H$91,'315'!$H$93:$H$94,'315'!$H$96:$H$99,'315'!$H$101,'315'!$H$103,'315'!$H$105</definedName>
    <definedName name="OSRRefH22x_0" localSheetId="26">'316'!$H$27:$H$35,'316'!$H$37:$H$46,'316'!$H$48,'316'!$H$50,'316'!$H$52,'316'!$H$54:$H$55,'316'!$H$57,'316'!$H$59,'316'!$H$61:$H$63,'316'!$H$65,'316'!$H$67,'316'!$H$69:$H$73,'316'!$H$75</definedName>
    <definedName name="OSRRefH22x_0" localSheetId="28">'317'!$H$35:$H$44,'317'!$H$46:$H$55,'317'!$H$57,'317'!$H$59,'317'!$H$61,'317'!$H$63,'317'!$H$65,'317'!$H$67,'317'!$H$69,'317'!$H$71:$H$72,'317'!$H$74</definedName>
    <definedName name="OSRRefH22x_0" localSheetId="32">'321'!$H$24:$H$33,'321'!$H$35:$H$44,'321'!$H$46,'321'!$H$48,'321'!$H$50,'321'!$H$52,'321'!$H$54,'321'!$H$56:$H$57,'321'!$H$59:$H$60,'321'!$H$62:$H$64,'321'!$H$66:$H$69,'321'!$H$71,'321'!$H$73,'321'!$H$75</definedName>
    <definedName name="OSRRefH22x_0" localSheetId="33">'325'!$H$25:$H$33,'325'!$H$35:$H$44,'325'!$H$46,'325'!$H$48,'325'!$H$50,'325'!$H$52:$H$53,'325'!$H$55,'325'!$H$57,'325'!$H$59,'325'!$H$61,'325'!$H$63,'325'!$H$65:$H$67,'325'!$H$69:$H$71,'325'!$H$73:$H$78,'325'!$H$80:$H$81,'325'!$H$83,'325'!$H$85</definedName>
    <definedName name="OSRRefH22x_0" localSheetId="24">'326'!$H$28:$H$36,'326'!$H$38:$H$47,'326'!$H$49,'326'!$H$51,'326'!$H$53,'326'!$H$55,'326'!$H$57:$H$58,'326'!$H$60,'326'!$H$62,'326'!$H$64,'326'!$H$66,'326'!$H$68:$H$69,'326'!$H$71:$H$72,'326'!$H$74:$H$75,'326'!$H$77:$H$79,'326'!$H$81,'326'!$H$83:$H$84,'326'!$H$86</definedName>
    <definedName name="OSRRefH22x_0" localSheetId="34">'327'!$H$26,'327'!$H$28</definedName>
    <definedName name="OSRRefH22x_0" localSheetId="22">'331'!$H$44:$H$52,'331'!$H$54:$H$63,'331'!$H$65,'331'!$H$67,'331'!$H$69,'331'!$H$71,'331'!$H$73,'331'!$H$75,'331'!$H$77:$H$78,'331'!$H$80:$H$81,'331'!$H$83,'331'!$H$85,'331'!$H$87,'331'!$H$89,'331'!$H$91:$H$92,'331'!$H$94:$H$96,'331'!$H$98:$H$99,'331'!$H$101:$H$102,'331'!$H$104:$H$108,'331'!$H$110,'331'!$H$112,'331'!$H$114:$H$115,'331'!$H$117</definedName>
    <definedName name="OSRRefH22x_0" localSheetId="25">'332'!$H$27:$H$35,'332'!$H$37:$H$46,'332'!$H$48,'332'!$H$50,'332'!$H$52,'332'!$H$54:$H$55,'332'!$H$57,'332'!$H$59,'332'!$H$61:$H$63,'332'!$H$65,'332'!$H$67,'332'!$H$69:$H$73,'332'!$H$75</definedName>
    <definedName name="OSRRefH22x_0" localSheetId="20">'333'!$H$46:$H$54,'333'!$H$56:$H$65,'333'!$H$67,'333'!$H$69,'333'!$H$71,'333'!$H$73:$H$74,'333'!$H$76,'333'!$H$78,'333'!$H$80:$H$81,'333'!$H$83:$H$84,'333'!$H$86,'333'!$H$88,'333'!$H$90,'333'!$H$92,'333'!$H$94:$H$95,'333'!$H$97:$H$99,'333'!$H$101:$H$103,'333'!$H$105:$H$106,'333'!$H$108:$H$113,'333'!$H$115,'333'!$H$117,'333'!$H$119:$H$120,'333'!$H$122</definedName>
    <definedName name="OSRRefH22x_0" localSheetId="38">'405'!$H$27:$H$35,'405'!$H$37:$H$46,'405'!$H$48,'405'!$H$50,'405'!$H$52,'405'!$H$54:$H$55,'405'!$H$57,'405'!$H$59,'405'!$H$61,'405'!$H$63:$H$64,'405'!$H$66:$H$69,'405'!$H$71,'405'!$H$73:$H$81,'405'!$H$83,'405'!$H$85,'405'!$H$87,'405'!$H$89</definedName>
    <definedName name="OSRRefH22x_0" localSheetId="39">'406'!$H$20,'406'!$H$22</definedName>
    <definedName name="OSRRefH22x_0" localSheetId="40">'411'!$H$20:$H$28,'411'!$H$30:$H$39,'411'!$H$41,'411'!$H$43:$H$44,'411'!$H$46,'411'!$H$48,'411'!$H$50,'411'!$H$52,'411'!$H$54,'411'!$H$56:$H$59,'411'!$H$61:$H$63,'411'!$H$65,'411'!$H$67:$H$68,'411'!$H$70,'411'!$H$72,'411'!$H$74:$H$75,'411'!$H$77</definedName>
    <definedName name="OSRRefH22x_0" localSheetId="41">'412'!$H$21,'412'!$H$23,'412'!$H$25,'412'!$H$27,'412'!$H$29</definedName>
    <definedName name="OSRRefH22x_0" localSheetId="42">'413'!$H$20,'413'!$H$22,'413'!$H$24</definedName>
    <definedName name="OSRRefH22x_0" localSheetId="43">'414'!$H$20,'414'!$H$22,'414'!$H$24</definedName>
    <definedName name="OSRRefH22x_0" localSheetId="44">'415'!$H$27:$H$36,'415'!$H$38:$H$47,'415'!$H$49,'415'!$H$51,'415'!$H$53,'415'!$H$55:$H$56,'415'!$H$58,'415'!$H$60,'415'!$H$62,'415'!$H$64,'415'!$H$66,'415'!$H$68:$H$69,'415'!$H$71:$H$74,'415'!$H$76,'415'!$H$78:$H$85,'415'!$H$87:$H$88,'415'!$H$90,'415'!$H$92</definedName>
    <definedName name="OSRRefH22x_0" localSheetId="45">'418'!$H$24:$H$32,'418'!$H$34:$H$43,'418'!$H$45,'418'!$H$47,'418'!$H$49:$H$50,'418'!$H$52,'418'!$H$54,'418'!$H$56:$H$57,'418'!$H$59:$H$60,'418'!$H$62:$H$65,'418'!$H$67,'418'!$H$69:$H$77,'418'!$H$79:$H$80,'418'!$H$82,'418'!$H$84,'418'!$H$86</definedName>
    <definedName name="OSRRefH22x_0" localSheetId="46">'423'!$H$20:$H$27,'423'!$H$29:$H$38,'423'!$H$40,'423'!$H$42,'423'!$H$44,'423'!$H$46</definedName>
    <definedName name="OSRRefH22x_0" localSheetId="47">'424'!$H$21,'424'!$H$23,'424'!$H$25</definedName>
    <definedName name="OSRRefH22x_0" localSheetId="48">'425'!$H$22,'425'!$H$24,'425'!$H$26,'425'!$H$28,'425'!$H$30,'425'!$H$32:$H$34</definedName>
    <definedName name="OSRRefH22x_0" localSheetId="50">'430'!$H$20:$H$28,'430'!$H$30:$H$39,'430'!$H$41,'430'!$H$43,'430'!$H$45,'430'!$H$47:$H$49,'430'!$H$51:$H$52,'430'!$H$54,'430'!$H$56</definedName>
    <definedName name="OSRRefH22x_0" localSheetId="51">'433'!$H$27:$H$36,'433'!$H$38:$H$47,'433'!$H$49,'433'!$H$51,'433'!$H$53,'433'!$H$55,'433'!$H$57,'433'!$H$59,'433'!$H$61,'433'!$H$63,'433'!$H$65,'433'!$H$67:$H$69,'433'!$H$71:$H$74,'433'!$H$76:$H$83,'433'!$H$85,'433'!$H$87</definedName>
    <definedName name="OSRRefH22x_0" localSheetId="52">'435'!$H$23:$H$24,'435'!$H$26,'435'!$H$28,'435'!$H$30,'435'!$H$32</definedName>
    <definedName name="OSRRefH22x_0" localSheetId="53">'444'!$H$27:$H$36,'444'!$H$38:$H$47,'444'!$H$49,'444'!$H$51,'444'!$H$53,'444'!$H$55,'444'!$H$57,'444'!$H$59,'444'!$H$61,'444'!$H$63,'444'!$H$65,'444'!$H$67:$H$68,'444'!$H$70:$H$73,'444'!$H$75,'444'!$H$77:$H$85,'444'!$H$87,'444'!$H$89</definedName>
    <definedName name="OSRRefH22x_0" localSheetId="54">'450'!$H$27:$H$36,'450'!$H$38:$H$47,'450'!$H$49,'450'!$H$51,'450'!$H$53,'450'!$H$55,'450'!$H$57,'450'!$H$59,'450'!$H$61,'450'!$H$63,'450'!$H$65,'450'!$H$67:$H$69,'450'!$H$71:$H$74,'450'!$H$76:$H$82,'450'!$H$84,'450'!$H$86,'450'!$H$88</definedName>
    <definedName name="OSRRefH22x_0" localSheetId="37">'491'!$H$28:$H$37,'491'!$H$39:$H$48,'491'!$H$50,'491'!$H$52,'491'!$H$54,'491'!$H$56:$H$57,'491'!$H$59,'491'!$H$61,'491'!$H$63:$H$64,'491'!$H$66,'491'!$H$68,'491'!$H$70,'491'!$H$72,'491'!$H$74:$H$77,'491'!$H$79,'491'!$H$81:$H$85,'491'!$H$87,'491'!$H$89:$H$98,'491'!$H$100:$H$101,'491'!$H$103,'491'!$H$105:$H$106,'491'!$H$108</definedName>
    <definedName name="OSRRefH22x_0" localSheetId="49">'492'!$H$29:$H$38,'492'!$H$40:$H$49,'492'!$H$51,'492'!$H$53,'492'!$H$55,'492'!$H$57,'492'!$H$59,'492'!$H$61,'492'!$H$63,'492'!$H$65,'492'!$H$67,'492'!$H$69,'492'!$H$71:$H$73,'492'!$H$75:$H$78,'492'!$H$80,'492'!$H$82:$H$90,'492'!$H$92:$H$93,'492'!$H$95,'492'!$H$97:$H$98</definedName>
    <definedName name="OSRRefH22x_0" localSheetId="56">'501'!$H$21:$H$30,'501'!$H$32:$H$41,'501'!$H$43,'501'!$H$45,'501'!$H$47,'501'!$H$49:$H$50,'501'!$H$52,'501'!$H$54,'501'!$H$56,'501'!$H$58:$H$60,'501'!$H$62,'501'!$H$64:$H$66,'501'!$H$68,'501'!$H$70</definedName>
    <definedName name="OSRRefH22x_0" localSheetId="5">'Div 2'!$H$20:$H$30,'Div 2'!$H$32:$H$41,'Div 2'!$H$43,'Div 2'!$H$45,'Div 2'!$H$47,'Div 2'!$H$49:$H$50,'Div 2'!$H$52,'Div 2'!$H$54,'Div 2'!$H$56,'Div 2'!$H$58,'Div 2'!$H$60,'Div 2'!$H$62,'Div 2'!$H$64:$H$67,'Div 2'!$H$69:$H$72,'Div 2'!$H$74:$H$75,'Div 2'!$H$77:$H$78,'Div 2'!$H$80:$H$85,'Div 2'!$H$87:$H$88,'Div 2'!$H$90,'Div 2'!$H$92:$H$93</definedName>
    <definedName name="OSRRefH22x_0" localSheetId="13">'Div 3'!$H$60:$H$69,'Div 3'!$H$71:$H$80,'Div 3'!$H$82,'Div 3'!$H$84,'Div 3'!$H$86,'Div 3'!$H$88:$H$89,'Div 3'!$H$91:$H$92,'Div 3'!$H$94,'Div 3'!$H$96,'Div 3'!$H$98,'Div 3'!$H$100:$H$101,'Div 3'!$H$103:$H$104,'Div 3'!$H$106,'Div 3'!$H$108,'Div 3'!$H$110,'Div 3'!$H$112,'Div 3'!$H$114,'Div 3'!$H$116:$H$119,'Div 3'!$H$121:$H$124,'Div 3'!$H$126:$H$129,'Div 3'!$H$131:$H$132,'Div 3'!$H$134:$H$140,'Div 3'!$H$142:$H$143,'Div 3'!$H$145,'Div 3'!$H$147:$H$149,'Div 3'!$H$151</definedName>
    <definedName name="OSRRefH22x_0" localSheetId="35">'Div 4'!$H$31:$H$40,'Div 4'!$H$42:$H$51,'Div 4'!$H$53,'Div 4'!$H$55,'Div 4'!$H$57,'Div 4'!$H$59:$H$60,'Div 4'!$H$62,'Div 4'!$H$64,'Div 4'!$H$66,'Div 4'!$H$68:$H$69,'Div 4'!$H$71,'Div 4'!$H$73,'Div 4'!$H$75,'Div 4'!$H$77,'Div 4'!$H$79,'Div 4'!$H$81:$H$84,'Div 4'!$H$86,'Div 4'!$H$88:$H$92,'Div 4'!$H$94:$H$95,'Div 4'!$H$97:$H$106,'Div 4'!$H$108:$H$109,'Div 4'!$H$111,'Div 4'!$H$113:$H$114,'Div 4'!$H$116</definedName>
    <definedName name="OSRRefH22x_0" localSheetId="55">'Div 5'!$H$21:$H$30,'Div 5'!$H$32:$H$41,'Div 5'!$H$43,'Div 5'!$H$45,'Div 5'!$H$47,'Div 5'!$H$49:$H$50,'Div 5'!$H$52,'Div 5'!$H$54,'Div 5'!$H$56,'Div 5'!$H$58:$H$60,'Div 5'!$H$62,'Div 5'!$H$64:$H$66,'Div 5'!$H$68,'Div 5'!$H$70</definedName>
    <definedName name="OSRRefH22x_0" localSheetId="27">'Div 6'!$H$35:$H$44,'Div 6'!$H$46:$H$55,'Div 6'!$H$57,'Div 6'!$H$59,'Div 6'!$H$61,'Div 6'!$H$63,'Div 6'!$H$65,'Div 6'!$H$67,'Div 6'!$H$69,'Div 6'!$H$71:$H$72,'Div 6'!$H$74</definedName>
    <definedName name="OSRRefH22x_0" localSheetId="2">Summary!$H$68:$H$77,Summary!$H$79:$H$88,Summary!$H$90,Summary!$H$92,Summary!$H$94,Summary!$H$96:$H$97,Summary!$H$99:$H$100,Summary!$H$102,Summary!$H$104,Summary!$H$106,Summary!$H$108:$H$109,Summary!$H$111:$H$113,Summary!$H$115,Summary!$H$117,Summary!$H$119,Summary!$H$121,Summary!$H$123,Summary!$H$125,Summary!$H$127:$H$130,Summary!$H$132:$H$135,Summary!$H$137:$H$141,Summary!$H$143:$H$144,Summary!$H$146:$H$155,Summary!$H$157:$H$158,Summary!$H$160,Summary!$H$162:$H$164,Summary!$H$166</definedName>
    <definedName name="OSRRefH25x_0" localSheetId="14">'300'!$H$145:$H$149</definedName>
    <definedName name="OSRRefH25x_0" localSheetId="15">'300 &amp; 317'!$H$151:$H$157</definedName>
    <definedName name="OSRRefH25x_0" localSheetId="16">'301'!$H$99:$H$100</definedName>
    <definedName name="OSRRefH25x_0" localSheetId="17">'308'!$H$88:$H$91</definedName>
    <definedName name="OSRRefH25x_0" localSheetId="36">'310 &amp; 491'!$H$113:$H$116</definedName>
    <definedName name="OSRRefH25x_0" localSheetId="18">'311'!$H$88:$H$91</definedName>
    <definedName name="OSRRefH25x_0" localSheetId="23">'315'!$H$108:$H$111</definedName>
    <definedName name="OSRRefH25x_0" localSheetId="26">'316'!$H$78</definedName>
    <definedName name="OSRRefH25x_0" localSheetId="28">'317'!$H$77:$H$79</definedName>
    <definedName name="OSRRefH25x_0" localSheetId="22">'331'!$H$120:$H$123</definedName>
    <definedName name="OSRRefH25x_0" localSheetId="25">'332'!$H$78</definedName>
    <definedName name="OSRRefH25x_0" localSheetId="20">'333'!$H$125:$H$128</definedName>
    <definedName name="OSRRefH25x_0" localSheetId="38">'405'!$H$92</definedName>
    <definedName name="OSRRefH25x_0" localSheetId="40">'411'!$H$80</definedName>
    <definedName name="OSRRefH25x_0" localSheetId="44">'415'!$H$95</definedName>
    <definedName name="OSRRefH25x_0" localSheetId="45">'418'!$H$89</definedName>
    <definedName name="OSRRefH25x_0" localSheetId="46">'423'!$H$49:$H$51</definedName>
    <definedName name="OSRRefH25x_0" localSheetId="37">'491'!$H$111:$H$114</definedName>
    <definedName name="OSRRefH25x_0" localSheetId="56">'501'!$H$73</definedName>
    <definedName name="OSRRefH25x_0" localSheetId="13">'Div 3'!$H$154:$H$158</definedName>
    <definedName name="OSRRefH25x_0" localSheetId="35">'Div 4'!$H$119:$H$122</definedName>
    <definedName name="OSRRefH25x_0" localSheetId="55">'Div 5'!$H$73</definedName>
    <definedName name="OSRRefH25x_0" localSheetId="27">'Div 6'!$H$77:$H$79</definedName>
    <definedName name="OSRRefH25x_0" localSheetId="2">Summary!$H$169:$H$176</definedName>
    <definedName name="OSRRefP13x_0" localSheetId="14">'300'!$P$13:$P$19</definedName>
    <definedName name="OSRRefP13x_0" localSheetId="15">'300 &amp; 317'!$P$13:$P$19</definedName>
    <definedName name="OSRRefP13x_0" localSheetId="21">'307'!$P$13:$P$16</definedName>
    <definedName name="OSRRefP13x_0" localSheetId="17">'308'!$P$13:$P$17</definedName>
    <definedName name="OSRRefP13x_0" localSheetId="31">'309'!$P$13:$P$16</definedName>
    <definedName name="OSRRefP13x_0" localSheetId="30">'310'!$P$13:$P$18</definedName>
    <definedName name="OSRRefP13x_0" localSheetId="36">'310 &amp; 491'!$P$13:$P$18</definedName>
    <definedName name="OSRRefP13x_0" localSheetId="18">'311'!$P$13:$P$17</definedName>
    <definedName name="OSRRefP13x_0" localSheetId="23">'315'!$P$13:$P$17</definedName>
    <definedName name="OSRRefP13x_0" localSheetId="26">'316'!$P$13:$P$17</definedName>
    <definedName name="OSRRefP13x_0" localSheetId="28">'317'!$P$13:$P$17</definedName>
    <definedName name="OSRRefP13x_0" localSheetId="32">'321'!$P$13:$P$14</definedName>
    <definedName name="OSRRefP13x_0" localSheetId="19">'324'!$P$13:$P$14</definedName>
    <definedName name="OSRRefP13x_0" localSheetId="33">'325'!$P$13:$P$14</definedName>
    <definedName name="OSRRefP13x_0" localSheetId="24">'326'!$P$13:$P$16</definedName>
    <definedName name="OSRRefP13x_0" localSheetId="34">'327'!$P$13:$P$15</definedName>
    <definedName name="OSRRefP13x_0" localSheetId="22">'331'!$P$13:$P$17</definedName>
    <definedName name="OSRRefP13x_0" localSheetId="25">'332'!$P$13:$P$17</definedName>
    <definedName name="OSRRefP13x_0" localSheetId="20">'333'!$P$13:$P$17</definedName>
    <definedName name="OSRRefP13x_0" localSheetId="38">'405'!$P$13:$P$16</definedName>
    <definedName name="OSRRefP13x_0" localSheetId="44">'415'!$P$13:$P$16</definedName>
    <definedName name="OSRRefP13x_0" localSheetId="45">'418'!$P$13:$P$14</definedName>
    <definedName name="OSRRefP13x_0" localSheetId="48">'425'!$P$13</definedName>
    <definedName name="OSRRefP13x_0" localSheetId="51">'433'!$P$13:$P$16</definedName>
    <definedName name="OSRRefP13x_0" localSheetId="52">'435'!$P$13:$P$14</definedName>
    <definedName name="OSRRefP13x_0" localSheetId="53">'444'!$P$13:$P$16</definedName>
    <definedName name="OSRRefP13x_0" localSheetId="54">'450'!$P$13:$P$16</definedName>
    <definedName name="OSRRefP13x_0" localSheetId="37">'491'!$P$13:$P$17</definedName>
    <definedName name="OSRRefP13x_0" localSheetId="49">'492'!$P$13:$P$18</definedName>
    <definedName name="OSRRefP13x_0" localSheetId="56">'501'!$P$13</definedName>
    <definedName name="OSRRefP13x_0" localSheetId="13">'Div 3'!$P$13:$P$23</definedName>
    <definedName name="OSRRefP13x_0" localSheetId="35">'Div 4'!$P$13:$P$20</definedName>
    <definedName name="OSRRefP13x_0" localSheetId="55">'Div 5'!$P$13</definedName>
    <definedName name="OSRRefP13x_0" localSheetId="27">'Div 6'!$P$13:$P$17</definedName>
    <definedName name="OSRRefP13x_0" localSheetId="2">Summary!$P$13:$P$25</definedName>
    <definedName name="OSRRefP16x_0" localSheetId="14">'300'!$P$22:$P$48</definedName>
    <definedName name="OSRRefP16x_0" localSheetId="15">'300 &amp; 317'!$P$22:$P$54</definedName>
    <definedName name="OSRRefP16x_0" localSheetId="16">'301'!$P$15</definedName>
    <definedName name="OSRRefP16x_0" localSheetId="21">'307'!$P$19:$P$28</definedName>
    <definedName name="OSRRefP16x_0" localSheetId="17">'308'!$P$20:$P$29</definedName>
    <definedName name="OSRRefP16x_0" localSheetId="31">'309'!$P$19:$P$20</definedName>
    <definedName name="OSRRefP16x_0" localSheetId="30">'310'!$P$21:$P$23</definedName>
    <definedName name="OSRRefP16x_0" localSheetId="36">'310 &amp; 491'!$P$21:$P$23</definedName>
    <definedName name="OSRRefP16x_0" localSheetId="18">'311'!$P$20:$P$29</definedName>
    <definedName name="OSRRefP16x_0" localSheetId="23">'315'!$P$20:$P$38</definedName>
    <definedName name="OSRRefP16x_0" localSheetId="26">'316'!$P$20:$P$21</definedName>
    <definedName name="OSRRefP16x_0" localSheetId="28">'317'!$P$20:$P$29</definedName>
    <definedName name="OSRRefP16x_0" localSheetId="32">'321'!$P$17:$P$18</definedName>
    <definedName name="OSRRefP16x_0" localSheetId="19">'324'!$P$17</definedName>
    <definedName name="OSRRefP16x_0" localSheetId="33">'325'!$P$17:$P$19</definedName>
    <definedName name="OSRRefP16x_0" localSheetId="24">'326'!$P$19:$P$22</definedName>
    <definedName name="OSRRefP16x_0" localSheetId="34">'327'!$P$18:$P$20</definedName>
    <definedName name="OSRRefP16x_0" localSheetId="22">'331'!$P$20:$P$38</definedName>
    <definedName name="OSRRefP16x_0" localSheetId="25">'332'!$P$20:$P$21</definedName>
    <definedName name="OSRRefP16x_0" localSheetId="20">'333'!$P$20:$P$40</definedName>
    <definedName name="OSRRefP16x_0" localSheetId="38">'405'!$P$19:$P$21</definedName>
    <definedName name="OSRRefP16x_0" localSheetId="41">'412'!$P$15</definedName>
    <definedName name="OSRRefP16x_0" localSheetId="44">'415'!$P$19:$P$21</definedName>
    <definedName name="OSRRefP16x_0" localSheetId="45">'418'!$P$17:$P$18</definedName>
    <definedName name="OSRRefP16x_0" localSheetId="47">'424'!$P$15</definedName>
    <definedName name="OSRRefP16x_0" localSheetId="48">'425'!$P$16</definedName>
    <definedName name="OSRRefP16x_0" localSheetId="51">'433'!$P$19:$P$21</definedName>
    <definedName name="OSRRefP16x_0" localSheetId="52">'435'!$P$17</definedName>
    <definedName name="OSRRefP16x_0" localSheetId="53">'444'!$P$19:$P$21</definedName>
    <definedName name="OSRRefP16x_0" localSheetId="54">'450'!$P$19:$P$21</definedName>
    <definedName name="OSRRefP16x_0" localSheetId="37">'491'!$P$20:$P$22</definedName>
    <definedName name="OSRRefP16x_0" localSheetId="49">'492'!$P$21:$P$23</definedName>
    <definedName name="OSRRefP16x_0" localSheetId="13">'Div 3'!$P$26:$P$54</definedName>
    <definedName name="OSRRefP16x_0" localSheetId="35">'Div 4'!$P$23:$P$25</definedName>
    <definedName name="OSRRefP16x_0" localSheetId="27">'Div 6'!$P$20:$P$29</definedName>
    <definedName name="OSRRefP16x_0" localSheetId="2">Summary!$P$28:$P$62</definedName>
    <definedName name="OSRRefP22_0x_0" localSheetId="6">'200'!$P$20:$P$21</definedName>
    <definedName name="OSRRefP22_0x_0" localSheetId="7">'201'!$P$20:$P$28</definedName>
    <definedName name="OSRRefP22_0x_0" localSheetId="8">'202'!$P$20:$P$28</definedName>
    <definedName name="OSRRefP22_0x_0" localSheetId="9">'203'!$P$20:$P$29</definedName>
    <definedName name="OSRRefP22_0x_0" localSheetId="10">'204'!$P$20:$P$29</definedName>
    <definedName name="OSRRefP22_0x_0" localSheetId="11">'205'!$P$20:$P$28</definedName>
    <definedName name="OSRRefP22_0x_0" localSheetId="12">'206'!$P$20:$P$28</definedName>
    <definedName name="OSRRefP22_0x_0" localSheetId="14">'300'!$P$54:$P$63</definedName>
    <definedName name="OSRRefP22_0x_0" localSheetId="15">'300 &amp; 317'!$P$60:$P$69</definedName>
    <definedName name="OSRRefP22_0x_0" localSheetId="16">'301'!$P$21:$P$30</definedName>
    <definedName name="OSRRefP22_0x_0" localSheetId="21">'307'!$P$34:$P$42</definedName>
    <definedName name="OSRRefP22_0x_0" localSheetId="17">'308'!$P$35:$P$44</definedName>
    <definedName name="OSRRefP22_0x_0" localSheetId="31">'309'!$P$26:$P$27</definedName>
    <definedName name="OSRRefP22_0x_0" localSheetId="30">'310'!$P$29:$P$38</definedName>
    <definedName name="OSRRefP22_0x_0" localSheetId="36">'310 &amp; 491'!$P$29:$P$38</definedName>
    <definedName name="OSRRefP22_0x_0" localSheetId="18">'311'!$P$35:$P$44</definedName>
    <definedName name="OSRRefP22_0x_0" localSheetId="23">'315'!$P$44:$P$52</definedName>
    <definedName name="OSRRefP22_0x_0" localSheetId="26">'316'!$P$27:$P$35</definedName>
    <definedName name="OSRRefP22_0x_0" localSheetId="28">'317'!$P$35:$P$44</definedName>
    <definedName name="OSRRefP22_0x_0" localSheetId="32">'321'!$P$24:$P$33</definedName>
    <definedName name="OSRRefP22_0x_0" localSheetId="33">'325'!$P$25:$P$33</definedName>
    <definedName name="OSRRefP22_0x_0" localSheetId="24">'326'!$P$28:$P$36</definedName>
    <definedName name="OSRRefP22_0x_0" localSheetId="34">'327'!$P$26</definedName>
    <definedName name="OSRRefP22_0x_0" localSheetId="22">'331'!$P$44:$P$52</definedName>
    <definedName name="OSRRefP22_0x_0" localSheetId="25">'332'!$P$27:$P$35</definedName>
    <definedName name="OSRRefP22_0x_0" localSheetId="20">'333'!$P$46:$P$54</definedName>
    <definedName name="OSRRefP22_0x_0" localSheetId="38">'405'!$P$27:$P$35</definedName>
    <definedName name="OSRRefP22_0x_0" localSheetId="39">'406'!$P$20</definedName>
    <definedName name="OSRRefP22_0x_0" localSheetId="40">'411'!$P$20:$P$28</definedName>
    <definedName name="OSRRefP22_0x_0" localSheetId="41">'412'!$P$21</definedName>
    <definedName name="OSRRefP22_0x_0" localSheetId="42">'413'!$P$20</definedName>
    <definedName name="OSRRefP22_0x_0" localSheetId="43">'414'!$P$20</definedName>
    <definedName name="OSRRefP22_0x_0" localSheetId="44">'415'!$P$27:$P$36</definedName>
    <definedName name="OSRRefP22_0x_0" localSheetId="45">'418'!$P$24:$P$32</definedName>
    <definedName name="OSRRefP22_0x_0" localSheetId="46">'423'!$P$20:$P$27</definedName>
    <definedName name="OSRRefP22_0x_0" localSheetId="47">'424'!$P$21</definedName>
    <definedName name="OSRRefP22_0x_0" localSheetId="48">'425'!$P$22</definedName>
    <definedName name="OSRRefP22_0x_0" localSheetId="50">'430'!$P$20:$P$28</definedName>
    <definedName name="OSRRefP22_0x_0" localSheetId="51">'433'!$P$27:$P$36</definedName>
    <definedName name="OSRRefP22_0x_0" localSheetId="52">'435'!$P$23:$P$24</definedName>
    <definedName name="OSRRefP22_0x_0" localSheetId="53">'444'!$P$27:$P$36</definedName>
    <definedName name="OSRRefP22_0x_0" localSheetId="54">'450'!$P$27:$P$36</definedName>
    <definedName name="OSRRefP22_0x_0" localSheetId="37">'491'!$P$28:$P$37</definedName>
    <definedName name="OSRRefP22_0x_0" localSheetId="49">'492'!$P$29:$P$38</definedName>
    <definedName name="OSRRefP22_0x_0" localSheetId="56">'501'!$P$21:$P$30</definedName>
    <definedName name="OSRRefP22_0x_0" localSheetId="5">'Div 2'!$P$20:$P$30</definedName>
    <definedName name="OSRRefP22_0x_0" localSheetId="13">'Div 3'!$P$60:$P$69</definedName>
    <definedName name="OSRRefP22_0x_0" localSheetId="35">'Div 4'!$P$31:$P$40</definedName>
    <definedName name="OSRRefP22_0x_0" localSheetId="55">'Div 5'!$P$21:$P$30</definedName>
    <definedName name="OSRRefP22_0x_0" localSheetId="27">'Div 6'!$P$35:$P$44</definedName>
    <definedName name="OSRRefP22_0x_0" localSheetId="2">Summary!$P$68:$P$77</definedName>
    <definedName name="OSRRefP22_10x_0" localSheetId="7">'201'!$P$57:$P$59</definedName>
    <definedName name="OSRRefP22_10x_0" localSheetId="8">'202'!$P$59:$P$60</definedName>
    <definedName name="OSRRefP22_10x_0" localSheetId="9">'203'!$P$61:$P$62</definedName>
    <definedName name="OSRRefP22_10x_0" localSheetId="10">'204'!$P$64</definedName>
    <definedName name="OSRRefP22_10x_0" localSheetId="14">'300'!$P$94:$P$95</definedName>
    <definedName name="OSRRefP22_10x_0" localSheetId="15">'300 &amp; 317'!$P$100:$P$101</definedName>
    <definedName name="OSRRefP22_10x_0" localSheetId="16">'301'!$P$61</definedName>
    <definedName name="OSRRefP22_10x_0" localSheetId="21">'307'!$P$73:$P$74</definedName>
    <definedName name="OSRRefP22_10x_0" localSheetId="17">'308'!$P$76:$P$77</definedName>
    <definedName name="OSRRefP22_10x_0" localSheetId="31">'309'!$P$50:$P$51</definedName>
    <definedName name="OSRRefP22_10x_0" localSheetId="30">'310'!$P$68</definedName>
    <definedName name="OSRRefP22_10x_0" localSheetId="36">'310 &amp; 491'!$P$69</definedName>
    <definedName name="OSRRefP22_10x_0" localSheetId="18">'311'!$P$76:$P$77</definedName>
    <definedName name="OSRRefP22_10x_0" localSheetId="23">'315'!$P$82</definedName>
    <definedName name="OSRRefP22_10x_0" localSheetId="26">'316'!$P$67</definedName>
    <definedName name="OSRRefP22_10x_0" localSheetId="28">'317'!$P$74</definedName>
    <definedName name="OSRRefP22_10x_0" localSheetId="32">'321'!$P$66:$P$69</definedName>
    <definedName name="OSRRefP22_10x_0" localSheetId="33">'325'!$P$63</definedName>
    <definedName name="OSRRefP22_10x_0" localSheetId="24">'326'!$P$66</definedName>
    <definedName name="OSRRefP22_10x_0" localSheetId="22">'331'!$P$83</definedName>
    <definedName name="OSRRefP22_10x_0" localSheetId="25">'332'!$P$67</definedName>
    <definedName name="OSRRefP22_10x_0" localSheetId="20">'333'!$P$86</definedName>
    <definedName name="OSRRefP22_10x_0" localSheetId="38">'405'!$P$66:$P$69</definedName>
    <definedName name="OSRRefP22_10x_0" localSheetId="40">'411'!$P$61:$P$63</definedName>
    <definedName name="OSRRefP22_10x_0" localSheetId="44">'415'!$P$66</definedName>
    <definedName name="OSRRefP22_10x_0" localSheetId="45">'418'!$P$67</definedName>
    <definedName name="OSRRefP22_10x_0" localSheetId="51">'433'!$P$65</definedName>
    <definedName name="OSRRefP22_10x_0" localSheetId="53">'444'!$P$65</definedName>
    <definedName name="OSRRefP22_10x_0" localSheetId="54">'450'!$P$65</definedName>
    <definedName name="OSRRefP22_10x_0" localSheetId="37">'491'!$P$68</definedName>
    <definedName name="OSRRefP22_10x_0" localSheetId="49">'492'!$P$67</definedName>
    <definedName name="OSRRefP22_10x_0" localSheetId="56">'501'!$P$62</definedName>
    <definedName name="OSRRefP22_10x_0" localSheetId="5">'Div 2'!$P$60</definedName>
    <definedName name="OSRRefP22_10x_0" localSheetId="13">'Div 3'!$P$100:$P$101</definedName>
    <definedName name="OSRRefP22_10x_0" localSheetId="35">'Div 4'!$P$71</definedName>
    <definedName name="OSRRefP22_10x_0" localSheetId="55">'Div 5'!$P$62</definedName>
    <definedName name="OSRRefP22_10x_0" localSheetId="27">'Div 6'!$P$74</definedName>
    <definedName name="OSRRefP22_10x_0" localSheetId="2">Summary!$P$108:$P$109</definedName>
    <definedName name="OSRRefP22_11x_0" localSheetId="7">'201'!$P$61:$P$62</definedName>
    <definedName name="OSRRefP22_11x_0" localSheetId="8">'202'!$P$62</definedName>
    <definedName name="OSRRefP22_11x_0" localSheetId="9">'203'!$P$64:$P$67</definedName>
    <definedName name="OSRRefP22_11x_0" localSheetId="14">'300'!$P$97:$P$98</definedName>
    <definedName name="OSRRefP22_11x_0" localSheetId="15">'300 &amp; 317'!$P$103:$P$104</definedName>
    <definedName name="OSRRefP22_11x_0" localSheetId="16">'301'!$P$63</definedName>
    <definedName name="OSRRefP22_11x_0" localSheetId="21">'307'!$P$76</definedName>
    <definedName name="OSRRefP22_11x_0" localSheetId="17">'308'!$P$79:$P$80</definedName>
    <definedName name="OSRRefP22_11x_0" localSheetId="31">'309'!$P$53</definedName>
    <definedName name="OSRRefP22_11x_0" localSheetId="30">'310'!$P$70:$P$72</definedName>
    <definedName name="OSRRefP22_11x_0" localSheetId="36">'310 &amp; 491'!$P$71</definedName>
    <definedName name="OSRRefP22_11x_0" localSheetId="18">'311'!$P$79:$P$80</definedName>
    <definedName name="OSRRefP22_11x_0" localSheetId="23">'315'!$P$84</definedName>
    <definedName name="OSRRefP22_11x_0" localSheetId="26">'316'!$P$69:$P$73</definedName>
    <definedName name="OSRRefP22_11x_0" localSheetId="32">'321'!$P$71</definedName>
    <definedName name="OSRRefP22_11x_0" localSheetId="33">'325'!$P$65:$P$67</definedName>
    <definedName name="OSRRefP22_11x_0" localSheetId="24">'326'!$P$68:$P$69</definedName>
    <definedName name="OSRRefP22_11x_0" localSheetId="22">'331'!$P$85</definedName>
    <definedName name="OSRRefP22_11x_0" localSheetId="25">'332'!$P$69:$P$73</definedName>
    <definedName name="OSRRefP22_11x_0" localSheetId="20">'333'!$P$88</definedName>
    <definedName name="OSRRefP22_11x_0" localSheetId="38">'405'!$P$71</definedName>
    <definedName name="OSRRefP22_11x_0" localSheetId="40">'411'!$P$65</definedName>
    <definedName name="OSRRefP22_11x_0" localSheetId="44">'415'!$P$68:$P$69</definedName>
    <definedName name="OSRRefP22_11x_0" localSheetId="45">'418'!$P$69:$P$77</definedName>
    <definedName name="OSRRefP22_11x_0" localSheetId="51">'433'!$P$67:$P$69</definedName>
    <definedName name="OSRRefP22_11x_0" localSheetId="53">'444'!$P$67:$P$68</definedName>
    <definedName name="OSRRefP22_11x_0" localSheetId="54">'450'!$P$67:$P$69</definedName>
    <definedName name="OSRRefP22_11x_0" localSheetId="37">'491'!$P$70</definedName>
    <definedName name="OSRRefP22_11x_0" localSheetId="49">'492'!$P$69</definedName>
    <definedName name="OSRRefP22_11x_0" localSheetId="56">'501'!$P$64:$P$66</definedName>
    <definedName name="OSRRefP22_11x_0" localSheetId="5">'Div 2'!$P$62</definedName>
    <definedName name="OSRRefP22_11x_0" localSheetId="13">'Div 3'!$P$103:$P$104</definedName>
    <definedName name="OSRRefP22_11x_0" localSheetId="35">'Div 4'!$P$73</definedName>
    <definedName name="OSRRefP22_11x_0" localSheetId="55">'Div 5'!$P$64:$P$66</definedName>
    <definedName name="OSRRefP22_11x_0" localSheetId="2">Summary!$P$111:$P$113</definedName>
    <definedName name="OSRRefP22_12x_0" localSheetId="7">'201'!$P$64</definedName>
    <definedName name="OSRRefP22_12x_0" localSheetId="8">'202'!$P$64</definedName>
    <definedName name="OSRRefP22_12x_0" localSheetId="9">'203'!$P$69</definedName>
    <definedName name="OSRRefP22_12x_0" localSheetId="14">'300'!$P$100</definedName>
    <definedName name="OSRRefP22_12x_0" localSheetId="15">'300 &amp; 317'!$P$106</definedName>
    <definedName name="OSRRefP22_12x_0" localSheetId="16">'301'!$P$65</definedName>
    <definedName name="OSRRefP22_12x_0" localSheetId="21">'307'!$P$78:$P$81</definedName>
    <definedName name="OSRRefP22_12x_0" localSheetId="17">'308'!$P$82:$P$83</definedName>
    <definedName name="OSRRefP22_12x_0" localSheetId="31">'309'!$P$55</definedName>
    <definedName name="OSRRefP22_12x_0" localSheetId="30">'310'!$P$74:$P$75</definedName>
    <definedName name="OSRRefP22_12x_0" localSheetId="36">'310 &amp; 491'!$P$73</definedName>
    <definedName name="OSRRefP22_12x_0" localSheetId="18">'311'!$P$82:$P$83</definedName>
    <definedName name="OSRRefP22_12x_0" localSheetId="23">'315'!$P$86:$P$87</definedName>
    <definedName name="OSRRefP22_12x_0" localSheetId="26">'316'!$P$75</definedName>
    <definedName name="OSRRefP22_12x_0" localSheetId="32">'321'!$P$73</definedName>
    <definedName name="OSRRefP22_12x_0" localSheetId="33">'325'!$P$69:$P$71</definedName>
    <definedName name="OSRRefP22_12x_0" localSheetId="24">'326'!$P$71:$P$72</definedName>
    <definedName name="OSRRefP22_12x_0" localSheetId="22">'331'!$P$87</definedName>
    <definedName name="OSRRefP22_12x_0" localSheetId="25">'332'!$P$75</definedName>
    <definedName name="OSRRefP22_12x_0" localSheetId="20">'333'!$P$90</definedName>
    <definedName name="OSRRefP22_12x_0" localSheetId="38">'405'!$P$73:$P$81</definedName>
    <definedName name="OSRRefP22_12x_0" localSheetId="40">'411'!$P$67:$P$68</definedName>
    <definedName name="OSRRefP22_12x_0" localSheetId="44">'415'!$P$71:$P$74</definedName>
    <definedName name="OSRRefP22_12x_0" localSheetId="45">'418'!$P$79:$P$80</definedName>
    <definedName name="OSRRefP22_12x_0" localSheetId="51">'433'!$P$71:$P$74</definedName>
    <definedName name="OSRRefP22_12x_0" localSheetId="53">'444'!$P$70:$P$73</definedName>
    <definedName name="OSRRefP22_12x_0" localSheetId="54">'450'!$P$71:$P$74</definedName>
    <definedName name="OSRRefP22_12x_0" localSheetId="37">'491'!$P$72</definedName>
    <definedName name="OSRRefP22_12x_0" localSheetId="49">'492'!$P$71:$P$73</definedName>
    <definedName name="OSRRefP22_12x_0" localSheetId="56">'501'!$P$68</definedName>
    <definedName name="OSRRefP22_12x_0" localSheetId="5">'Div 2'!$P$64:$P$67</definedName>
    <definedName name="OSRRefP22_12x_0" localSheetId="13">'Div 3'!$P$106</definedName>
    <definedName name="OSRRefP22_12x_0" localSheetId="35">'Div 4'!$P$75</definedName>
    <definedName name="OSRRefP22_12x_0" localSheetId="55">'Div 5'!$P$68</definedName>
    <definedName name="OSRRefP22_12x_0" localSheetId="2">Summary!$P$115</definedName>
    <definedName name="OSRRefP22_13x_0" localSheetId="7">'201'!$P$66:$P$67</definedName>
    <definedName name="OSRRefP22_13x_0" localSheetId="8">'202'!$P$66</definedName>
    <definedName name="OSRRefP22_13x_0" localSheetId="9">'203'!$P$71</definedName>
    <definedName name="OSRRefP22_13x_0" localSheetId="14">'300'!$P$102</definedName>
    <definedName name="OSRRefP22_13x_0" localSheetId="15">'300 &amp; 317'!$P$108</definedName>
    <definedName name="OSRRefP22_13x_0" localSheetId="16">'301'!$P$67</definedName>
    <definedName name="OSRRefP22_13x_0" localSheetId="21">'307'!$P$83</definedName>
    <definedName name="OSRRefP22_13x_0" localSheetId="17">'308'!$P$85</definedName>
    <definedName name="OSRRefP22_13x_0" localSheetId="30">'310'!$P$77:$P$79</definedName>
    <definedName name="OSRRefP22_13x_0" localSheetId="36">'310 &amp; 491'!$P$75:$P$78</definedName>
    <definedName name="OSRRefP22_13x_0" localSheetId="18">'311'!$P$85</definedName>
    <definedName name="OSRRefP22_13x_0" localSheetId="23">'315'!$P$89:$P$91</definedName>
    <definedName name="OSRRefP22_13x_0" localSheetId="32">'321'!$P$75</definedName>
    <definedName name="OSRRefP22_13x_0" localSheetId="33">'325'!$P$73:$P$78</definedName>
    <definedName name="OSRRefP22_13x_0" localSheetId="24">'326'!$P$74:$P$75</definedName>
    <definedName name="OSRRefP22_13x_0" localSheetId="22">'331'!$P$89</definedName>
    <definedName name="OSRRefP22_13x_0" localSheetId="20">'333'!$P$92</definedName>
    <definedName name="OSRRefP22_13x_0" localSheetId="38">'405'!$P$83</definedName>
    <definedName name="OSRRefP22_13x_0" localSheetId="40">'411'!$P$70</definedName>
    <definedName name="OSRRefP22_13x_0" localSheetId="44">'415'!$P$76</definedName>
    <definedName name="OSRRefP22_13x_0" localSheetId="45">'418'!$P$82</definedName>
    <definedName name="OSRRefP22_13x_0" localSheetId="51">'433'!$P$76:$P$83</definedName>
    <definedName name="OSRRefP22_13x_0" localSheetId="53">'444'!$P$75</definedName>
    <definedName name="OSRRefP22_13x_0" localSheetId="54">'450'!$P$76:$P$82</definedName>
    <definedName name="OSRRefP22_13x_0" localSheetId="37">'491'!$P$74:$P$77</definedName>
    <definedName name="OSRRefP22_13x_0" localSheetId="49">'492'!$P$75:$P$78</definedName>
    <definedName name="OSRRefP22_13x_0" localSheetId="56">'501'!$P$70</definedName>
    <definedName name="OSRRefP22_13x_0" localSheetId="5">'Div 2'!$P$69:$P$72</definedName>
    <definedName name="OSRRefP22_13x_0" localSheetId="13">'Div 3'!$P$108</definedName>
    <definedName name="OSRRefP22_13x_0" localSheetId="35">'Div 4'!$P$77</definedName>
    <definedName name="OSRRefP22_13x_0" localSheetId="55">'Div 5'!$P$70</definedName>
    <definedName name="OSRRefP22_13x_0" localSheetId="2">Summary!$P$117</definedName>
    <definedName name="OSRRefP22_14x_0" localSheetId="7">'201'!$P$69</definedName>
    <definedName name="OSRRefP22_14x_0" localSheetId="9">'203'!$P$73</definedName>
    <definedName name="OSRRefP22_14x_0" localSheetId="14">'300'!$P$104</definedName>
    <definedName name="OSRRefP22_14x_0" localSheetId="15">'300 &amp; 317'!$P$110</definedName>
    <definedName name="OSRRefP22_14x_0" localSheetId="16">'301'!$P$69</definedName>
    <definedName name="OSRRefP22_14x_0" localSheetId="30">'310'!$P$81:$P$86</definedName>
    <definedName name="OSRRefP22_14x_0" localSheetId="36">'310 &amp; 491'!$P$80:$P$81</definedName>
    <definedName name="OSRRefP22_14x_0" localSheetId="23">'315'!$P$93:$P$94</definedName>
    <definedName name="OSRRefP22_14x_0" localSheetId="33">'325'!$P$80:$P$81</definedName>
    <definedName name="OSRRefP22_14x_0" localSheetId="24">'326'!$P$77:$P$79</definedName>
    <definedName name="OSRRefP22_14x_0" localSheetId="22">'331'!$P$91:$P$92</definedName>
    <definedName name="OSRRefP22_14x_0" localSheetId="20">'333'!$P$94:$P$95</definedName>
    <definedName name="OSRRefP22_14x_0" localSheetId="38">'405'!$P$85</definedName>
    <definedName name="OSRRefP22_14x_0" localSheetId="40">'411'!$P$72</definedName>
    <definedName name="OSRRefP22_14x_0" localSheetId="44">'415'!$P$78:$P$85</definedName>
    <definedName name="OSRRefP22_14x_0" localSheetId="45">'418'!$P$84</definedName>
    <definedName name="OSRRefP22_14x_0" localSheetId="51">'433'!$P$85</definedName>
    <definedName name="OSRRefP22_14x_0" localSheetId="53">'444'!$P$77:$P$85</definedName>
    <definedName name="OSRRefP22_14x_0" localSheetId="54">'450'!$P$84</definedName>
    <definedName name="OSRRefP22_14x_0" localSheetId="37">'491'!$P$79</definedName>
    <definedName name="OSRRefP22_14x_0" localSheetId="49">'492'!$P$80</definedName>
    <definedName name="OSRRefP22_14x_0" localSheetId="5">'Div 2'!$P$74:$P$75</definedName>
    <definedName name="OSRRefP22_14x_0" localSheetId="13">'Div 3'!$P$110</definedName>
    <definedName name="OSRRefP22_14x_0" localSheetId="35">'Div 4'!$P$79</definedName>
    <definedName name="OSRRefP22_14x_0" localSheetId="2">Summary!$P$119</definedName>
    <definedName name="OSRRefP22_15x_0" localSheetId="7">'201'!$P$71</definedName>
    <definedName name="OSRRefP22_15x_0" localSheetId="14">'300'!$P$106</definedName>
    <definedName name="OSRRefP22_15x_0" localSheetId="15">'300 &amp; 317'!$P$112</definedName>
    <definedName name="OSRRefP22_15x_0" localSheetId="16">'301'!$P$71:$P$74</definedName>
    <definedName name="OSRRefP22_15x_0" localSheetId="30">'310'!$P$88:$P$89</definedName>
    <definedName name="OSRRefP22_15x_0" localSheetId="36">'310 &amp; 491'!$P$83:$P$87</definedName>
    <definedName name="OSRRefP22_15x_0" localSheetId="23">'315'!$P$96:$P$99</definedName>
    <definedName name="OSRRefP22_15x_0" localSheetId="33">'325'!$P$83</definedName>
    <definedName name="OSRRefP22_15x_0" localSheetId="24">'326'!$P$81</definedName>
    <definedName name="OSRRefP22_15x_0" localSheetId="22">'331'!$P$94:$P$96</definedName>
    <definedName name="OSRRefP22_15x_0" localSheetId="20">'333'!$P$97:$P$99</definedName>
    <definedName name="OSRRefP22_15x_0" localSheetId="38">'405'!$P$87</definedName>
    <definedName name="OSRRefP22_15x_0" localSheetId="40">'411'!$P$74:$P$75</definedName>
    <definedName name="OSRRefP22_15x_0" localSheetId="44">'415'!$P$87:$P$88</definedName>
    <definedName name="OSRRefP22_15x_0" localSheetId="45">'418'!$P$86</definedName>
    <definedName name="OSRRefP22_15x_0" localSheetId="51">'433'!$P$87</definedName>
    <definedName name="OSRRefP22_15x_0" localSheetId="53">'444'!$P$87</definedName>
    <definedName name="OSRRefP22_15x_0" localSheetId="54">'450'!$P$86</definedName>
    <definedName name="OSRRefP22_15x_0" localSheetId="37">'491'!$P$81:$P$85</definedName>
    <definedName name="OSRRefP22_15x_0" localSheetId="49">'492'!$P$82:$P$90</definedName>
    <definedName name="OSRRefP22_15x_0" localSheetId="5">'Div 2'!$P$77:$P$78</definedName>
    <definedName name="OSRRefP22_15x_0" localSheetId="13">'Div 3'!$P$112</definedName>
    <definedName name="OSRRefP22_15x_0" localSheetId="35">'Div 4'!$P$81:$P$84</definedName>
    <definedName name="OSRRefP22_15x_0" localSheetId="2">Summary!$P$121</definedName>
    <definedName name="OSRRefP22_16x_0" localSheetId="7">'201'!$P$73</definedName>
    <definedName name="OSRRefP22_16x_0" localSheetId="14">'300'!$P$108:$P$111</definedName>
    <definedName name="OSRRefP22_16x_0" localSheetId="15">'300 &amp; 317'!$P$114:$P$117</definedName>
    <definedName name="OSRRefP22_16x_0" localSheetId="16">'301'!$P$76:$P$77</definedName>
    <definedName name="OSRRefP22_16x_0" localSheetId="30">'310'!$P$91</definedName>
    <definedName name="OSRRefP22_16x_0" localSheetId="36">'310 &amp; 491'!$P$89</definedName>
    <definedName name="OSRRefP22_16x_0" localSheetId="23">'315'!$P$101</definedName>
    <definedName name="OSRRefP22_16x_0" localSheetId="33">'325'!$P$85</definedName>
    <definedName name="OSRRefP22_16x_0" localSheetId="24">'326'!$P$83:$P$84</definedName>
    <definedName name="OSRRefP22_16x_0" localSheetId="22">'331'!$P$98:$P$99</definedName>
    <definedName name="OSRRefP22_16x_0" localSheetId="20">'333'!$P$101:$P$103</definedName>
    <definedName name="OSRRefP22_16x_0" localSheetId="38">'405'!$P$89</definedName>
    <definedName name="OSRRefP22_16x_0" localSheetId="40">'411'!$P$77</definedName>
    <definedName name="OSRRefP22_16x_0" localSheetId="44">'415'!$P$90</definedName>
    <definedName name="OSRRefP22_16x_0" localSheetId="53">'444'!$P$89</definedName>
    <definedName name="OSRRefP22_16x_0" localSheetId="54">'450'!$P$88</definedName>
    <definedName name="OSRRefP22_16x_0" localSheetId="37">'491'!$P$87</definedName>
    <definedName name="OSRRefP22_16x_0" localSheetId="49">'492'!$P$92:$P$93</definedName>
    <definedName name="OSRRefP22_16x_0" localSheetId="5">'Div 2'!$P$80:$P$85</definedName>
    <definedName name="OSRRefP22_16x_0" localSheetId="13">'Div 3'!$P$114</definedName>
    <definedName name="OSRRefP22_16x_0" localSheetId="35">'Div 4'!$P$86</definedName>
    <definedName name="OSRRefP22_16x_0" localSheetId="2">Summary!$P$123</definedName>
    <definedName name="OSRRefP22_17x_0" localSheetId="14">'300'!$P$113:$P$116</definedName>
    <definedName name="OSRRefP22_17x_0" localSheetId="15">'300 &amp; 317'!$P$119:$P$122</definedName>
    <definedName name="OSRRefP22_17x_0" localSheetId="16">'301'!$P$79</definedName>
    <definedName name="OSRRefP22_17x_0" localSheetId="30">'310'!$P$93</definedName>
    <definedName name="OSRRefP22_17x_0" localSheetId="36">'310 &amp; 491'!$P$91:$P$100</definedName>
    <definedName name="OSRRefP22_17x_0" localSheetId="23">'315'!$P$103</definedName>
    <definedName name="OSRRefP22_17x_0" localSheetId="24">'326'!$P$86</definedName>
    <definedName name="OSRRefP22_17x_0" localSheetId="22">'331'!$P$101:$P$102</definedName>
    <definedName name="OSRRefP22_17x_0" localSheetId="20">'333'!$P$105:$P$106</definedName>
    <definedName name="OSRRefP22_17x_0" localSheetId="44">'415'!$P$92</definedName>
    <definedName name="OSRRefP22_17x_0" localSheetId="37">'491'!$P$89:$P$98</definedName>
    <definedName name="OSRRefP22_17x_0" localSheetId="49">'492'!$P$95</definedName>
    <definedName name="OSRRefP22_17x_0" localSheetId="5">'Div 2'!$P$87:$P$88</definedName>
    <definedName name="OSRRefP22_17x_0" localSheetId="13">'Div 3'!$P$116:$P$119</definedName>
    <definedName name="OSRRefP22_17x_0" localSheetId="35">'Div 4'!$P$88:$P$92</definedName>
    <definedName name="OSRRefP22_17x_0" localSheetId="2">Summary!$P$125</definedName>
    <definedName name="OSRRefP22_18x_0" localSheetId="14">'300'!$P$118:$P$120</definedName>
    <definedName name="OSRRefP22_18x_0" localSheetId="15">'300 &amp; 317'!$P$124:$P$126</definedName>
    <definedName name="OSRRefP22_18x_0" localSheetId="16">'301'!$P$81:$P$86</definedName>
    <definedName name="OSRRefP22_18x_0" localSheetId="36">'310 &amp; 491'!$P$102:$P$103</definedName>
    <definedName name="OSRRefP22_18x_0" localSheetId="23">'315'!$P$105</definedName>
    <definedName name="OSRRefP22_18x_0" localSheetId="22">'331'!$P$104:$P$108</definedName>
    <definedName name="OSRRefP22_18x_0" localSheetId="20">'333'!$P$108:$P$113</definedName>
    <definedName name="OSRRefP22_18x_0" localSheetId="37">'491'!$P$100:$P$101</definedName>
    <definedName name="OSRRefP22_18x_0" localSheetId="49">'492'!$P$97:$P$98</definedName>
    <definedName name="OSRRefP22_18x_0" localSheetId="5">'Div 2'!$P$90</definedName>
    <definedName name="OSRRefP22_18x_0" localSheetId="13">'Div 3'!$P$121:$P$124</definedName>
    <definedName name="OSRRefP22_18x_0" localSheetId="35">'Div 4'!$P$94:$P$95</definedName>
    <definedName name="OSRRefP22_18x_0" localSheetId="2">Summary!$P$127:$P$130</definedName>
    <definedName name="OSRRefP22_19x_0" localSheetId="14">'300'!$P$122:$P$123</definedName>
    <definedName name="OSRRefP22_19x_0" localSheetId="15">'300 &amp; 317'!$P$128:$P$129</definedName>
    <definedName name="OSRRefP22_19x_0" localSheetId="16">'301'!$P$88</definedName>
    <definedName name="OSRRefP22_19x_0" localSheetId="36">'310 &amp; 491'!$P$105</definedName>
    <definedName name="OSRRefP22_19x_0" localSheetId="22">'331'!$P$110</definedName>
    <definedName name="OSRRefP22_19x_0" localSheetId="20">'333'!$P$115</definedName>
    <definedName name="OSRRefP22_19x_0" localSheetId="37">'491'!$P$103</definedName>
    <definedName name="OSRRefP22_19x_0" localSheetId="5">'Div 2'!$P$92:$P$93</definedName>
    <definedName name="OSRRefP22_19x_0" localSheetId="13">'Div 3'!$P$126:$P$129</definedName>
    <definedName name="OSRRefP22_19x_0" localSheetId="35">'Div 4'!$P$97:$P$106</definedName>
    <definedName name="OSRRefP22_19x_0" localSheetId="2">Summary!$P$132:$P$135</definedName>
    <definedName name="OSRRefP22_1x_0" localSheetId="6">'200'!$P$23</definedName>
    <definedName name="OSRRefP22_1x_0" localSheetId="7">'201'!$P$30:$P$39</definedName>
    <definedName name="OSRRefP22_1x_0" localSheetId="8">'202'!$P$30:$P$39</definedName>
    <definedName name="OSRRefP22_1x_0" localSheetId="9">'203'!$P$31:$P$40</definedName>
    <definedName name="OSRRefP22_1x_0" localSheetId="10">'204'!$P$31:$P$40</definedName>
    <definedName name="OSRRefP22_1x_0" localSheetId="11">'205'!$P$30:$P$39</definedName>
    <definedName name="OSRRefP22_1x_0" localSheetId="12">'206'!$P$30:$P$39</definedName>
    <definedName name="OSRRefP22_1x_0" localSheetId="14">'300'!$P$65:$P$74</definedName>
    <definedName name="OSRRefP22_1x_0" localSheetId="15">'300 &amp; 317'!$P$71:$P$80</definedName>
    <definedName name="OSRRefP22_1x_0" localSheetId="16">'301'!$P$32:$P$41</definedName>
    <definedName name="OSRRefP22_1x_0" localSheetId="21">'307'!$P$44:$P$53</definedName>
    <definedName name="OSRRefP22_1x_0" localSheetId="17">'308'!$P$46:$P$55</definedName>
    <definedName name="OSRRefP22_1x_0" localSheetId="31">'309'!$P$29:$P$30</definedName>
    <definedName name="OSRRefP22_1x_0" localSheetId="30">'310'!$P$40:$P$49</definedName>
    <definedName name="OSRRefP22_1x_0" localSheetId="36">'310 &amp; 491'!$P$40:$P$49</definedName>
    <definedName name="OSRRefP22_1x_0" localSheetId="18">'311'!$P$46:$P$55</definedName>
    <definedName name="OSRRefP22_1x_0" localSheetId="23">'315'!$P$54:$P$63</definedName>
    <definedName name="OSRRefP22_1x_0" localSheetId="26">'316'!$P$37:$P$46</definedName>
    <definedName name="OSRRefP22_1x_0" localSheetId="28">'317'!$P$46:$P$55</definedName>
    <definedName name="OSRRefP22_1x_0" localSheetId="32">'321'!$P$35:$P$44</definedName>
    <definedName name="OSRRefP22_1x_0" localSheetId="33">'325'!$P$35:$P$44</definedName>
    <definedName name="OSRRefP22_1x_0" localSheetId="24">'326'!$P$38:$P$47</definedName>
    <definedName name="OSRRefP22_1x_0" localSheetId="34">'327'!$P$28</definedName>
    <definedName name="OSRRefP22_1x_0" localSheetId="22">'331'!$P$54:$P$63</definedName>
    <definedName name="OSRRefP22_1x_0" localSheetId="25">'332'!$P$37:$P$46</definedName>
    <definedName name="OSRRefP22_1x_0" localSheetId="20">'333'!$P$56:$P$65</definedName>
    <definedName name="OSRRefP22_1x_0" localSheetId="38">'405'!$P$37:$P$46</definedName>
    <definedName name="OSRRefP22_1x_0" localSheetId="39">'406'!$P$22</definedName>
    <definedName name="OSRRefP22_1x_0" localSheetId="40">'411'!$P$30:$P$39</definedName>
    <definedName name="OSRRefP22_1x_0" localSheetId="41">'412'!$P$23</definedName>
    <definedName name="OSRRefP22_1x_0" localSheetId="42">'413'!$P$22</definedName>
    <definedName name="OSRRefP22_1x_0" localSheetId="43">'414'!$P$22</definedName>
    <definedName name="OSRRefP22_1x_0" localSheetId="44">'415'!$P$38:$P$47</definedName>
    <definedName name="OSRRefP22_1x_0" localSheetId="45">'418'!$P$34:$P$43</definedName>
    <definedName name="OSRRefP22_1x_0" localSheetId="46">'423'!$P$29:$P$38</definedName>
    <definedName name="OSRRefP22_1x_0" localSheetId="47">'424'!$P$23</definedName>
    <definedName name="OSRRefP22_1x_0" localSheetId="48">'425'!$P$24</definedName>
    <definedName name="OSRRefP22_1x_0" localSheetId="50">'430'!$P$30:$P$39</definedName>
    <definedName name="OSRRefP22_1x_0" localSheetId="51">'433'!$P$38:$P$47</definedName>
    <definedName name="OSRRefP22_1x_0" localSheetId="52">'435'!$P$26</definedName>
    <definedName name="OSRRefP22_1x_0" localSheetId="53">'444'!$P$38:$P$47</definedName>
    <definedName name="OSRRefP22_1x_0" localSheetId="54">'450'!$P$38:$P$47</definedName>
    <definedName name="OSRRefP22_1x_0" localSheetId="37">'491'!$P$39:$P$48</definedName>
    <definedName name="OSRRefP22_1x_0" localSheetId="49">'492'!$P$40:$P$49</definedName>
    <definedName name="OSRRefP22_1x_0" localSheetId="56">'501'!$P$32:$P$41</definedName>
    <definedName name="OSRRefP22_1x_0" localSheetId="5">'Div 2'!$P$32:$P$41</definedName>
    <definedName name="OSRRefP22_1x_0" localSheetId="13">'Div 3'!$P$71:$P$80</definedName>
    <definedName name="OSRRefP22_1x_0" localSheetId="35">'Div 4'!$P$42:$P$51</definedName>
    <definedName name="OSRRefP22_1x_0" localSheetId="55">'Div 5'!$P$32:$P$41</definedName>
    <definedName name="OSRRefP22_1x_0" localSheetId="27">'Div 6'!$P$46:$P$55</definedName>
    <definedName name="OSRRefP22_1x_0" localSheetId="2">Summary!$P$79:$P$88</definedName>
    <definedName name="OSRRefP22_20x_0" localSheetId="14">'300'!$P$125:$P$131</definedName>
    <definedName name="OSRRefP22_20x_0" localSheetId="15">'300 &amp; 317'!$P$131:$P$137</definedName>
    <definedName name="OSRRefP22_20x_0" localSheetId="16">'301'!$P$90</definedName>
    <definedName name="OSRRefP22_20x_0" localSheetId="36">'310 &amp; 491'!$P$107:$P$108</definedName>
    <definedName name="OSRRefP22_20x_0" localSheetId="22">'331'!$P$112</definedName>
    <definedName name="OSRRefP22_20x_0" localSheetId="20">'333'!$P$117</definedName>
    <definedName name="OSRRefP22_20x_0" localSheetId="37">'491'!$P$105:$P$106</definedName>
    <definedName name="OSRRefP22_20x_0" localSheetId="13">'Div 3'!$P$131:$P$132</definedName>
    <definedName name="OSRRefP22_20x_0" localSheetId="35">'Div 4'!$P$108:$P$109</definedName>
    <definedName name="OSRRefP22_20x_0" localSheetId="2">Summary!$P$137:$P$141</definedName>
    <definedName name="OSRRefP22_21x_0" localSheetId="14">'300'!$P$133:$P$134</definedName>
    <definedName name="OSRRefP22_21x_0" localSheetId="15">'300 &amp; 317'!$P$139:$P$140</definedName>
    <definedName name="OSRRefP22_21x_0" localSheetId="16">'301'!$P$92:$P$94</definedName>
    <definedName name="OSRRefP22_21x_0" localSheetId="36">'310 &amp; 491'!$P$110</definedName>
    <definedName name="OSRRefP22_21x_0" localSheetId="22">'331'!$P$114:$P$115</definedName>
    <definedName name="OSRRefP22_21x_0" localSheetId="20">'333'!$P$119:$P$120</definedName>
    <definedName name="OSRRefP22_21x_0" localSheetId="37">'491'!$P$108</definedName>
    <definedName name="OSRRefP22_21x_0" localSheetId="13">'Div 3'!$P$134:$P$140</definedName>
    <definedName name="OSRRefP22_21x_0" localSheetId="35">'Div 4'!$P$111</definedName>
    <definedName name="OSRRefP22_21x_0" localSheetId="2">Summary!$P$143:$P$144</definedName>
    <definedName name="OSRRefP22_22x_0" localSheetId="14">'300'!$P$136</definedName>
    <definedName name="OSRRefP22_22x_0" localSheetId="15">'300 &amp; 317'!$P$142</definedName>
    <definedName name="OSRRefP22_22x_0" localSheetId="16">'301'!$P$96</definedName>
    <definedName name="OSRRefP22_22x_0" localSheetId="22">'331'!$P$117</definedName>
    <definedName name="OSRRefP22_22x_0" localSheetId="20">'333'!$P$122</definedName>
    <definedName name="OSRRefP22_22x_0" localSheetId="13">'Div 3'!$P$142:$P$143</definedName>
    <definedName name="OSRRefP22_22x_0" localSheetId="35">'Div 4'!$P$113:$P$114</definedName>
    <definedName name="OSRRefP22_22x_0" localSheetId="2">Summary!$P$146:$P$155</definedName>
    <definedName name="OSRRefP22_23x_0" localSheetId="14">'300'!$P$138:$P$140</definedName>
    <definedName name="OSRRefP22_23x_0" localSheetId="15">'300 &amp; 317'!$P$144:$P$146</definedName>
    <definedName name="OSRRefP22_23x_0" localSheetId="13">'Div 3'!$P$145</definedName>
    <definedName name="OSRRefP22_23x_0" localSheetId="35">'Div 4'!$P$116</definedName>
    <definedName name="OSRRefP22_23x_0" localSheetId="2">Summary!$P$157:$P$158</definedName>
    <definedName name="OSRRefP22_24x_0" localSheetId="14">'300'!$P$142</definedName>
    <definedName name="OSRRefP22_24x_0" localSheetId="15">'300 &amp; 317'!$P$148</definedName>
    <definedName name="OSRRefP22_24x_0" localSheetId="13">'Div 3'!$P$147:$P$149</definedName>
    <definedName name="OSRRefP22_24x_0" localSheetId="2">Summary!$P$160</definedName>
    <definedName name="OSRRefP22_25x_0" localSheetId="13">'Div 3'!$P$151</definedName>
    <definedName name="OSRRefP22_25x_0" localSheetId="2">Summary!$P$162:$P$164</definedName>
    <definedName name="OSRRefP22_26x_0" localSheetId="2">Summary!$P$166</definedName>
    <definedName name="OSRRefP22_2x_0" localSheetId="6">'200'!$P$25</definedName>
    <definedName name="OSRRefP22_2x_0" localSheetId="7">'201'!$P$41</definedName>
    <definedName name="OSRRefP22_2x_0" localSheetId="8">'202'!$P$41</definedName>
    <definedName name="OSRRefP22_2x_0" localSheetId="9">'203'!$P$42</definedName>
    <definedName name="OSRRefP22_2x_0" localSheetId="10">'204'!$P$42</definedName>
    <definedName name="OSRRefP22_2x_0" localSheetId="11">'205'!$P$41</definedName>
    <definedName name="OSRRefP22_2x_0" localSheetId="12">'206'!$P$41</definedName>
    <definedName name="OSRRefP22_2x_0" localSheetId="14">'300'!$P$76</definedName>
    <definedName name="OSRRefP22_2x_0" localSheetId="15">'300 &amp; 317'!$P$82</definedName>
    <definedName name="OSRRefP22_2x_0" localSheetId="16">'301'!$P$43</definedName>
    <definedName name="OSRRefP22_2x_0" localSheetId="21">'307'!$P$55</definedName>
    <definedName name="OSRRefP22_2x_0" localSheetId="17">'308'!$P$57</definedName>
    <definedName name="OSRRefP22_2x_0" localSheetId="31">'309'!$P$32</definedName>
    <definedName name="OSRRefP22_2x_0" localSheetId="30">'310'!$P$51</definedName>
    <definedName name="OSRRefP22_2x_0" localSheetId="36">'310 &amp; 491'!$P$51</definedName>
    <definedName name="OSRRefP22_2x_0" localSheetId="18">'311'!$P$57</definedName>
    <definedName name="OSRRefP22_2x_0" localSheetId="23">'315'!$P$65</definedName>
    <definedName name="OSRRefP22_2x_0" localSheetId="26">'316'!$P$48</definedName>
    <definedName name="OSRRefP22_2x_0" localSheetId="28">'317'!$P$57</definedName>
    <definedName name="OSRRefP22_2x_0" localSheetId="32">'321'!$P$46</definedName>
    <definedName name="OSRRefP22_2x_0" localSheetId="33">'325'!$P$46</definedName>
    <definedName name="OSRRefP22_2x_0" localSheetId="24">'326'!$P$49</definedName>
    <definedName name="OSRRefP22_2x_0" localSheetId="22">'331'!$P$65</definedName>
    <definedName name="OSRRefP22_2x_0" localSheetId="25">'332'!$P$48</definedName>
    <definedName name="OSRRefP22_2x_0" localSheetId="20">'333'!$P$67</definedName>
    <definedName name="OSRRefP22_2x_0" localSheetId="38">'405'!$P$48</definedName>
    <definedName name="OSRRefP22_2x_0" localSheetId="40">'411'!$P$41</definedName>
    <definedName name="OSRRefP22_2x_0" localSheetId="41">'412'!$P$25</definedName>
    <definedName name="OSRRefP22_2x_0" localSheetId="42">'413'!$P$24</definedName>
    <definedName name="OSRRefP22_2x_0" localSheetId="43">'414'!$P$24</definedName>
    <definedName name="OSRRefP22_2x_0" localSheetId="44">'415'!$P$49</definedName>
    <definedName name="OSRRefP22_2x_0" localSheetId="45">'418'!$P$45</definedName>
    <definedName name="OSRRefP22_2x_0" localSheetId="46">'423'!$P$40</definedName>
    <definedName name="OSRRefP22_2x_0" localSheetId="47">'424'!$P$25</definedName>
    <definedName name="OSRRefP22_2x_0" localSheetId="48">'425'!$P$26</definedName>
    <definedName name="OSRRefP22_2x_0" localSheetId="50">'430'!$P$41</definedName>
    <definedName name="OSRRefP22_2x_0" localSheetId="51">'433'!$P$49</definedName>
    <definedName name="OSRRefP22_2x_0" localSheetId="52">'435'!$P$28</definedName>
    <definedName name="OSRRefP22_2x_0" localSheetId="53">'444'!$P$49</definedName>
    <definedName name="OSRRefP22_2x_0" localSheetId="54">'450'!$P$49</definedName>
    <definedName name="OSRRefP22_2x_0" localSheetId="37">'491'!$P$50</definedName>
    <definedName name="OSRRefP22_2x_0" localSheetId="49">'492'!$P$51</definedName>
    <definedName name="OSRRefP22_2x_0" localSheetId="56">'501'!$P$43</definedName>
    <definedName name="OSRRefP22_2x_0" localSheetId="5">'Div 2'!$P$43</definedName>
    <definedName name="OSRRefP22_2x_0" localSheetId="13">'Div 3'!$P$82</definedName>
    <definedName name="OSRRefP22_2x_0" localSheetId="35">'Div 4'!$P$53</definedName>
    <definedName name="OSRRefP22_2x_0" localSheetId="55">'Div 5'!$P$43</definedName>
    <definedName name="OSRRefP22_2x_0" localSheetId="27">'Div 6'!$P$57</definedName>
    <definedName name="OSRRefP22_2x_0" localSheetId="2">Summary!$P$90</definedName>
    <definedName name="OSRRefP22_3x_0" localSheetId="6">'200'!$P$27:$P$28</definedName>
    <definedName name="OSRRefP22_3x_0" localSheetId="7">'201'!$P$43</definedName>
    <definedName name="OSRRefP22_3x_0" localSheetId="8">'202'!$P$43</definedName>
    <definedName name="OSRRefP22_3x_0" localSheetId="9">'203'!$P$44</definedName>
    <definedName name="OSRRefP22_3x_0" localSheetId="10">'204'!$P$44:$P$45</definedName>
    <definedName name="OSRRefP22_3x_0" localSheetId="11">'205'!$P$43</definedName>
    <definedName name="OSRRefP22_3x_0" localSheetId="12">'206'!$P$43</definedName>
    <definedName name="OSRRefP22_3x_0" localSheetId="14">'300'!$P$78</definedName>
    <definedName name="OSRRefP22_3x_0" localSheetId="15">'300 &amp; 317'!$P$84</definedName>
    <definedName name="OSRRefP22_3x_0" localSheetId="16">'301'!$P$45</definedName>
    <definedName name="OSRRefP22_3x_0" localSheetId="21">'307'!$P$57</definedName>
    <definedName name="OSRRefP22_3x_0" localSheetId="17">'308'!$P$59</definedName>
    <definedName name="OSRRefP22_3x_0" localSheetId="31">'309'!$P$34</definedName>
    <definedName name="OSRRefP22_3x_0" localSheetId="30">'310'!$P$53</definedName>
    <definedName name="OSRRefP22_3x_0" localSheetId="36">'310 &amp; 491'!$P$53</definedName>
    <definedName name="OSRRefP22_3x_0" localSheetId="18">'311'!$P$59</definedName>
    <definedName name="OSRRefP22_3x_0" localSheetId="23">'315'!$P$67</definedName>
    <definedName name="OSRRefP22_3x_0" localSheetId="26">'316'!$P$50</definedName>
    <definedName name="OSRRefP22_3x_0" localSheetId="28">'317'!$P$59</definedName>
    <definedName name="OSRRefP22_3x_0" localSheetId="32">'321'!$P$48</definedName>
    <definedName name="OSRRefP22_3x_0" localSheetId="33">'325'!$P$48</definedName>
    <definedName name="OSRRefP22_3x_0" localSheetId="24">'326'!$P$51</definedName>
    <definedName name="OSRRefP22_3x_0" localSheetId="22">'331'!$P$67</definedName>
    <definedName name="OSRRefP22_3x_0" localSheetId="25">'332'!$P$50</definedName>
    <definedName name="OSRRefP22_3x_0" localSheetId="20">'333'!$P$69</definedName>
    <definedName name="OSRRefP22_3x_0" localSheetId="38">'405'!$P$50</definedName>
    <definedName name="OSRRefP22_3x_0" localSheetId="40">'411'!$P$43:$P$44</definedName>
    <definedName name="OSRRefP22_3x_0" localSheetId="41">'412'!$P$27</definedName>
    <definedName name="OSRRefP22_3x_0" localSheetId="44">'415'!$P$51</definedName>
    <definedName name="OSRRefP22_3x_0" localSheetId="45">'418'!$P$47</definedName>
    <definedName name="OSRRefP22_3x_0" localSheetId="46">'423'!$P$42</definedName>
    <definedName name="OSRRefP22_3x_0" localSheetId="48">'425'!$P$28</definedName>
    <definedName name="OSRRefP22_3x_0" localSheetId="50">'430'!$P$43</definedName>
    <definedName name="OSRRefP22_3x_0" localSheetId="51">'433'!$P$51</definedName>
    <definedName name="OSRRefP22_3x_0" localSheetId="52">'435'!$P$30</definedName>
    <definedName name="OSRRefP22_3x_0" localSheetId="53">'444'!$P$51</definedName>
    <definedName name="OSRRefP22_3x_0" localSheetId="54">'450'!$P$51</definedName>
    <definedName name="OSRRefP22_3x_0" localSheetId="37">'491'!$P$52</definedName>
    <definedName name="OSRRefP22_3x_0" localSheetId="49">'492'!$P$53</definedName>
    <definedName name="OSRRefP22_3x_0" localSheetId="56">'501'!$P$45</definedName>
    <definedName name="OSRRefP22_3x_0" localSheetId="5">'Div 2'!$P$45</definedName>
    <definedName name="OSRRefP22_3x_0" localSheetId="13">'Div 3'!$P$84</definedName>
    <definedName name="OSRRefP22_3x_0" localSheetId="35">'Div 4'!$P$55</definedName>
    <definedName name="OSRRefP22_3x_0" localSheetId="55">'Div 5'!$P$45</definedName>
    <definedName name="OSRRefP22_3x_0" localSheetId="27">'Div 6'!$P$59</definedName>
    <definedName name="OSRRefP22_3x_0" localSheetId="2">Summary!$P$92</definedName>
    <definedName name="OSRRefP22_4x_0" localSheetId="7">'201'!$P$45</definedName>
    <definedName name="OSRRefP22_4x_0" localSheetId="8">'202'!$P$45</definedName>
    <definedName name="OSRRefP22_4x_0" localSheetId="9">'203'!$P$46</definedName>
    <definedName name="OSRRefP22_4x_0" localSheetId="10">'204'!$P$47</definedName>
    <definedName name="OSRRefP22_4x_0" localSheetId="11">'205'!$P$45:$P$47</definedName>
    <definedName name="OSRRefP22_4x_0" localSheetId="12">'206'!$P$45:$P$46</definedName>
    <definedName name="OSRRefP22_4x_0" localSheetId="14">'300'!$P$80</definedName>
    <definedName name="OSRRefP22_4x_0" localSheetId="15">'300 &amp; 317'!$P$86</definedName>
    <definedName name="OSRRefP22_4x_0" localSheetId="16">'301'!$P$47</definedName>
    <definedName name="OSRRefP22_4x_0" localSheetId="21">'307'!$P$59</definedName>
    <definedName name="OSRRefP22_4x_0" localSheetId="17">'308'!$P$61</definedName>
    <definedName name="OSRRefP22_4x_0" localSheetId="31">'309'!$P$36</definedName>
    <definedName name="OSRRefP22_4x_0" localSheetId="30">'310'!$P$55</definedName>
    <definedName name="OSRRefP22_4x_0" localSheetId="36">'310 &amp; 491'!$P$55</definedName>
    <definedName name="OSRRefP22_4x_0" localSheetId="18">'311'!$P$61</definedName>
    <definedName name="OSRRefP22_4x_0" localSheetId="23">'315'!$P$69</definedName>
    <definedName name="OSRRefP22_4x_0" localSheetId="26">'316'!$P$52</definedName>
    <definedName name="OSRRefP22_4x_0" localSheetId="28">'317'!$P$61</definedName>
    <definedName name="OSRRefP22_4x_0" localSheetId="32">'321'!$P$50</definedName>
    <definedName name="OSRRefP22_4x_0" localSheetId="33">'325'!$P$50</definedName>
    <definedName name="OSRRefP22_4x_0" localSheetId="24">'326'!$P$53</definedName>
    <definedName name="OSRRefP22_4x_0" localSheetId="22">'331'!$P$69</definedName>
    <definedName name="OSRRefP22_4x_0" localSheetId="25">'332'!$P$52</definedName>
    <definedName name="OSRRefP22_4x_0" localSheetId="20">'333'!$P$71</definedName>
    <definedName name="OSRRefP22_4x_0" localSheetId="38">'405'!$P$52</definedName>
    <definedName name="OSRRefP22_4x_0" localSheetId="40">'411'!$P$46</definedName>
    <definedName name="OSRRefP22_4x_0" localSheetId="41">'412'!$P$29</definedName>
    <definedName name="OSRRefP22_4x_0" localSheetId="44">'415'!$P$53</definedName>
    <definedName name="OSRRefP22_4x_0" localSheetId="45">'418'!$P$49:$P$50</definedName>
    <definedName name="OSRRefP22_4x_0" localSheetId="46">'423'!$P$44</definedName>
    <definedName name="OSRRefP22_4x_0" localSheetId="48">'425'!$P$30</definedName>
    <definedName name="OSRRefP22_4x_0" localSheetId="50">'430'!$P$45</definedName>
    <definedName name="OSRRefP22_4x_0" localSheetId="51">'433'!$P$53</definedName>
    <definedName name="OSRRefP22_4x_0" localSheetId="52">'435'!$P$32</definedName>
    <definedName name="OSRRefP22_4x_0" localSheetId="53">'444'!$P$53</definedName>
    <definedName name="OSRRefP22_4x_0" localSheetId="54">'450'!$P$53</definedName>
    <definedName name="OSRRefP22_4x_0" localSheetId="37">'491'!$P$54</definedName>
    <definedName name="OSRRefP22_4x_0" localSheetId="49">'492'!$P$55</definedName>
    <definedName name="OSRRefP22_4x_0" localSheetId="56">'501'!$P$47</definedName>
    <definedName name="OSRRefP22_4x_0" localSheetId="5">'Div 2'!$P$47</definedName>
    <definedName name="OSRRefP22_4x_0" localSheetId="13">'Div 3'!$P$86</definedName>
    <definedName name="OSRRefP22_4x_0" localSheetId="35">'Div 4'!$P$57</definedName>
    <definedName name="OSRRefP22_4x_0" localSheetId="55">'Div 5'!$P$47</definedName>
    <definedName name="OSRRefP22_4x_0" localSheetId="27">'Div 6'!$P$61</definedName>
    <definedName name="OSRRefP22_4x_0" localSheetId="2">Summary!$P$94</definedName>
    <definedName name="OSRRefP22_5x_0" localSheetId="7">'201'!$P$47</definedName>
    <definedName name="OSRRefP22_5x_0" localSheetId="8">'202'!$P$47</definedName>
    <definedName name="OSRRefP22_5x_0" localSheetId="9">'203'!$P$48</definedName>
    <definedName name="OSRRefP22_5x_0" localSheetId="10">'204'!$P$49:$P$52</definedName>
    <definedName name="OSRRefP22_5x_0" localSheetId="11">'205'!$P$49</definedName>
    <definedName name="OSRRefP22_5x_0" localSheetId="12">'206'!$P$48</definedName>
    <definedName name="OSRRefP22_5x_0" localSheetId="14">'300'!$P$82:$P$83</definedName>
    <definedName name="OSRRefP22_5x_0" localSheetId="15">'300 &amp; 317'!$P$88:$P$89</definedName>
    <definedName name="OSRRefP22_5x_0" localSheetId="16">'301'!$P$49:$P$50</definedName>
    <definedName name="OSRRefP22_5x_0" localSheetId="21">'307'!$P$61:$P$62</definedName>
    <definedName name="OSRRefP22_5x_0" localSheetId="17">'308'!$P$63</definedName>
    <definedName name="OSRRefP22_5x_0" localSheetId="31">'309'!$P$38</definedName>
    <definedName name="OSRRefP22_5x_0" localSheetId="30">'310'!$P$57:$P$58</definedName>
    <definedName name="OSRRefP22_5x_0" localSheetId="36">'310 &amp; 491'!$P$57:$P$58</definedName>
    <definedName name="OSRRefP22_5x_0" localSheetId="18">'311'!$P$63</definedName>
    <definedName name="OSRRefP22_5x_0" localSheetId="23">'315'!$P$71</definedName>
    <definedName name="OSRRefP22_5x_0" localSheetId="26">'316'!$P$54:$P$55</definedName>
    <definedName name="OSRRefP22_5x_0" localSheetId="28">'317'!$P$63</definedName>
    <definedName name="OSRRefP22_5x_0" localSheetId="32">'321'!$P$52</definedName>
    <definedName name="OSRRefP22_5x_0" localSheetId="33">'325'!$P$52:$P$53</definedName>
    <definedName name="OSRRefP22_5x_0" localSheetId="24">'326'!$P$55</definedName>
    <definedName name="OSRRefP22_5x_0" localSheetId="22">'331'!$P$71</definedName>
    <definedName name="OSRRefP22_5x_0" localSheetId="25">'332'!$P$54:$P$55</definedName>
    <definedName name="OSRRefP22_5x_0" localSheetId="20">'333'!$P$73:$P$74</definedName>
    <definedName name="OSRRefP22_5x_0" localSheetId="38">'405'!$P$54:$P$55</definedName>
    <definedName name="OSRRefP22_5x_0" localSheetId="40">'411'!$P$48</definedName>
    <definedName name="OSRRefP22_5x_0" localSheetId="44">'415'!$P$55:$P$56</definedName>
    <definedName name="OSRRefP22_5x_0" localSheetId="45">'418'!$P$52</definedName>
    <definedName name="OSRRefP22_5x_0" localSheetId="46">'423'!$P$46</definedName>
    <definedName name="OSRRefP22_5x_0" localSheetId="48">'425'!$P$32:$P$34</definedName>
    <definedName name="OSRRefP22_5x_0" localSheetId="50">'430'!$P$47:$P$49</definedName>
    <definedName name="OSRRefP22_5x_0" localSheetId="51">'433'!$P$55</definedName>
    <definedName name="OSRRefP22_5x_0" localSheetId="53">'444'!$P$55</definedName>
    <definedName name="OSRRefP22_5x_0" localSheetId="54">'450'!$P$55</definedName>
    <definedName name="OSRRefP22_5x_0" localSheetId="37">'491'!$P$56:$P$57</definedName>
    <definedName name="OSRRefP22_5x_0" localSheetId="49">'492'!$P$57</definedName>
    <definedName name="OSRRefP22_5x_0" localSheetId="56">'501'!$P$49:$P$50</definedName>
    <definedName name="OSRRefP22_5x_0" localSheetId="5">'Div 2'!$P$49:$P$50</definedName>
    <definedName name="OSRRefP22_5x_0" localSheetId="13">'Div 3'!$P$88:$P$89</definedName>
    <definedName name="OSRRefP22_5x_0" localSheetId="35">'Div 4'!$P$59:$P$60</definedName>
    <definedName name="OSRRefP22_5x_0" localSheetId="55">'Div 5'!$P$49:$P$50</definedName>
    <definedName name="OSRRefP22_5x_0" localSheetId="27">'Div 6'!$P$63</definedName>
    <definedName name="OSRRefP22_5x_0" localSheetId="2">Summary!$P$96:$P$97</definedName>
    <definedName name="OSRRefP22_6x_0" localSheetId="7">'201'!$P$49</definedName>
    <definedName name="OSRRefP22_6x_0" localSheetId="8">'202'!$P$49</definedName>
    <definedName name="OSRRefP22_6x_0" localSheetId="9">'203'!$P$50</definedName>
    <definedName name="OSRRefP22_6x_0" localSheetId="10">'204'!$P$54:$P$55</definedName>
    <definedName name="OSRRefP22_6x_0" localSheetId="11">'205'!$P$51:$P$53</definedName>
    <definedName name="OSRRefP22_6x_0" localSheetId="12">'206'!$P$50:$P$51</definedName>
    <definedName name="OSRRefP22_6x_0" localSheetId="14">'300'!$P$85:$P$86</definedName>
    <definedName name="OSRRefP22_6x_0" localSheetId="15">'300 &amp; 317'!$P$91:$P$92</definedName>
    <definedName name="OSRRefP22_6x_0" localSheetId="16">'301'!$P$52:$P$53</definedName>
    <definedName name="OSRRefP22_6x_0" localSheetId="21">'307'!$P$64</definedName>
    <definedName name="OSRRefP22_6x_0" localSheetId="17">'308'!$P$65:$P$66</definedName>
    <definedName name="OSRRefP22_6x_0" localSheetId="31">'309'!$P$40</definedName>
    <definedName name="OSRRefP22_6x_0" localSheetId="30">'310'!$P$60</definedName>
    <definedName name="OSRRefP22_6x_0" localSheetId="36">'310 &amp; 491'!$P$60</definedName>
    <definedName name="OSRRefP22_6x_0" localSheetId="18">'311'!$P$65:$P$66</definedName>
    <definedName name="OSRRefP22_6x_0" localSheetId="23">'315'!$P$73</definedName>
    <definedName name="OSRRefP22_6x_0" localSheetId="26">'316'!$P$57</definedName>
    <definedName name="OSRRefP22_6x_0" localSheetId="28">'317'!$P$65</definedName>
    <definedName name="OSRRefP22_6x_0" localSheetId="32">'321'!$P$54</definedName>
    <definedName name="OSRRefP22_6x_0" localSheetId="33">'325'!$P$55</definedName>
    <definedName name="OSRRefP22_6x_0" localSheetId="24">'326'!$P$57:$P$58</definedName>
    <definedName name="OSRRefP22_6x_0" localSheetId="22">'331'!$P$73</definedName>
    <definedName name="OSRRefP22_6x_0" localSheetId="25">'332'!$P$57</definedName>
    <definedName name="OSRRefP22_6x_0" localSheetId="20">'333'!$P$76</definedName>
    <definedName name="OSRRefP22_6x_0" localSheetId="38">'405'!$P$57</definedName>
    <definedName name="OSRRefP22_6x_0" localSheetId="40">'411'!$P$50</definedName>
    <definedName name="OSRRefP22_6x_0" localSheetId="44">'415'!$P$58</definedName>
    <definedName name="OSRRefP22_6x_0" localSheetId="45">'418'!$P$54</definedName>
    <definedName name="OSRRefP22_6x_0" localSheetId="50">'430'!$P$51:$P$52</definedName>
    <definedName name="OSRRefP22_6x_0" localSheetId="51">'433'!$P$57</definedName>
    <definedName name="OSRRefP22_6x_0" localSheetId="53">'444'!$P$57</definedName>
    <definedName name="OSRRefP22_6x_0" localSheetId="54">'450'!$P$57</definedName>
    <definedName name="OSRRefP22_6x_0" localSheetId="37">'491'!$P$59</definedName>
    <definedName name="OSRRefP22_6x_0" localSheetId="49">'492'!$P$59</definedName>
    <definedName name="OSRRefP22_6x_0" localSheetId="56">'501'!$P$52</definedName>
    <definedName name="OSRRefP22_6x_0" localSheetId="5">'Div 2'!$P$52</definedName>
    <definedName name="OSRRefP22_6x_0" localSheetId="13">'Div 3'!$P$91:$P$92</definedName>
    <definedName name="OSRRefP22_6x_0" localSheetId="35">'Div 4'!$P$62</definedName>
    <definedName name="OSRRefP22_6x_0" localSheetId="55">'Div 5'!$P$52</definedName>
    <definedName name="OSRRefP22_6x_0" localSheetId="27">'Div 6'!$P$65</definedName>
    <definedName name="OSRRefP22_6x_0" localSheetId="2">Summary!$P$99:$P$100</definedName>
    <definedName name="OSRRefP22_7x_0" localSheetId="7">'201'!$P$51</definedName>
    <definedName name="OSRRefP22_7x_0" localSheetId="8">'202'!$P$51</definedName>
    <definedName name="OSRRefP22_7x_0" localSheetId="9">'203'!$P$52</definedName>
    <definedName name="OSRRefP22_7x_0" localSheetId="10">'204'!$P$57</definedName>
    <definedName name="OSRRefP22_7x_0" localSheetId="11">'205'!$P$55</definedName>
    <definedName name="OSRRefP22_7x_0" localSheetId="12">'206'!$P$53</definedName>
    <definedName name="OSRRefP22_7x_0" localSheetId="14">'300'!$P$88</definedName>
    <definedName name="OSRRefP22_7x_0" localSheetId="15">'300 &amp; 317'!$P$94</definedName>
    <definedName name="OSRRefP22_7x_0" localSheetId="16">'301'!$P$55</definedName>
    <definedName name="OSRRefP22_7x_0" localSheetId="21">'307'!$P$66</definedName>
    <definedName name="OSRRefP22_7x_0" localSheetId="17">'308'!$P$68</definedName>
    <definedName name="OSRRefP22_7x_0" localSheetId="31">'309'!$P$42</definedName>
    <definedName name="OSRRefP22_7x_0" localSheetId="30">'310'!$P$62</definedName>
    <definedName name="OSRRefP22_7x_0" localSheetId="36">'310 &amp; 491'!$P$62</definedName>
    <definedName name="OSRRefP22_7x_0" localSheetId="18">'311'!$P$68</definedName>
    <definedName name="OSRRefP22_7x_0" localSheetId="23">'315'!$P$75</definedName>
    <definedName name="OSRRefP22_7x_0" localSheetId="26">'316'!$P$59</definedName>
    <definedName name="OSRRefP22_7x_0" localSheetId="28">'317'!$P$67</definedName>
    <definedName name="OSRRefP22_7x_0" localSheetId="32">'321'!$P$56:$P$57</definedName>
    <definedName name="OSRRefP22_7x_0" localSheetId="33">'325'!$P$57</definedName>
    <definedName name="OSRRefP22_7x_0" localSheetId="24">'326'!$P$60</definedName>
    <definedName name="OSRRefP22_7x_0" localSheetId="22">'331'!$P$75</definedName>
    <definedName name="OSRRefP22_7x_0" localSheetId="25">'332'!$P$59</definedName>
    <definedName name="OSRRefP22_7x_0" localSheetId="20">'333'!$P$78</definedName>
    <definedName name="OSRRefP22_7x_0" localSheetId="38">'405'!$P$59</definedName>
    <definedName name="OSRRefP22_7x_0" localSheetId="40">'411'!$P$52</definedName>
    <definedName name="OSRRefP22_7x_0" localSheetId="44">'415'!$P$60</definedName>
    <definedName name="OSRRefP22_7x_0" localSheetId="45">'418'!$P$56:$P$57</definedName>
    <definedName name="OSRRefP22_7x_0" localSheetId="50">'430'!$P$54</definedName>
    <definedName name="OSRRefP22_7x_0" localSheetId="51">'433'!$P$59</definedName>
    <definedName name="OSRRefP22_7x_0" localSheetId="53">'444'!$P$59</definedName>
    <definedName name="OSRRefP22_7x_0" localSheetId="54">'450'!$P$59</definedName>
    <definedName name="OSRRefP22_7x_0" localSheetId="37">'491'!$P$61</definedName>
    <definedName name="OSRRefP22_7x_0" localSheetId="49">'492'!$P$61</definedName>
    <definedName name="OSRRefP22_7x_0" localSheetId="56">'501'!$P$54</definedName>
    <definedName name="OSRRefP22_7x_0" localSheetId="5">'Div 2'!$P$54</definedName>
    <definedName name="OSRRefP22_7x_0" localSheetId="13">'Div 3'!$P$94</definedName>
    <definedName name="OSRRefP22_7x_0" localSheetId="35">'Div 4'!$P$64</definedName>
    <definedName name="OSRRefP22_7x_0" localSheetId="55">'Div 5'!$P$54</definedName>
    <definedName name="OSRRefP22_7x_0" localSheetId="27">'Div 6'!$P$67</definedName>
    <definedName name="OSRRefP22_7x_0" localSheetId="2">Summary!$P$102</definedName>
    <definedName name="OSRRefP22_8x_0" localSheetId="7">'201'!$P$53</definedName>
    <definedName name="OSRRefP22_8x_0" localSheetId="8">'202'!$P$53:$P$55</definedName>
    <definedName name="OSRRefP22_8x_0" localSheetId="9">'203'!$P$54:$P$56</definedName>
    <definedName name="OSRRefP22_8x_0" localSheetId="10">'204'!$P$59:$P$60</definedName>
    <definedName name="OSRRefP22_8x_0" localSheetId="14">'300'!$P$90</definedName>
    <definedName name="OSRRefP22_8x_0" localSheetId="15">'300 &amp; 317'!$P$96</definedName>
    <definedName name="OSRRefP22_8x_0" localSheetId="16">'301'!$P$57</definedName>
    <definedName name="OSRRefP22_8x_0" localSheetId="21">'307'!$P$68</definedName>
    <definedName name="OSRRefP22_8x_0" localSheetId="17">'308'!$P$70</definedName>
    <definedName name="OSRRefP22_8x_0" localSheetId="31">'309'!$P$44:$P$45</definedName>
    <definedName name="OSRRefP22_8x_0" localSheetId="30">'310'!$P$64</definedName>
    <definedName name="OSRRefP22_8x_0" localSheetId="36">'310 &amp; 491'!$P$64:$P$65</definedName>
    <definedName name="OSRRefP22_8x_0" localSheetId="18">'311'!$P$70</definedName>
    <definedName name="OSRRefP22_8x_0" localSheetId="23">'315'!$P$77:$P$78</definedName>
    <definedName name="OSRRefP22_8x_0" localSheetId="26">'316'!$P$61:$P$63</definedName>
    <definedName name="OSRRefP22_8x_0" localSheetId="28">'317'!$P$69</definedName>
    <definedName name="OSRRefP22_8x_0" localSheetId="32">'321'!$P$59:$P$60</definedName>
    <definedName name="OSRRefP22_8x_0" localSheetId="33">'325'!$P$59</definedName>
    <definedName name="OSRRefP22_8x_0" localSheetId="24">'326'!$P$62</definedName>
    <definedName name="OSRRefP22_8x_0" localSheetId="22">'331'!$P$77:$P$78</definedName>
    <definedName name="OSRRefP22_8x_0" localSheetId="25">'332'!$P$61:$P$63</definedName>
    <definedName name="OSRRefP22_8x_0" localSheetId="20">'333'!$P$80:$P$81</definedName>
    <definedName name="OSRRefP22_8x_0" localSheetId="38">'405'!$P$61</definedName>
    <definedName name="OSRRefP22_8x_0" localSheetId="40">'411'!$P$54</definedName>
    <definedName name="OSRRefP22_8x_0" localSheetId="44">'415'!$P$62</definedName>
    <definedName name="OSRRefP22_8x_0" localSheetId="45">'418'!$P$59:$P$60</definedName>
    <definedName name="OSRRefP22_8x_0" localSheetId="50">'430'!$P$56</definedName>
    <definedName name="OSRRefP22_8x_0" localSheetId="51">'433'!$P$61</definedName>
    <definedName name="OSRRefP22_8x_0" localSheetId="53">'444'!$P$61</definedName>
    <definedName name="OSRRefP22_8x_0" localSheetId="54">'450'!$P$61</definedName>
    <definedName name="OSRRefP22_8x_0" localSheetId="37">'491'!$P$63:$P$64</definedName>
    <definedName name="OSRRefP22_8x_0" localSheetId="49">'492'!$P$63</definedName>
    <definedName name="OSRRefP22_8x_0" localSheetId="56">'501'!$P$56</definedName>
    <definedName name="OSRRefP22_8x_0" localSheetId="5">'Div 2'!$P$56</definedName>
    <definedName name="OSRRefP22_8x_0" localSheetId="13">'Div 3'!$P$96</definedName>
    <definedName name="OSRRefP22_8x_0" localSheetId="35">'Div 4'!$P$66</definedName>
    <definedName name="OSRRefP22_8x_0" localSheetId="55">'Div 5'!$P$56</definedName>
    <definedName name="OSRRefP22_8x_0" localSheetId="27">'Div 6'!$P$69</definedName>
    <definedName name="OSRRefP22_8x_0" localSheetId="2">Summary!$P$104</definedName>
    <definedName name="OSRRefP22_9x_0" localSheetId="7">'201'!$P$55</definedName>
    <definedName name="OSRRefP22_9x_0" localSheetId="8">'202'!$P$57</definedName>
    <definedName name="OSRRefP22_9x_0" localSheetId="9">'203'!$P$58:$P$59</definedName>
    <definedName name="OSRRefP22_9x_0" localSheetId="10">'204'!$P$62</definedName>
    <definedName name="OSRRefP22_9x_0" localSheetId="14">'300'!$P$92</definedName>
    <definedName name="OSRRefP22_9x_0" localSheetId="15">'300 &amp; 317'!$P$98</definedName>
    <definedName name="OSRRefP22_9x_0" localSheetId="16">'301'!$P$59</definedName>
    <definedName name="OSRRefP22_9x_0" localSheetId="21">'307'!$P$70:$P$71</definedName>
    <definedName name="OSRRefP22_9x_0" localSheetId="17">'308'!$P$72:$P$74</definedName>
    <definedName name="OSRRefP22_9x_0" localSheetId="31">'309'!$P$47:$P$48</definedName>
    <definedName name="OSRRefP22_9x_0" localSheetId="30">'310'!$P$66</definedName>
    <definedName name="OSRRefP22_9x_0" localSheetId="36">'310 &amp; 491'!$P$67</definedName>
    <definedName name="OSRRefP22_9x_0" localSheetId="18">'311'!$P$72:$P$74</definedName>
    <definedName name="OSRRefP22_9x_0" localSheetId="23">'315'!$P$80</definedName>
    <definedName name="OSRRefP22_9x_0" localSheetId="26">'316'!$P$65</definedName>
    <definedName name="OSRRefP22_9x_0" localSheetId="28">'317'!$P$71:$P$72</definedName>
    <definedName name="OSRRefP22_9x_0" localSheetId="32">'321'!$P$62:$P$64</definedName>
    <definedName name="OSRRefP22_9x_0" localSheetId="33">'325'!$P$61</definedName>
    <definedName name="OSRRefP22_9x_0" localSheetId="24">'326'!$P$64</definedName>
    <definedName name="OSRRefP22_9x_0" localSheetId="22">'331'!$P$80:$P$81</definedName>
    <definedName name="OSRRefP22_9x_0" localSheetId="25">'332'!$P$65</definedName>
    <definedName name="OSRRefP22_9x_0" localSheetId="20">'333'!$P$83:$P$84</definedName>
    <definedName name="OSRRefP22_9x_0" localSheetId="38">'405'!$P$63:$P$64</definedName>
    <definedName name="OSRRefP22_9x_0" localSheetId="40">'411'!$P$56:$P$59</definedName>
    <definedName name="OSRRefP22_9x_0" localSheetId="44">'415'!$P$64</definedName>
    <definedName name="OSRRefP22_9x_0" localSheetId="45">'418'!$P$62:$P$65</definedName>
    <definedName name="OSRRefP22_9x_0" localSheetId="51">'433'!$P$63</definedName>
    <definedName name="OSRRefP22_9x_0" localSheetId="53">'444'!$P$63</definedName>
    <definedName name="OSRRefP22_9x_0" localSheetId="54">'450'!$P$63</definedName>
    <definedName name="OSRRefP22_9x_0" localSheetId="37">'491'!$P$66</definedName>
    <definedName name="OSRRefP22_9x_0" localSheetId="49">'492'!$P$65</definedName>
    <definedName name="OSRRefP22_9x_0" localSheetId="56">'501'!$P$58:$P$60</definedName>
    <definedName name="OSRRefP22_9x_0" localSheetId="5">'Div 2'!$P$58</definedName>
    <definedName name="OSRRefP22_9x_0" localSheetId="13">'Div 3'!$P$98</definedName>
    <definedName name="OSRRefP22_9x_0" localSheetId="35">'Div 4'!$P$68:$P$69</definedName>
    <definedName name="OSRRefP22_9x_0" localSheetId="55">'Div 5'!$P$58:$P$60</definedName>
    <definedName name="OSRRefP22_9x_0" localSheetId="27">'Div 6'!$P$71:$P$72</definedName>
    <definedName name="OSRRefP22_9x_0" localSheetId="2">Summary!$P$106</definedName>
    <definedName name="OSRRefP22x_0" localSheetId="6">'200'!$P$20:$P$21,'200'!$P$23,'200'!$P$25,'200'!$P$27:$P$28</definedName>
    <definedName name="OSRRefP22x_0" localSheetId="7">'201'!$P$20:$P$28,'201'!$P$30:$P$39,'201'!$P$41,'201'!$P$43,'201'!$P$45,'201'!$P$47,'201'!$P$49,'201'!$P$51,'201'!$P$53,'201'!$P$55,'201'!$P$57:$P$59,'201'!$P$61:$P$62,'201'!$P$64,'201'!$P$66:$P$67,'201'!$P$69,'201'!$P$71,'201'!$P$73</definedName>
    <definedName name="OSRRefP22x_0" localSheetId="8">'202'!$P$20:$P$28,'202'!$P$30:$P$39,'202'!$P$41,'202'!$P$43,'202'!$P$45,'202'!$P$47,'202'!$P$49,'202'!$P$51,'202'!$P$53:$P$55,'202'!$P$57,'202'!$P$59:$P$60,'202'!$P$62,'202'!$P$64,'202'!$P$66</definedName>
    <definedName name="OSRRefP22x_0" localSheetId="9">'203'!$P$20:$P$29,'203'!$P$31:$P$40,'203'!$P$42,'203'!$P$44,'203'!$P$46,'203'!$P$48,'203'!$P$50,'203'!$P$52,'203'!$P$54:$P$56,'203'!$P$58:$P$59,'203'!$P$61:$P$62,'203'!$P$64:$P$67,'203'!$P$69,'203'!$P$71,'203'!$P$73</definedName>
    <definedName name="OSRRefP22x_0" localSheetId="10">'204'!$P$20:$P$29,'204'!$P$31:$P$40,'204'!$P$42,'204'!$P$44:$P$45,'204'!$P$47,'204'!$P$49:$P$52,'204'!$P$54:$P$55,'204'!$P$57,'204'!$P$59:$P$60,'204'!$P$62,'204'!$P$64</definedName>
    <definedName name="OSRRefP22x_0" localSheetId="11">'205'!$P$20:$P$28,'205'!$P$30:$P$39,'205'!$P$41,'205'!$P$43,'205'!$P$45:$P$47,'205'!$P$49,'205'!$P$51:$P$53,'205'!$P$55</definedName>
    <definedName name="OSRRefP22x_0" localSheetId="12">'206'!$P$20:$P$28,'206'!$P$30:$P$39,'206'!$P$41,'206'!$P$43,'206'!$P$45:$P$46,'206'!$P$48,'206'!$P$50:$P$51,'206'!$P$53</definedName>
    <definedName name="OSRRefP22x_0" localSheetId="14">'300'!$P$54:$P$63,'300'!$P$65:$P$74,'300'!$P$76,'300'!$P$78,'300'!$P$80,'300'!$P$82:$P$83,'300'!$P$85:$P$86,'300'!$P$88,'300'!$P$90,'300'!$P$92,'300'!$P$94:$P$95,'300'!$P$97:$P$98,'300'!$P$100,'300'!$P$102,'300'!$P$104,'300'!$P$106,'300'!$P$108:$P$111,'300'!$P$113:$P$116,'300'!$P$118:$P$120,'300'!$P$122:$P$123,'300'!$P$125:$P$131,'300'!$P$133:$P$134,'300'!$P$136,'300'!$P$138:$P$140,'300'!$P$142</definedName>
    <definedName name="OSRRefP22x_0" localSheetId="15">'300 &amp; 317'!$P$60:$P$69,'300 &amp; 317'!$P$71:$P$80,'300 &amp; 317'!$P$82,'300 &amp; 317'!$P$84,'300 &amp; 317'!$P$86,'300 &amp; 317'!$P$88:$P$89,'300 &amp; 317'!$P$91:$P$92,'300 &amp; 317'!$P$94,'300 &amp; 317'!$P$96,'300 &amp; 317'!$P$98,'300 &amp; 317'!$P$100:$P$101,'300 &amp; 317'!$P$103:$P$104,'300 &amp; 317'!$P$106,'300 &amp; 317'!$P$108,'300 &amp; 317'!$P$110,'300 &amp; 317'!$P$112,'300 &amp; 317'!$P$114:$P$117,'300 &amp; 317'!$P$119:$P$122,'300 &amp; 317'!$P$124:$P$126,'300 &amp; 317'!$P$128:$P$129,'300 &amp; 317'!$P$131:$P$137,'300 &amp; 317'!$P$139:$P$140,'300 &amp; 317'!$P$142,'300 &amp; 317'!$P$144:$P$146,'300 &amp; 317'!$P$148</definedName>
    <definedName name="OSRRefP22x_0" localSheetId="16">'301'!$P$21:$P$30,'301'!$P$32:$P$41,'301'!$P$43,'301'!$P$45,'301'!$P$47,'301'!$P$49:$P$50,'301'!$P$52:$P$53,'301'!$P$55,'301'!$P$57,'301'!$P$59,'301'!$P$61,'301'!$P$63,'301'!$P$65,'301'!$P$67,'301'!$P$69,'301'!$P$71:$P$74,'301'!$P$76:$P$77,'301'!$P$79,'301'!$P$81:$P$86,'301'!$P$88,'301'!$P$90,'301'!$P$92:$P$94,'301'!$P$96</definedName>
    <definedName name="OSRRefP22x_0" localSheetId="21">'307'!$P$34:$P$42,'307'!$P$44:$P$53,'307'!$P$55,'307'!$P$57,'307'!$P$59,'307'!$P$61:$P$62,'307'!$P$64,'307'!$P$66,'307'!$P$68,'307'!$P$70:$P$71,'307'!$P$73:$P$74,'307'!$P$76,'307'!$P$78:$P$81,'307'!$P$83</definedName>
    <definedName name="OSRRefP22x_0" localSheetId="17">'308'!$P$35:$P$44,'308'!$P$46:$P$55,'308'!$P$57,'308'!$P$59,'308'!$P$61,'308'!$P$63,'308'!$P$65:$P$66,'308'!$P$68,'308'!$P$70,'308'!$P$72:$P$74,'308'!$P$76:$P$77,'308'!$P$79:$P$80,'308'!$P$82:$P$83,'308'!$P$85</definedName>
    <definedName name="OSRRefP22x_0" localSheetId="31">'309'!$P$26:$P$27,'309'!$P$29:$P$30,'309'!$P$32,'309'!$P$34,'309'!$P$36,'309'!$P$38,'309'!$P$40,'309'!$P$42,'309'!$P$44:$P$45,'309'!$P$47:$P$48,'309'!$P$50:$P$51,'309'!$P$53,'309'!$P$55</definedName>
    <definedName name="OSRRefP22x_0" localSheetId="30">'310'!$P$29:$P$38,'310'!$P$40:$P$49,'310'!$P$51,'310'!$P$53,'310'!$P$55,'310'!$P$57:$P$58,'310'!$P$60,'310'!$P$62,'310'!$P$64,'310'!$P$66,'310'!$P$68,'310'!$P$70:$P$72,'310'!$P$74:$P$75,'310'!$P$77:$P$79,'310'!$P$81:$P$86,'310'!$P$88:$P$89,'310'!$P$91,'310'!$P$93</definedName>
    <definedName name="OSRRefP22x_0" localSheetId="36">'310 &amp; 491'!$P$29:$P$38,'310 &amp; 491'!$P$40:$P$49,'310 &amp; 491'!$P$51,'310 &amp; 491'!$P$53,'310 &amp; 491'!$P$55,'310 &amp; 491'!$P$57:$P$58,'310 &amp; 491'!$P$60,'310 &amp; 491'!$P$62,'310 &amp; 491'!$P$64:$P$65,'310 &amp; 491'!$P$67,'310 &amp; 491'!$P$69,'310 &amp; 491'!$P$71,'310 &amp; 491'!$P$73,'310 &amp; 491'!$P$75:$P$78,'310 &amp; 491'!$P$80:$P$81,'310 &amp; 491'!$P$83:$P$87,'310 &amp; 491'!$P$89,'310 &amp; 491'!$P$91:$P$100,'310 &amp; 491'!$P$102:$P$103,'310 &amp; 491'!$P$105,'310 &amp; 491'!$P$107:$P$108,'310 &amp; 491'!$P$110</definedName>
    <definedName name="OSRRefP22x_0" localSheetId="18">'311'!$P$35:$P$44,'311'!$P$46:$P$55,'311'!$P$57,'311'!$P$59,'311'!$P$61,'311'!$P$63,'311'!$P$65:$P$66,'311'!$P$68,'311'!$P$70,'311'!$P$72:$P$74,'311'!$P$76:$P$77,'311'!$P$79:$P$80,'311'!$P$82:$P$83,'311'!$P$85</definedName>
    <definedName name="OSRRefP22x_0" localSheetId="23">'315'!$P$44:$P$52,'315'!$P$54:$P$63,'315'!$P$65,'315'!$P$67,'315'!$P$69,'315'!$P$71,'315'!$P$73,'315'!$P$75,'315'!$P$77:$P$78,'315'!$P$80,'315'!$P$82,'315'!$P$84,'315'!$P$86:$P$87,'315'!$P$89:$P$91,'315'!$P$93:$P$94,'315'!$P$96:$P$99,'315'!$P$101,'315'!$P$103,'315'!$P$105</definedName>
    <definedName name="OSRRefP22x_0" localSheetId="26">'316'!$P$27:$P$35,'316'!$P$37:$P$46,'316'!$P$48,'316'!$P$50,'316'!$P$52,'316'!$P$54:$P$55,'316'!$P$57,'316'!$P$59,'316'!$P$61:$P$63,'316'!$P$65,'316'!$P$67,'316'!$P$69:$P$73,'316'!$P$75</definedName>
    <definedName name="OSRRefP22x_0" localSheetId="28">'317'!$P$35:$P$44,'317'!$P$46:$P$55,'317'!$P$57,'317'!$P$59,'317'!$P$61,'317'!$P$63,'317'!$P$65,'317'!$P$67,'317'!$P$69,'317'!$P$71:$P$72,'317'!$P$74</definedName>
    <definedName name="OSRRefP22x_0" localSheetId="32">'321'!$P$24:$P$33,'321'!$P$35:$P$44,'321'!$P$46,'321'!$P$48,'321'!$P$50,'321'!$P$52,'321'!$P$54,'321'!$P$56:$P$57,'321'!$P$59:$P$60,'321'!$P$62:$P$64,'321'!$P$66:$P$69,'321'!$P$71,'321'!$P$73,'321'!$P$75</definedName>
    <definedName name="OSRRefP22x_0" localSheetId="33">'325'!$P$25:$P$33,'325'!$P$35:$P$44,'325'!$P$46,'325'!$P$48,'325'!$P$50,'325'!$P$52:$P$53,'325'!$P$55,'325'!$P$57,'325'!$P$59,'325'!$P$61,'325'!$P$63,'325'!$P$65:$P$67,'325'!$P$69:$P$71,'325'!$P$73:$P$78,'325'!$P$80:$P$81,'325'!$P$83,'325'!$P$85</definedName>
    <definedName name="OSRRefP22x_0" localSheetId="24">'326'!$P$28:$P$36,'326'!$P$38:$P$47,'326'!$P$49,'326'!$P$51,'326'!$P$53,'326'!$P$55,'326'!$P$57:$P$58,'326'!$P$60,'326'!$P$62,'326'!$P$64,'326'!$P$66,'326'!$P$68:$P$69,'326'!$P$71:$P$72,'326'!$P$74:$P$75,'326'!$P$77:$P$79,'326'!$P$81,'326'!$P$83:$P$84,'326'!$P$86</definedName>
    <definedName name="OSRRefP22x_0" localSheetId="34">'327'!$P$26,'327'!$P$28</definedName>
    <definedName name="OSRRefP22x_0" localSheetId="22">'331'!$P$44:$P$52,'331'!$P$54:$P$63,'331'!$P$65,'331'!$P$67,'331'!$P$69,'331'!$P$71,'331'!$P$73,'331'!$P$75,'331'!$P$77:$P$78,'331'!$P$80:$P$81,'331'!$P$83,'331'!$P$85,'331'!$P$87,'331'!$P$89,'331'!$P$91:$P$92,'331'!$P$94:$P$96,'331'!$P$98:$P$99,'331'!$P$101:$P$102,'331'!$P$104:$P$108,'331'!$P$110,'331'!$P$112,'331'!$P$114:$P$115,'331'!$P$117</definedName>
    <definedName name="OSRRefP22x_0" localSheetId="25">'332'!$P$27:$P$35,'332'!$P$37:$P$46,'332'!$P$48,'332'!$P$50,'332'!$P$52,'332'!$P$54:$P$55,'332'!$P$57,'332'!$P$59,'332'!$P$61:$P$63,'332'!$P$65,'332'!$P$67,'332'!$P$69:$P$73,'332'!$P$75</definedName>
    <definedName name="OSRRefP22x_0" localSheetId="20">'333'!$P$46:$P$54,'333'!$P$56:$P$65,'333'!$P$67,'333'!$P$69,'333'!$P$71,'333'!$P$73:$P$74,'333'!$P$76,'333'!$P$78,'333'!$P$80:$P$81,'333'!$P$83:$P$84,'333'!$P$86,'333'!$P$88,'333'!$P$90,'333'!$P$92,'333'!$P$94:$P$95,'333'!$P$97:$P$99,'333'!$P$101:$P$103,'333'!$P$105:$P$106,'333'!$P$108:$P$113,'333'!$P$115,'333'!$P$117,'333'!$P$119:$P$120,'333'!$P$122</definedName>
    <definedName name="OSRRefP22x_0" localSheetId="38">'405'!$P$27:$P$35,'405'!$P$37:$P$46,'405'!$P$48,'405'!$P$50,'405'!$P$52,'405'!$P$54:$P$55,'405'!$P$57,'405'!$P$59,'405'!$P$61,'405'!$P$63:$P$64,'405'!$P$66:$P$69,'405'!$P$71,'405'!$P$73:$P$81,'405'!$P$83,'405'!$P$85,'405'!$P$87,'405'!$P$89</definedName>
    <definedName name="OSRRefP22x_0" localSheetId="39">'406'!$P$20,'406'!$P$22</definedName>
    <definedName name="OSRRefP22x_0" localSheetId="40">'411'!$P$20:$P$28,'411'!$P$30:$P$39,'411'!$P$41,'411'!$P$43:$P$44,'411'!$P$46,'411'!$P$48,'411'!$P$50,'411'!$P$52,'411'!$P$54,'411'!$P$56:$P$59,'411'!$P$61:$P$63,'411'!$P$65,'411'!$P$67:$P$68,'411'!$P$70,'411'!$P$72,'411'!$P$74:$P$75,'411'!$P$77</definedName>
    <definedName name="OSRRefP22x_0" localSheetId="41">'412'!$P$21,'412'!$P$23,'412'!$P$25,'412'!$P$27,'412'!$P$29</definedName>
    <definedName name="OSRRefP22x_0" localSheetId="42">'413'!$P$20,'413'!$P$22,'413'!$P$24</definedName>
    <definedName name="OSRRefP22x_0" localSheetId="43">'414'!$P$20,'414'!$P$22,'414'!$P$24</definedName>
    <definedName name="OSRRefP22x_0" localSheetId="44">'415'!$P$27:$P$36,'415'!$P$38:$P$47,'415'!$P$49,'415'!$P$51,'415'!$P$53,'415'!$P$55:$P$56,'415'!$P$58,'415'!$P$60,'415'!$P$62,'415'!$P$64,'415'!$P$66,'415'!$P$68:$P$69,'415'!$P$71:$P$74,'415'!$P$76,'415'!$P$78:$P$85,'415'!$P$87:$P$88,'415'!$P$90,'415'!$P$92</definedName>
    <definedName name="OSRRefP22x_0" localSheetId="45">'418'!$P$24:$P$32,'418'!$P$34:$P$43,'418'!$P$45,'418'!$P$47,'418'!$P$49:$P$50,'418'!$P$52,'418'!$P$54,'418'!$P$56:$P$57,'418'!$P$59:$P$60,'418'!$P$62:$P$65,'418'!$P$67,'418'!$P$69:$P$77,'418'!$P$79:$P$80,'418'!$P$82,'418'!$P$84,'418'!$P$86</definedName>
    <definedName name="OSRRefP22x_0" localSheetId="46">'423'!$P$20:$P$27,'423'!$P$29:$P$38,'423'!$P$40,'423'!$P$42,'423'!$P$44,'423'!$P$46</definedName>
    <definedName name="OSRRefP22x_0" localSheetId="47">'424'!$P$21,'424'!$P$23,'424'!$P$25</definedName>
    <definedName name="OSRRefP22x_0" localSheetId="48">'425'!$P$22,'425'!$P$24,'425'!$P$26,'425'!$P$28,'425'!$P$30,'425'!$P$32:$P$34</definedName>
    <definedName name="OSRRefP22x_0" localSheetId="50">'430'!$P$20:$P$28,'430'!$P$30:$P$39,'430'!$P$41,'430'!$P$43,'430'!$P$45,'430'!$P$47:$P$49,'430'!$P$51:$P$52,'430'!$P$54,'430'!$P$56</definedName>
    <definedName name="OSRRefP22x_0" localSheetId="51">'433'!$P$27:$P$36,'433'!$P$38:$P$47,'433'!$P$49,'433'!$P$51,'433'!$P$53,'433'!$P$55,'433'!$P$57,'433'!$P$59,'433'!$P$61,'433'!$P$63,'433'!$P$65,'433'!$P$67:$P$69,'433'!$P$71:$P$74,'433'!$P$76:$P$83,'433'!$P$85,'433'!$P$87</definedName>
    <definedName name="OSRRefP22x_0" localSheetId="52">'435'!$P$23:$P$24,'435'!$P$26,'435'!$P$28,'435'!$P$30,'435'!$P$32</definedName>
    <definedName name="OSRRefP22x_0" localSheetId="53">'444'!$P$27:$P$36,'444'!$P$38:$P$47,'444'!$P$49,'444'!$P$51,'444'!$P$53,'444'!$P$55,'444'!$P$57,'444'!$P$59,'444'!$P$61,'444'!$P$63,'444'!$P$65,'444'!$P$67:$P$68,'444'!$P$70:$P$73,'444'!$P$75,'444'!$P$77:$P$85,'444'!$P$87,'444'!$P$89</definedName>
    <definedName name="OSRRefP22x_0" localSheetId="54">'450'!$P$27:$P$36,'450'!$P$38:$P$47,'450'!$P$49,'450'!$P$51,'450'!$P$53,'450'!$P$55,'450'!$P$57,'450'!$P$59,'450'!$P$61,'450'!$P$63,'450'!$P$65,'450'!$P$67:$P$69,'450'!$P$71:$P$74,'450'!$P$76:$P$82,'450'!$P$84,'450'!$P$86,'450'!$P$88</definedName>
    <definedName name="OSRRefP22x_0" localSheetId="37">'491'!$P$28:$P$37,'491'!$P$39:$P$48,'491'!$P$50,'491'!$P$52,'491'!$P$54,'491'!$P$56:$P$57,'491'!$P$59,'491'!$P$61,'491'!$P$63:$P$64,'491'!$P$66,'491'!$P$68,'491'!$P$70,'491'!$P$72,'491'!$P$74:$P$77,'491'!$P$79,'491'!$P$81:$P$85,'491'!$P$87,'491'!$P$89:$P$98,'491'!$P$100:$P$101,'491'!$P$103,'491'!$P$105:$P$106,'491'!$P$108</definedName>
    <definedName name="OSRRefP22x_0" localSheetId="49">'492'!$P$29:$P$38,'492'!$P$40:$P$49,'492'!$P$51,'492'!$P$53,'492'!$P$55,'492'!$P$57,'492'!$P$59,'492'!$P$61,'492'!$P$63,'492'!$P$65,'492'!$P$67,'492'!$P$69,'492'!$P$71:$P$73,'492'!$P$75:$P$78,'492'!$P$80,'492'!$P$82:$P$90,'492'!$P$92:$P$93,'492'!$P$95,'492'!$P$97:$P$98</definedName>
    <definedName name="OSRRefP22x_0" localSheetId="56">'501'!$P$21:$P$30,'501'!$P$32:$P$41,'501'!$P$43,'501'!$P$45,'501'!$P$47,'501'!$P$49:$P$50,'501'!$P$52,'501'!$P$54,'501'!$P$56,'501'!$P$58:$P$60,'501'!$P$62,'501'!$P$64:$P$66,'501'!$P$68,'501'!$P$70</definedName>
    <definedName name="OSRRefP22x_0" localSheetId="5">'Div 2'!$P$20:$P$30,'Div 2'!$P$32:$P$41,'Div 2'!$P$43,'Div 2'!$P$45,'Div 2'!$P$47,'Div 2'!$P$49:$P$50,'Div 2'!$P$52,'Div 2'!$P$54,'Div 2'!$P$56,'Div 2'!$P$58,'Div 2'!$P$60,'Div 2'!$P$62,'Div 2'!$P$64:$P$67,'Div 2'!$P$69:$P$72,'Div 2'!$P$74:$P$75,'Div 2'!$P$77:$P$78,'Div 2'!$P$80:$P$85,'Div 2'!$P$87:$P$88,'Div 2'!$P$90,'Div 2'!$P$92:$P$93</definedName>
    <definedName name="OSRRefP22x_0" localSheetId="13">'Div 3'!$P$60:$P$69,'Div 3'!$P$71:$P$80,'Div 3'!$P$82,'Div 3'!$P$84,'Div 3'!$P$86,'Div 3'!$P$88:$P$89,'Div 3'!$P$91:$P$92,'Div 3'!$P$94,'Div 3'!$P$96,'Div 3'!$P$98,'Div 3'!$P$100:$P$101,'Div 3'!$P$103:$P$104,'Div 3'!$P$106,'Div 3'!$P$108,'Div 3'!$P$110,'Div 3'!$P$112,'Div 3'!$P$114,'Div 3'!$P$116:$P$119,'Div 3'!$P$121:$P$124,'Div 3'!$P$126:$P$129,'Div 3'!$P$131:$P$132,'Div 3'!$P$134:$P$140,'Div 3'!$P$142:$P$143,'Div 3'!$P$145,'Div 3'!$P$147:$P$149,'Div 3'!$P$151</definedName>
    <definedName name="OSRRefP22x_0" localSheetId="35">'Div 4'!$P$31:$P$40,'Div 4'!$P$42:$P$51,'Div 4'!$P$53,'Div 4'!$P$55,'Div 4'!$P$57,'Div 4'!$P$59:$P$60,'Div 4'!$P$62,'Div 4'!$P$64,'Div 4'!$P$66,'Div 4'!$P$68:$P$69,'Div 4'!$P$71,'Div 4'!$P$73,'Div 4'!$P$75,'Div 4'!$P$77,'Div 4'!$P$79,'Div 4'!$P$81:$P$84,'Div 4'!$P$86,'Div 4'!$P$88:$P$92,'Div 4'!$P$94:$P$95,'Div 4'!$P$97:$P$106,'Div 4'!$P$108:$P$109,'Div 4'!$P$111,'Div 4'!$P$113:$P$114,'Div 4'!$P$116</definedName>
    <definedName name="OSRRefP22x_0" localSheetId="55">'Div 5'!$P$21:$P$30,'Div 5'!$P$32:$P$41,'Div 5'!$P$43,'Div 5'!$P$45,'Div 5'!$P$47,'Div 5'!$P$49:$P$50,'Div 5'!$P$52,'Div 5'!$P$54,'Div 5'!$P$56,'Div 5'!$P$58:$P$60,'Div 5'!$P$62,'Div 5'!$P$64:$P$66,'Div 5'!$P$68,'Div 5'!$P$70</definedName>
    <definedName name="OSRRefP22x_0" localSheetId="27">'Div 6'!$P$35:$P$44,'Div 6'!$P$46:$P$55,'Div 6'!$P$57,'Div 6'!$P$59,'Div 6'!$P$61,'Div 6'!$P$63,'Div 6'!$P$65,'Div 6'!$P$67,'Div 6'!$P$69,'Div 6'!$P$71:$P$72,'Div 6'!$P$74</definedName>
    <definedName name="OSRRefP22x_0" localSheetId="2">Summary!$P$68:$P$77,Summary!$P$79:$P$88,Summary!$P$90,Summary!$P$92,Summary!$P$94,Summary!$P$96:$P$97,Summary!$P$99:$P$100,Summary!$P$102,Summary!$P$104,Summary!$P$106,Summary!$P$108:$P$109,Summary!$P$111:$P$113,Summary!$P$115,Summary!$P$117,Summary!$P$119,Summary!$P$121,Summary!$P$123,Summary!$P$125,Summary!$P$127:$P$130,Summary!$P$132:$P$135,Summary!$P$137:$P$141,Summary!$P$143:$P$144,Summary!$P$146:$P$155,Summary!$P$157:$P$158,Summary!$P$160,Summary!$P$162:$P$164,Summary!$P$166</definedName>
    <definedName name="OSRRefP25x_0" localSheetId="14">'300'!$P$145:$P$149</definedName>
    <definedName name="OSRRefP25x_0" localSheetId="15">'300 &amp; 317'!$P$151:$P$157</definedName>
    <definedName name="OSRRefP25x_0" localSheetId="16">'301'!$P$99:$P$100</definedName>
    <definedName name="OSRRefP25x_0" localSheetId="17">'308'!$P$88:$P$91</definedName>
    <definedName name="OSRRefP25x_0" localSheetId="36">'310 &amp; 491'!$P$113:$P$116</definedName>
    <definedName name="OSRRefP25x_0" localSheetId="18">'311'!$P$88:$P$91</definedName>
    <definedName name="OSRRefP25x_0" localSheetId="23">'315'!$P$108:$P$111</definedName>
    <definedName name="OSRRefP25x_0" localSheetId="26">'316'!$P$78</definedName>
    <definedName name="OSRRefP25x_0" localSheetId="28">'317'!$P$77:$P$79</definedName>
    <definedName name="OSRRefP25x_0" localSheetId="22">'331'!$P$120:$P$123</definedName>
    <definedName name="OSRRefP25x_0" localSheetId="25">'332'!$P$78</definedName>
    <definedName name="OSRRefP25x_0" localSheetId="20">'333'!$P$125:$P$128</definedName>
    <definedName name="OSRRefP25x_0" localSheetId="38">'405'!$P$92</definedName>
    <definedName name="OSRRefP25x_0" localSheetId="40">'411'!$P$80</definedName>
    <definedName name="OSRRefP25x_0" localSheetId="44">'415'!$P$95</definedName>
    <definedName name="OSRRefP25x_0" localSheetId="45">'418'!$P$89</definedName>
    <definedName name="OSRRefP25x_0" localSheetId="46">'423'!$P$49:$P$51</definedName>
    <definedName name="OSRRefP25x_0" localSheetId="37">'491'!$P$111:$P$114</definedName>
    <definedName name="OSRRefP25x_0" localSheetId="56">'501'!$P$73</definedName>
    <definedName name="OSRRefP25x_0" localSheetId="13">'Div 3'!$P$154:$P$158</definedName>
    <definedName name="OSRRefP25x_0" localSheetId="35">'Div 4'!$P$119:$P$122</definedName>
    <definedName name="OSRRefP25x_0" localSheetId="55">'Div 5'!$P$73</definedName>
    <definedName name="OSRRefP25x_0" localSheetId="27">'Div 6'!$P$77:$P$79</definedName>
    <definedName name="OSRRefP25x_0" localSheetId="2">Summary!$P$169:$P$176</definedName>
    <definedName name="OSRRefT13x_0" localSheetId="14">'300'!$T$13:$T$19</definedName>
    <definedName name="OSRRefT13x_0" localSheetId="15">'300 &amp; 317'!$T$13:$T$19</definedName>
    <definedName name="OSRRefT13x_0" localSheetId="21">'307'!$T$13:$T$16</definedName>
    <definedName name="OSRRefT13x_0" localSheetId="17">'308'!$T$13:$T$17</definedName>
    <definedName name="OSRRefT13x_0" localSheetId="31">'309'!$T$13:$T$16</definedName>
    <definedName name="OSRRefT13x_0" localSheetId="30">'310'!$T$13:$T$18</definedName>
    <definedName name="OSRRefT13x_0" localSheetId="36">'310 &amp; 491'!$T$13:$T$18</definedName>
    <definedName name="OSRRefT13x_0" localSheetId="18">'311'!$T$13:$T$17</definedName>
    <definedName name="OSRRefT13x_0" localSheetId="23">'315'!$T$13:$T$17</definedName>
    <definedName name="OSRRefT13x_0" localSheetId="26">'316'!$T$13:$T$17</definedName>
    <definedName name="OSRRefT13x_0" localSheetId="28">'317'!$T$13:$T$17</definedName>
    <definedName name="OSRRefT13x_0" localSheetId="32">'321'!$T$13:$T$14</definedName>
    <definedName name="OSRRefT13x_0" localSheetId="19">'324'!$T$13:$T$14</definedName>
    <definedName name="OSRRefT13x_0" localSheetId="33">'325'!$T$13:$T$14</definedName>
    <definedName name="OSRRefT13x_0" localSheetId="24">'326'!$T$13:$T$16</definedName>
    <definedName name="OSRRefT13x_0" localSheetId="34">'327'!$T$13:$T$15</definedName>
    <definedName name="OSRRefT13x_0" localSheetId="22">'331'!$T$13:$T$17</definedName>
    <definedName name="OSRRefT13x_0" localSheetId="25">'332'!$T$13:$T$17</definedName>
    <definedName name="OSRRefT13x_0" localSheetId="20">'333'!$T$13:$T$17</definedName>
    <definedName name="OSRRefT13x_0" localSheetId="38">'405'!$T$13:$T$16</definedName>
    <definedName name="OSRRefT13x_0" localSheetId="44">'415'!$T$13:$T$16</definedName>
    <definedName name="OSRRefT13x_0" localSheetId="45">'418'!$T$13:$T$14</definedName>
    <definedName name="OSRRefT13x_0" localSheetId="48">'425'!$T$13</definedName>
    <definedName name="OSRRefT13x_0" localSheetId="51">'433'!$T$13:$T$16</definedName>
    <definedName name="OSRRefT13x_0" localSheetId="52">'435'!$T$13:$T$14</definedName>
    <definedName name="OSRRefT13x_0" localSheetId="53">'444'!$T$13:$T$16</definedName>
    <definedName name="OSRRefT13x_0" localSheetId="54">'450'!$T$13:$T$16</definedName>
    <definedName name="OSRRefT13x_0" localSheetId="37">'491'!$T$13:$T$17</definedName>
    <definedName name="OSRRefT13x_0" localSheetId="49">'492'!$T$13:$T$18</definedName>
    <definedName name="OSRRefT13x_0" localSheetId="56">'501'!$T$13</definedName>
    <definedName name="OSRRefT13x_0" localSheetId="13">'Div 3'!$T$13:$T$23</definedName>
    <definedName name="OSRRefT13x_0" localSheetId="35">'Div 4'!$T$13:$T$20</definedName>
    <definedName name="OSRRefT13x_0" localSheetId="55">'Div 5'!$T$13</definedName>
    <definedName name="OSRRefT13x_0" localSheetId="27">'Div 6'!$T$13:$T$17</definedName>
    <definedName name="OSRRefT13x_0" localSheetId="2">Summary!$T$13:$T$25</definedName>
    <definedName name="OSRRefT16x_0" localSheetId="14">'300'!$T$22:$T$48</definedName>
    <definedName name="OSRRefT16x_0" localSheetId="15">'300 &amp; 317'!$T$22:$T$54</definedName>
    <definedName name="OSRRefT16x_0" localSheetId="16">'301'!$T$15</definedName>
    <definedName name="OSRRefT16x_0" localSheetId="21">'307'!$T$19:$T$28</definedName>
    <definedName name="OSRRefT16x_0" localSheetId="17">'308'!$T$20:$T$29</definedName>
    <definedName name="OSRRefT16x_0" localSheetId="31">'309'!$T$19:$T$20</definedName>
    <definedName name="OSRRefT16x_0" localSheetId="30">'310'!$T$21:$T$23</definedName>
    <definedName name="OSRRefT16x_0" localSheetId="36">'310 &amp; 491'!$T$21:$T$23</definedName>
    <definedName name="OSRRefT16x_0" localSheetId="18">'311'!$T$20:$T$29</definedName>
    <definedName name="OSRRefT16x_0" localSheetId="23">'315'!$T$20:$T$38</definedName>
    <definedName name="OSRRefT16x_0" localSheetId="26">'316'!$T$20:$T$21</definedName>
    <definedName name="OSRRefT16x_0" localSheetId="28">'317'!$T$20:$T$29</definedName>
    <definedName name="OSRRefT16x_0" localSheetId="32">'321'!$T$17:$T$18</definedName>
    <definedName name="OSRRefT16x_0" localSheetId="19">'324'!$T$17</definedName>
    <definedName name="OSRRefT16x_0" localSheetId="33">'325'!$T$17:$T$19</definedName>
    <definedName name="OSRRefT16x_0" localSheetId="24">'326'!$T$19:$T$22</definedName>
    <definedName name="OSRRefT16x_0" localSheetId="34">'327'!$T$18:$T$20</definedName>
    <definedName name="OSRRefT16x_0" localSheetId="22">'331'!$T$20:$T$38</definedName>
    <definedName name="OSRRefT16x_0" localSheetId="25">'332'!$T$20:$T$21</definedName>
    <definedName name="OSRRefT16x_0" localSheetId="20">'333'!$T$20:$T$40</definedName>
    <definedName name="OSRRefT16x_0" localSheetId="38">'405'!$T$19:$T$21</definedName>
    <definedName name="OSRRefT16x_0" localSheetId="41">'412'!$T$15</definedName>
    <definedName name="OSRRefT16x_0" localSheetId="44">'415'!$T$19:$T$21</definedName>
    <definedName name="OSRRefT16x_0" localSheetId="45">'418'!$T$17:$T$18</definedName>
    <definedName name="OSRRefT16x_0" localSheetId="47">'424'!$T$15</definedName>
    <definedName name="OSRRefT16x_0" localSheetId="48">'425'!$T$16</definedName>
    <definedName name="OSRRefT16x_0" localSheetId="51">'433'!$T$19:$T$21</definedName>
    <definedName name="OSRRefT16x_0" localSheetId="52">'435'!$T$17</definedName>
    <definedName name="OSRRefT16x_0" localSheetId="53">'444'!$T$19:$T$21</definedName>
    <definedName name="OSRRefT16x_0" localSheetId="54">'450'!$T$19:$T$21</definedName>
    <definedName name="OSRRefT16x_0" localSheetId="37">'491'!$T$20:$T$22</definedName>
    <definedName name="OSRRefT16x_0" localSheetId="49">'492'!$T$21:$T$23</definedName>
    <definedName name="OSRRefT16x_0" localSheetId="13">'Div 3'!$T$26:$T$54</definedName>
    <definedName name="OSRRefT16x_0" localSheetId="35">'Div 4'!$T$23:$T$25</definedName>
    <definedName name="OSRRefT16x_0" localSheetId="27">'Div 6'!$T$20:$T$29</definedName>
    <definedName name="OSRRefT16x_0" localSheetId="2">Summary!$T$28:$T$62</definedName>
    <definedName name="OSRRefT22_0x_0" localSheetId="6">'200'!$T$20:$T$21</definedName>
    <definedName name="OSRRefT22_0x_0" localSheetId="7">'201'!$T$20:$T$28</definedName>
    <definedName name="OSRRefT22_0x_0" localSheetId="8">'202'!$T$20:$T$28</definedName>
    <definedName name="OSRRefT22_0x_0" localSheetId="9">'203'!$T$20:$T$29</definedName>
    <definedName name="OSRRefT22_0x_0" localSheetId="10">'204'!$T$20:$T$29</definedName>
    <definedName name="OSRRefT22_0x_0" localSheetId="11">'205'!$T$20:$T$28</definedName>
    <definedName name="OSRRefT22_0x_0" localSheetId="12">'206'!$T$20:$T$28</definedName>
    <definedName name="OSRRefT22_0x_0" localSheetId="14">'300'!$T$54:$T$63</definedName>
    <definedName name="OSRRefT22_0x_0" localSheetId="15">'300 &amp; 317'!$T$60:$T$69</definedName>
    <definedName name="OSRRefT22_0x_0" localSheetId="16">'301'!$T$21:$T$30</definedName>
    <definedName name="OSRRefT22_0x_0" localSheetId="21">'307'!$T$34:$T$42</definedName>
    <definedName name="OSRRefT22_0x_0" localSheetId="17">'308'!$T$35:$T$44</definedName>
    <definedName name="OSRRefT22_0x_0" localSheetId="31">'309'!$T$26:$T$27</definedName>
    <definedName name="OSRRefT22_0x_0" localSheetId="30">'310'!$T$29:$T$38</definedName>
    <definedName name="OSRRefT22_0x_0" localSheetId="36">'310 &amp; 491'!$T$29:$T$38</definedName>
    <definedName name="OSRRefT22_0x_0" localSheetId="18">'311'!$T$35:$T$44</definedName>
    <definedName name="OSRRefT22_0x_0" localSheetId="23">'315'!$T$44:$T$52</definedName>
    <definedName name="OSRRefT22_0x_0" localSheetId="26">'316'!$T$27:$T$35</definedName>
    <definedName name="OSRRefT22_0x_0" localSheetId="28">'317'!$T$35:$T$44</definedName>
    <definedName name="OSRRefT22_0x_0" localSheetId="32">'321'!$T$24:$T$33</definedName>
    <definedName name="OSRRefT22_0x_0" localSheetId="33">'325'!$T$25:$T$33</definedName>
    <definedName name="OSRRefT22_0x_0" localSheetId="24">'326'!$T$28:$T$36</definedName>
    <definedName name="OSRRefT22_0x_0" localSheetId="34">'327'!$T$26</definedName>
    <definedName name="OSRRefT22_0x_0" localSheetId="22">'331'!$T$44:$T$52</definedName>
    <definedName name="OSRRefT22_0x_0" localSheetId="25">'332'!$T$27:$T$35</definedName>
    <definedName name="OSRRefT22_0x_0" localSheetId="20">'333'!$T$46:$T$54</definedName>
    <definedName name="OSRRefT22_0x_0" localSheetId="38">'405'!$T$27:$T$35</definedName>
    <definedName name="OSRRefT22_0x_0" localSheetId="39">'406'!$T$20</definedName>
    <definedName name="OSRRefT22_0x_0" localSheetId="40">'411'!$T$20:$T$28</definedName>
    <definedName name="OSRRefT22_0x_0" localSheetId="41">'412'!$T$21</definedName>
    <definedName name="OSRRefT22_0x_0" localSheetId="42">'413'!$T$20</definedName>
    <definedName name="OSRRefT22_0x_0" localSheetId="43">'414'!$T$20</definedName>
    <definedName name="OSRRefT22_0x_0" localSheetId="44">'415'!$T$27:$T$36</definedName>
    <definedName name="OSRRefT22_0x_0" localSheetId="45">'418'!$T$24:$T$32</definedName>
    <definedName name="OSRRefT22_0x_0" localSheetId="46">'423'!$T$20:$T$27</definedName>
    <definedName name="OSRRefT22_0x_0" localSheetId="47">'424'!$T$21</definedName>
    <definedName name="OSRRefT22_0x_0" localSheetId="48">'425'!$T$22</definedName>
    <definedName name="OSRRefT22_0x_0" localSheetId="50">'430'!$T$20:$T$28</definedName>
    <definedName name="OSRRefT22_0x_0" localSheetId="51">'433'!$T$27:$T$36</definedName>
    <definedName name="OSRRefT22_0x_0" localSheetId="52">'435'!$T$23:$T$24</definedName>
    <definedName name="OSRRefT22_0x_0" localSheetId="53">'444'!$T$27:$T$36</definedName>
    <definedName name="OSRRefT22_0x_0" localSheetId="54">'450'!$T$27:$T$36</definedName>
    <definedName name="OSRRefT22_0x_0" localSheetId="37">'491'!$T$28:$T$37</definedName>
    <definedName name="OSRRefT22_0x_0" localSheetId="49">'492'!$T$29:$T$38</definedName>
    <definedName name="OSRRefT22_0x_0" localSheetId="56">'501'!$T$21:$T$30</definedName>
    <definedName name="OSRRefT22_0x_0" localSheetId="5">'Div 2'!$T$20:$T$30</definedName>
    <definedName name="OSRRefT22_0x_0" localSheetId="13">'Div 3'!$T$60:$T$69</definedName>
    <definedName name="OSRRefT22_0x_0" localSheetId="35">'Div 4'!$T$31:$T$40</definedName>
    <definedName name="OSRRefT22_0x_0" localSheetId="55">'Div 5'!$T$21:$T$30</definedName>
    <definedName name="OSRRefT22_0x_0" localSheetId="27">'Div 6'!$T$35:$T$44</definedName>
    <definedName name="OSRRefT22_0x_0" localSheetId="2">Summary!$T$68:$T$77</definedName>
    <definedName name="OSRRefT22_10x_0" localSheetId="7">'201'!$T$57:$T$59</definedName>
    <definedName name="OSRRefT22_10x_0" localSheetId="8">'202'!$T$59:$T$60</definedName>
    <definedName name="OSRRefT22_10x_0" localSheetId="9">'203'!$T$61:$T$62</definedName>
    <definedName name="OSRRefT22_10x_0" localSheetId="10">'204'!$T$64</definedName>
    <definedName name="OSRRefT22_10x_0" localSheetId="14">'300'!$T$94:$T$95</definedName>
    <definedName name="OSRRefT22_10x_0" localSheetId="15">'300 &amp; 317'!$T$100:$T$101</definedName>
    <definedName name="OSRRefT22_10x_0" localSheetId="16">'301'!$T$61</definedName>
    <definedName name="OSRRefT22_10x_0" localSheetId="21">'307'!$T$73:$T$74</definedName>
    <definedName name="OSRRefT22_10x_0" localSheetId="17">'308'!$T$76:$T$77</definedName>
    <definedName name="OSRRefT22_10x_0" localSheetId="31">'309'!$T$50:$T$51</definedName>
    <definedName name="OSRRefT22_10x_0" localSheetId="30">'310'!$T$68</definedName>
    <definedName name="OSRRefT22_10x_0" localSheetId="36">'310 &amp; 491'!$T$69</definedName>
    <definedName name="OSRRefT22_10x_0" localSheetId="18">'311'!$T$76:$T$77</definedName>
    <definedName name="OSRRefT22_10x_0" localSheetId="23">'315'!$T$82</definedName>
    <definedName name="OSRRefT22_10x_0" localSheetId="26">'316'!$T$67</definedName>
    <definedName name="OSRRefT22_10x_0" localSheetId="28">'317'!$T$74</definedName>
    <definedName name="OSRRefT22_10x_0" localSheetId="32">'321'!$T$66:$T$69</definedName>
    <definedName name="OSRRefT22_10x_0" localSheetId="33">'325'!$T$63</definedName>
    <definedName name="OSRRefT22_10x_0" localSheetId="24">'326'!$T$66</definedName>
    <definedName name="OSRRefT22_10x_0" localSheetId="22">'331'!$T$83</definedName>
    <definedName name="OSRRefT22_10x_0" localSheetId="25">'332'!$T$67</definedName>
    <definedName name="OSRRefT22_10x_0" localSheetId="20">'333'!$T$86</definedName>
    <definedName name="OSRRefT22_10x_0" localSheetId="38">'405'!$T$66:$T$69</definedName>
    <definedName name="OSRRefT22_10x_0" localSheetId="40">'411'!$T$61:$T$63</definedName>
    <definedName name="OSRRefT22_10x_0" localSheetId="44">'415'!$T$66</definedName>
    <definedName name="OSRRefT22_10x_0" localSheetId="45">'418'!$T$67</definedName>
    <definedName name="OSRRefT22_10x_0" localSheetId="51">'433'!$T$65</definedName>
    <definedName name="OSRRefT22_10x_0" localSheetId="53">'444'!$T$65</definedName>
    <definedName name="OSRRefT22_10x_0" localSheetId="54">'450'!$T$65</definedName>
    <definedName name="OSRRefT22_10x_0" localSheetId="37">'491'!$T$68</definedName>
    <definedName name="OSRRefT22_10x_0" localSheetId="49">'492'!$T$67</definedName>
    <definedName name="OSRRefT22_10x_0" localSheetId="56">'501'!$T$62</definedName>
    <definedName name="OSRRefT22_10x_0" localSheetId="5">'Div 2'!$T$60</definedName>
    <definedName name="OSRRefT22_10x_0" localSheetId="13">'Div 3'!$T$100:$T$101</definedName>
    <definedName name="OSRRefT22_10x_0" localSheetId="35">'Div 4'!$T$71</definedName>
    <definedName name="OSRRefT22_10x_0" localSheetId="55">'Div 5'!$T$62</definedName>
    <definedName name="OSRRefT22_10x_0" localSheetId="27">'Div 6'!$T$74</definedName>
    <definedName name="OSRRefT22_10x_0" localSheetId="2">Summary!$T$108:$T$109</definedName>
    <definedName name="OSRRefT22_11x_0" localSheetId="7">'201'!$T$61:$T$62</definedName>
    <definedName name="OSRRefT22_11x_0" localSheetId="8">'202'!$T$62</definedName>
    <definedName name="OSRRefT22_11x_0" localSheetId="9">'203'!$T$64:$T$67</definedName>
    <definedName name="OSRRefT22_11x_0" localSheetId="14">'300'!$T$97:$T$98</definedName>
    <definedName name="OSRRefT22_11x_0" localSheetId="15">'300 &amp; 317'!$T$103:$T$104</definedName>
    <definedName name="OSRRefT22_11x_0" localSheetId="16">'301'!$T$63</definedName>
    <definedName name="OSRRefT22_11x_0" localSheetId="21">'307'!$T$76</definedName>
    <definedName name="OSRRefT22_11x_0" localSheetId="17">'308'!$T$79:$T$80</definedName>
    <definedName name="OSRRefT22_11x_0" localSheetId="31">'309'!$T$53</definedName>
    <definedName name="OSRRefT22_11x_0" localSheetId="30">'310'!$T$70:$T$72</definedName>
    <definedName name="OSRRefT22_11x_0" localSheetId="36">'310 &amp; 491'!$T$71</definedName>
    <definedName name="OSRRefT22_11x_0" localSheetId="18">'311'!$T$79:$T$80</definedName>
    <definedName name="OSRRefT22_11x_0" localSheetId="23">'315'!$T$84</definedName>
    <definedName name="OSRRefT22_11x_0" localSheetId="26">'316'!$T$69:$T$73</definedName>
    <definedName name="OSRRefT22_11x_0" localSheetId="32">'321'!$T$71</definedName>
    <definedName name="OSRRefT22_11x_0" localSheetId="33">'325'!$T$65:$T$67</definedName>
    <definedName name="OSRRefT22_11x_0" localSheetId="24">'326'!$T$68:$T$69</definedName>
    <definedName name="OSRRefT22_11x_0" localSheetId="22">'331'!$T$85</definedName>
    <definedName name="OSRRefT22_11x_0" localSheetId="25">'332'!$T$69:$T$73</definedName>
    <definedName name="OSRRefT22_11x_0" localSheetId="20">'333'!$T$88</definedName>
    <definedName name="OSRRefT22_11x_0" localSheetId="38">'405'!$T$71</definedName>
    <definedName name="OSRRefT22_11x_0" localSheetId="40">'411'!$T$65</definedName>
    <definedName name="OSRRefT22_11x_0" localSheetId="44">'415'!$T$68:$T$69</definedName>
    <definedName name="OSRRefT22_11x_0" localSheetId="45">'418'!$T$69:$T$77</definedName>
    <definedName name="OSRRefT22_11x_0" localSheetId="51">'433'!$T$67:$T$69</definedName>
    <definedName name="OSRRefT22_11x_0" localSheetId="53">'444'!$T$67:$T$68</definedName>
    <definedName name="OSRRefT22_11x_0" localSheetId="54">'450'!$T$67:$T$69</definedName>
    <definedName name="OSRRefT22_11x_0" localSheetId="37">'491'!$T$70</definedName>
    <definedName name="OSRRefT22_11x_0" localSheetId="49">'492'!$T$69</definedName>
    <definedName name="OSRRefT22_11x_0" localSheetId="56">'501'!$T$64:$T$66</definedName>
    <definedName name="OSRRefT22_11x_0" localSheetId="5">'Div 2'!$T$62</definedName>
    <definedName name="OSRRefT22_11x_0" localSheetId="13">'Div 3'!$T$103:$T$104</definedName>
    <definedName name="OSRRefT22_11x_0" localSheetId="35">'Div 4'!$T$73</definedName>
    <definedName name="OSRRefT22_11x_0" localSheetId="55">'Div 5'!$T$64:$T$66</definedName>
    <definedName name="OSRRefT22_11x_0" localSheetId="2">Summary!$T$111:$T$113</definedName>
    <definedName name="OSRRefT22_12x_0" localSheetId="7">'201'!$T$64</definedName>
    <definedName name="OSRRefT22_12x_0" localSheetId="8">'202'!$T$64</definedName>
    <definedName name="OSRRefT22_12x_0" localSheetId="9">'203'!$T$69</definedName>
    <definedName name="OSRRefT22_12x_0" localSheetId="14">'300'!$T$100</definedName>
    <definedName name="OSRRefT22_12x_0" localSheetId="15">'300 &amp; 317'!$T$106</definedName>
    <definedName name="OSRRefT22_12x_0" localSheetId="16">'301'!$T$65</definedName>
    <definedName name="OSRRefT22_12x_0" localSheetId="21">'307'!$T$78:$T$81</definedName>
    <definedName name="OSRRefT22_12x_0" localSheetId="17">'308'!$T$82:$T$83</definedName>
    <definedName name="OSRRefT22_12x_0" localSheetId="31">'309'!$T$55</definedName>
    <definedName name="OSRRefT22_12x_0" localSheetId="30">'310'!$T$74:$T$75</definedName>
    <definedName name="OSRRefT22_12x_0" localSheetId="36">'310 &amp; 491'!$T$73</definedName>
    <definedName name="OSRRefT22_12x_0" localSheetId="18">'311'!$T$82:$T$83</definedName>
    <definedName name="OSRRefT22_12x_0" localSheetId="23">'315'!$T$86:$T$87</definedName>
    <definedName name="OSRRefT22_12x_0" localSheetId="26">'316'!$T$75</definedName>
    <definedName name="OSRRefT22_12x_0" localSheetId="32">'321'!$T$73</definedName>
    <definedName name="OSRRefT22_12x_0" localSheetId="33">'325'!$T$69:$T$71</definedName>
    <definedName name="OSRRefT22_12x_0" localSheetId="24">'326'!$T$71:$T$72</definedName>
    <definedName name="OSRRefT22_12x_0" localSheetId="22">'331'!$T$87</definedName>
    <definedName name="OSRRefT22_12x_0" localSheetId="25">'332'!$T$75</definedName>
    <definedName name="OSRRefT22_12x_0" localSheetId="20">'333'!$T$90</definedName>
    <definedName name="OSRRefT22_12x_0" localSheetId="38">'405'!$T$73:$T$81</definedName>
    <definedName name="OSRRefT22_12x_0" localSheetId="40">'411'!$T$67:$T$68</definedName>
    <definedName name="OSRRefT22_12x_0" localSheetId="44">'415'!$T$71:$T$74</definedName>
    <definedName name="OSRRefT22_12x_0" localSheetId="45">'418'!$T$79:$T$80</definedName>
    <definedName name="OSRRefT22_12x_0" localSheetId="51">'433'!$T$71:$T$74</definedName>
    <definedName name="OSRRefT22_12x_0" localSheetId="53">'444'!$T$70:$T$73</definedName>
    <definedName name="OSRRefT22_12x_0" localSheetId="54">'450'!$T$71:$T$74</definedName>
    <definedName name="OSRRefT22_12x_0" localSheetId="37">'491'!$T$72</definedName>
    <definedName name="OSRRefT22_12x_0" localSheetId="49">'492'!$T$71:$T$73</definedName>
    <definedName name="OSRRefT22_12x_0" localSheetId="56">'501'!$T$68</definedName>
    <definedName name="OSRRefT22_12x_0" localSheetId="5">'Div 2'!$T$64:$T$67</definedName>
    <definedName name="OSRRefT22_12x_0" localSheetId="13">'Div 3'!$T$106</definedName>
    <definedName name="OSRRefT22_12x_0" localSheetId="35">'Div 4'!$T$75</definedName>
    <definedName name="OSRRefT22_12x_0" localSheetId="55">'Div 5'!$T$68</definedName>
    <definedName name="OSRRefT22_12x_0" localSheetId="2">Summary!$T$115</definedName>
    <definedName name="OSRRefT22_13x_0" localSheetId="7">'201'!$T$66:$T$67</definedName>
    <definedName name="OSRRefT22_13x_0" localSheetId="8">'202'!$T$66</definedName>
    <definedName name="OSRRefT22_13x_0" localSheetId="9">'203'!$T$71</definedName>
    <definedName name="OSRRefT22_13x_0" localSheetId="14">'300'!$T$102</definedName>
    <definedName name="OSRRefT22_13x_0" localSheetId="15">'300 &amp; 317'!$T$108</definedName>
    <definedName name="OSRRefT22_13x_0" localSheetId="16">'301'!$T$67</definedName>
    <definedName name="OSRRefT22_13x_0" localSheetId="21">'307'!$T$83</definedName>
    <definedName name="OSRRefT22_13x_0" localSheetId="17">'308'!$T$85</definedName>
    <definedName name="OSRRefT22_13x_0" localSheetId="30">'310'!$T$77:$T$79</definedName>
    <definedName name="OSRRefT22_13x_0" localSheetId="36">'310 &amp; 491'!$T$75:$T$78</definedName>
    <definedName name="OSRRefT22_13x_0" localSheetId="18">'311'!$T$85</definedName>
    <definedName name="OSRRefT22_13x_0" localSheetId="23">'315'!$T$89:$T$91</definedName>
    <definedName name="OSRRefT22_13x_0" localSheetId="32">'321'!$T$75</definedName>
    <definedName name="OSRRefT22_13x_0" localSheetId="33">'325'!$T$73:$T$78</definedName>
    <definedName name="OSRRefT22_13x_0" localSheetId="24">'326'!$T$74:$T$75</definedName>
    <definedName name="OSRRefT22_13x_0" localSheetId="22">'331'!$T$89</definedName>
    <definedName name="OSRRefT22_13x_0" localSheetId="20">'333'!$T$92</definedName>
    <definedName name="OSRRefT22_13x_0" localSheetId="38">'405'!$T$83</definedName>
    <definedName name="OSRRefT22_13x_0" localSheetId="40">'411'!$T$70</definedName>
    <definedName name="OSRRefT22_13x_0" localSheetId="44">'415'!$T$76</definedName>
    <definedName name="OSRRefT22_13x_0" localSheetId="45">'418'!$T$82</definedName>
    <definedName name="OSRRefT22_13x_0" localSheetId="51">'433'!$T$76:$T$83</definedName>
    <definedName name="OSRRefT22_13x_0" localSheetId="53">'444'!$T$75</definedName>
    <definedName name="OSRRefT22_13x_0" localSheetId="54">'450'!$T$76:$T$82</definedName>
    <definedName name="OSRRefT22_13x_0" localSheetId="37">'491'!$T$74:$T$77</definedName>
    <definedName name="OSRRefT22_13x_0" localSheetId="49">'492'!$T$75:$T$78</definedName>
    <definedName name="OSRRefT22_13x_0" localSheetId="56">'501'!$T$70</definedName>
    <definedName name="OSRRefT22_13x_0" localSheetId="5">'Div 2'!$T$69:$T$72</definedName>
    <definedName name="OSRRefT22_13x_0" localSheetId="13">'Div 3'!$T$108</definedName>
    <definedName name="OSRRefT22_13x_0" localSheetId="35">'Div 4'!$T$77</definedName>
    <definedName name="OSRRefT22_13x_0" localSheetId="55">'Div 5'!$T$70</definedName>
    <definedName name="OSRRefT22_13x_0" localSheetId="2">Summary!$T$117</definedName>
    <definedName name="OSRRefT22_14x_0" localSheetId="7">'201'!$T$69</definedName>
    <definedName name="OSRRefT22_14x_0" localSheetId="9">'203'!$T$73</definedName>
    <definedName name="OSRRefT22_14x_0" localSheetId="14">'300'!$T$104</definedName>
    <definedName name="OSRRefT22_14x_0" localSheetId="15">'300 &amp; 317'!$T$110</definedName>
    <definedName name="OSRRefT22_14x_0" localSheetId="16">'301'!$T$69</definedName>
    <definedName name="OSRRefT22_14x_0" localSheetId="30">'310'!$T$81:$T$86</definedName>
    <definedName name="OSRRefT22_14x_0" localSheetId="36">'310 &amp; 491'!$T$80:$T$81</definedName>
    <definedName name="OSRRefT22_14x_0" localSheetId="23">'315'!$T$93:$T$94</definedName>
    <definedName name="OSRRefT22_14x_0" localSheetId="33">'325'!$T$80:$T$81</definedName>
    <definedName name="OSRRefT22_14x_0" localSheetId="24">'326'!$T$77:$T$79</definedName>
    <definedName name="OSRRefT22_14x_0" localSheetId="22">'331'!$T$91:$T$92</definedName>
    <definedName name="OSRRefT22_14x_0" localSheetId="20">'333'!$T$94:$T$95</definedName>
    <definedName name="OSRRefT22_14x_0" localSheetId="38">'405'!$T$85</definedName>
    <definedName name="OSRRefT22_14x_0" localSheetId="40">'411'!$T$72</definedName>
    <definedName name="OSRRefT22_14x_0" localSheetId="44">'415'!$T$78:$T$85</definedName>
    <definedName name="OSRRefT22_14x_0" localSheetId="45">'418'!$T$84</definedName>
    <definedName name="OSRRefT22_14x_0" localSheetId="51">'433'!$T$85</definedName>
    <definedName name="OSRRefT22_14x_0" localSheetId="53">'444'!$T$77:$T$85</definedName>
    <definedName name="OSRRefT22_14x_0" localSheetId="54">'450'!$T$84</definedName>
    <definedName name="OSRRefT22_14x_0" localSheetId="37">'491'!$T$79</definedName>
    <definedName name="OSRRefT22_14x_0" localSheetId="49">'492'!$T$80</definedName>
    <definedName name="OSRRefT22_14x_0" localSheetId="5">'Div 2'!$T$74:$T$75</definedName>
    <definedName name="OSRRefT22_14x_0" localSheetId="13">'Div 3'!$T$110</definedName>
    <definedName name="OSRRefT22_14x_0" localSheetId="35">'Div 4'!$T$79</definedName>
    <definedName name="OSRRefT22_14x_0" localSheetId="2">Summary!$T$119</definedName>
    <definedName name="OSRRefT22_15x_0" localSheetId="7">'201'!$T$71</definedName>
    <definedName name="OSRRefT22_15x_0" localSheetId="14">'300'!$T$106</definedName>
    <definedName name="OSRRefT22_15x_0" localSheetId="15">'300 &amp; 317'!$T$112</definedName>
    <definedName name="OSRRefT22_15x_0" localSheetId="16">'301'!$T$71:$T$74</definedName>
    <definedName name="OSRRefT22_15x_0" localSheetId="30">'310'!$T$88:$T$89</definedName>
    <definedName name="OSRRefT22_15x_0" localSheetId="36">'310 &amp; 491'!$T$83:$T$87</definedName>
    <definedName name="OSRRefT22_15x_0" localSheetId="23">'315'!$T$96:$T$99</definedName>
    <definedName name="OSRRefT22_15x_0" localSheetId="33">'325'!$T$83</definedName>
    <definedName name="OSRRefT22_15x_0" localSheetId="24">'326'!$T$81</definedName>
    <definedName name="OSRRefT22_15x_0" localSheetId="22">'331'!$T$94:$T$96</definedName>
    <definedName name="OSRRefT22_15x_0" localSheetId="20">'333'!$T$97:$T$99</definedName>
    <definedName name="OSRRefT22_15x_0" localSheetId="38">'405'!$T$87</definedName>
    <definedName name="OSRRefT22_15x_0" localSheetId="40">'411'!$T$74:$T$75</definedName>
    <definedName name="OSRRefT22_15x_0" localSheetId="44">'415'!$T$87:$T$88</definedName>
    <definedName name="OSRRefT22_15x_0" localSheetId="45">'418'!$T$86</definedName>
    <definedName name="OSRRefT22_15x_0" localSheetId="51">'433'!$T$87</definedName>
    <definedName name="OSRRefT22_15x_0" localSheetId="53">'444'!$T$87</definedName>
    <definedName name="OSRRefT22_15x_0" localSheetId="54">'450'!$T$86</definedName>
    <definedName name="OSRRefT22_15x_0" localSheetId="37">'491'!$T$81:$T$85</definedName>
    <definedName name="OSRRefT22_15x_0" localSheetId="49">'492'!$T$82:$T$90</definedName>
    <definedName name="OSRRefT22_15x_0" localSheetId="5">'Div 2'!$T$77:$T$78</definedName>
    <definedName name="OSRRefT22_15x_0" localSheetId="13">'Div 3'!$T$112</definedName>
    <definedName name="OSRRefT22_15x_0" localSheetId="35">'Div 4'!$T$81:$T$84</definedName>
    <definedName name="OSRRefT22_15x_0" localSheetId="2">Summary!$T$121</definedName>
    <definedName name="OSRRefT22_16x_0" localSheetId="7">'201'!$T$73</definedName>
    <definedName name="OSRRefT22_16x_0" localSheetId="14">'300'!$T$108:$T$111</definedName>
    <definedName name="OSRRefT22_16x_0" localSheetId="15">'300 &amp; 317'!$T$114:$T$117</definedName>
    <definedName name="OSRRefT22_16x_0" localSheetId="16">'301'!$T$76:$T$77</definedName>
    <definedName name="OSRRefT22_16x_0" localSheetId="30">'310'!$T$91</definedName>
    <definedName name="OSRRefT22_16x_0" localSheetId="36">'310 &amp; 491'!$T$89</definedName>
    <definedName name="OSRRefT22_16x_0" localSheetId="23">'315'!$T$101</definedName>
    <definedName name="OSRRefT22_16x_0" localSheetId="33">'325'!$T$85</definedName>
    <definedName name="OSRRefT22_16x_0" localSheetId="24">'326'!$T$83:$T$84</definedName>
    <definedName name="OSRRefT22_16x_0" localSheetId="22">'331'!$T$98:$T$99</definedName>
    <definedName name="OSRRefT22_16x_0" localSheetId="20">'333'!$T$101:$T$103</definedName>
    <definedName name="OSRRefT22_16x_0" localSheetId="38">'405'!$T$89</definedName>
    <definedName name="OSRRefT22_16x_0" localSheetId="40">'411'!$T$77</definedName>
    <definedName name="OSRRefT22_16x_0" localSheetId="44">'415'!$T$90</definedName>
    <definedName name="OSRRefT22_16x_0" localSheetId="53">'444'!$T$89</definedName>
    <definedName name="OSRRefT22_16x_0" localSheetId="54">'450'!$T$88</definedName>
    <definedName name="OSRRefT22_16x_0" localSheetId="37">'491'!$T$87</definedName>
    <definedName name="OSRRefT22_16x_0" localSheetId="49">'492'!$T$92:$T$93</definedName>
    <definedName name="OSRRefT22_16x_0" localSheetId="5">'Div 2'!$T$80:$T$85</definedName>
    <definedName name="OSRRefT22_16x_0" localSheetId="13">'Div 3'!$T$114</definedName>
    <definedName name="OSRRefT22_16x_0" localSheetId="35">'Div 4'!$T$86</definedName>
    <definedName name="OSRRefT22_16x_0" localSheetId="2">Summary!$T$123</definedName>
    <definedName name="OSRRefT22_17x_0" localSheetId="14">'300'!$T$113:$T$116</definedName>
    <definedName name="OSRRefT22_17x_0" localSheetId="15">'300 &amp; 317'!$T$119:$T$122</definedName>
    <definedName name="OSRRefT22_17x_0" localSheetId="16">'301'!$T$79</definedName>
    <definedName name="OSRRefT22_17x_0" localSheetId="30">'310'!$T$93</definedName>
    <definedName name="OSRRefT22_17x_0" localSheetId="36">'310 &amp; 491'!$T$91:$T$100</definedName>
    <definedName name="OSRRefT22_17x_0" localSheetId="23">'315'!$T$103</definedName>
    <definedName name="OSRRefT22_17x_0" localSheetId="24">'326'!$T$86</definedName>
    <definedName name="OSRRefT22_17x_0" localSheetId="22">'331'!$T$101:$T$102</definedName>
    <definedName name="OSRRefT22_17x_0" localSheetId="20">'333'!$T$105:$T$106</definedName>
    <definedName name="OSRRefT22_17x_0" localSheetId="44">'415'!$T$92</definedName>
    <definedName name="OSRRefT22_17x_0" localSheetId="37">'491'!$T$89:$T$98</definedName>
    <definedName name="OSRRefT22_17x_0" localSheetId="49">'492'!$T$95</definedName>
    <definedName name="OSRRefT22_17x_0" localSheetId="5">'Div 2'!$T$87:$T$88</definedName>
    <definedName name="OSRRefT22_17x_0" localSheetId="13">'Div 3'!$T$116:$T$119</definedName>
    <definedName name="OSRRefT22_17x_0" localSheetId="35">'Div 4'!$T$88:$T$92</definedName>
    <definedName name="OSRRefT22_17x_0" localSheetId="2">Summary!$T$125</definedName>
    <definedName name="OSRRefT22_18x_0" localSheetId="14">'300'!$T$118:$T$120</definedName>
    <definedName name="OSRRefT22_18x_0" localSheetId="15">'300 &amp; 317'!$T$124:$T$126</definedName>
    <definedName name="OSRRefT22_18x_0" localSheetId="16">'301'!$T$81:$T$86</definedName>
    <definedName name="OSRRefT22_18x_0" localSheetId="36">'310 &amp; 491'!$T$102:$T$103</definedName>
    <definedName name="OSRRefT22_18x_0" localSheetId="23">'315'!$T$105</definedName>
    <definedName name="OSRRefT22_18x_0" localSheetId="22">'331'!$T$104:$T$108</definedName>
    <definedName name="OSRRefT22_18x_0" localSheetId="20">'333'!$T$108:$T$113</definedName>
    <definedName name="OSRRefT22_18x_0" localSheetId="37">'491'!$T$100:$T$101</definedName>
    <definedName name="OSRRefT22_18x_0" localSheetId="49">'492'!$T$97:$T$98</definedName>
    <definedName name="OSRRefT22_18x_0" localSheetId="5">'Div 2'!$T$90</definedName>
    <definedName name="OSRRefT22_18x_0" localSheetId="13">'Div 3'!$T$121:$T$124</definedName>
    <definedName name="OSRRefT22_18x_0" localSheetId="35">'Div 4'!$T$94:$T$95</definedName>
    <definedName name="OSRRefT22_18x_0" localSheetId="2">Summary!$T$127:$T$130</definedName>
    <definedName name="OSRRefT22_19x_0" localSheetId="14">'300'!$T$122:$T$123</definedName>
    <definedName name="OSRRefT22_19x_0" localSheetId="15">'300 &amp; 317'!$T$128:$T$129</definedName>
    <definedName name="OSRRefT22_19x_0" localSheetId="16">'301'!$T$88</definedName>
    <definedName name="OSRRefT22_19x_0" localSheetId="36">'310 &amp; 491'!$T$105</definedName>
    <definedName name="OSRRefT22_19x_0" localSheetId="22">'331'!$T$110</definedName>
    <definedName name="OSRRefT22_19x_0" localSheetId="20">'333'!$T$115</definedName>
    <definedName name="OSRRefT22_19x_0" localSheetId="37">'491'!$T$103</definedName>
    <definedName name="OSRRefT22_19x_0" localSheetId="5">'Div 2'!$T$92:$T$93</definedName>
    <definedName name="OSRRefT22_19x_0" localSheetId="13">'Div 3'!$T$126:$T$129</definedName>
    <definedName name="OSRRefT22_19x_0" localSheetId="35">'Div 4'!$T$97:$T$106</definedName>
    <definedName name="OSRRefT22_19x_0" localSheetId="2">Summary!$T$132:$T$135</definedName>
    <definedName name="OSRRefT22_1x_0" localSheetId="6">'200'!$T$23</definedName>
    <definedName name="OSRRefT22_1x_0" localSheetId="7">'201'!$T$30:$T$39</definedName>
    <definedName name="OSRRefT22_1x_0" localSheetId="8">'202'!$T$30:$T$39</definedName>
    <definedName name="OSRRefT22_1x_0" localSheetId="9">'203'!$T$31:$T$40</definedName>
    <definedName name="OSRRefT22_1x_0" localSheetId="10">'204'!$T$31:$T$40</definedName>
    <definedName name="OSRRefT22_1x_0" localSheetId="11">'205'!$T$30:$T$39</definedName>
    <definedName name="OSRRefT22_1x_0" localSheetId="12">'206'!$T$30:$T$39</definedName>
    <definedName name="OSRRefT22_1x_0" localSheetId="14">'300'!$T$65:$T$74</definedName>
    <definedName name="OSRRefT22_1x_0" localSheetId="15">'300 &amp; 317'!$T$71:$T$80</definedName>
    <definedName name="OSRRefT22_1x_0" localSheetId="16">'301'!$T$32:$T$41</definedName>
    <definedName name="OSRRefT22_1x_0" localSheetId="21">'307'!$T$44:$T$53</definedName>
    <definedName name="OSRRefT22_1x_0" localSheetId="17">'308'!$T$46:$T$55</definedName>
    <definedName name="OSRRefT22_1x_0" localSheetId="31">'309'!$T$29:$T$30</definedName>
    <definedName name="OSRRefT22_1x_0" localSheetId="30">'310'!$T$40:$T$49</definedName>
    <definedName name="OSRRefT22_1x_0" localSheetId="36">'310 &amp; 491'!$T$40:$T$49</definedName>
    <definedName name="OSRRefT22_1x_0" localSheetId="18">'311'!$T$46:$T$55</definedName>
    <definedName name="OSRRefT22_1x_0" localSheetId="23">'315'!$T$54:$T$63</definedName>
    <definedName name="OSRRefT22_1x_0" localSheetId="26">'316'!$T$37:$T$46</definedName>
    <definedName name="OSRRefT22_1x_0" localSheetId="28">'317'!$T$46:$T$55</definedName>
    <definedName name="OSRRefT22_1x_0" localSheetId="32">'321'!$T$35:$T$44</definedName>
    <definedName name="OSRRefT22_1x_0" localSheetId="33">'325'!$T$35:$T$44</definedName>
    <definedName name="OSRRefT22_1x_0" localSheetId="24">'326'!$T$38:$T$47</definedName>
    <definedName name="OSRRefT22_1x_0" localSheetId="34">'327'!$T$28</definedName>
    <definedName name="OSRRefT22_1x_0" localSheetId="22">'331'!$T$54:$T$63</definedName>
    <definedName name="OSRRefT22_1x_0" localSheetId="25">'332'!$T$37:$T$46</definedName>
    <definedName name="OSRRefT22_1x_0" localSheetId="20">'333'!$T$56:$T$65</definedName>
    <definedName name="OSRRefT22_1x_0" localSheetId="38">'405'!$T$37:$T$46</definedName>
    <definedName name="OSRRefT22_1x_0" localSheetId="39">'406'!$T$22</definedName>
    <definedName name="OSRRefT22_1x_0" localSheetId="40">'411'!$T$30:$T$39</definedName>
    <definedName name="OSRRefT22_1x_0" localSheetId="41">'412'!$T$23</definedName>
    <definedName name="OSRRefT22_1x_0" localSheetId="42">'413'!$T$22</definedName>
    <definedName name="OSRRefT22_1x_0" localSheetId="43">'414'!$T$22</definedName>
    <definedName name="OSRRefT22_1x_0" localSheetId="44">'415'!$T$38:$T$47</definedName>
    <definedName name="OSRRefT22_1x_0" localSheetId="45">'418'!$T$34:$T$43</definedName>
    <definedName name="OSRRefT22_1x_0" localSheetId="46">'423'!$T$29:$T$38</definedName>
    <definedName name="OSRRefT22_1x_0" localSheetId="47">'424'!$T$23</definedName>
    <definedName name="OSRRefT22_1x_0" localSheetId="48">'425'!$T$24</definedName>
    <definedName name="OSRRefT22_1x_0" localSheetId="50">'430'!$T$30:$T$39</definedName>
    <definedName name="OSRRefT22_1x_0" localSheetId="51">'433'!$T$38:$T$47</definedName>
    <definedName name="OSRRefT22_1x_0" localSheetId="52">'435'!$T$26</definedName>
    <definedName name="OSRRefT22_1x_0" localSheetId="53">'444'!$T$38:$T$47</definedName>
    <definedName name="OSRRefT22_1x_0" localSheetId="54">'450'!$T$38:$T$47</definedName>
    <definedName name="OSRRefT22_1x_0" localSheetId="37">'491'!$T$39:$T$48</definedName>
    <definedName name="OSRRefT22_1x_0" localSheetId="49">'492'!$T$40:$T$49</definedName>
    <definedName name="OSRRefT22_1x_0" localSheetId="56">'501'!$T$32:$T$41</definedName>
    <definedName name="OSRRefT22_1x_0" localSheetId="5">'Div 2'!$T$32:$T$41</definedName>
    <definedName name="OSRRefT22_1x_0" localSheetId="13">'Div 3'!$T$71:$T$80</definedName>
    <definedName name="OSRRefT22_1x_0" localSheetId="35">'Div 4'!$T$42:$T$51</definedName>
    <definedName name="OSRRefT22_1x_0" localSheetId="55">'Div 5'!$T$32:$T$41</definedName>
    <definedName name="OSRRefT22_1x_0" localSheetId="27">'Div 6'!$T$46:$T$55</definedName>
    <definedName name="OSRRefT22_1x_0" localSheetId="2">Summary!$T$79:$T$88</definedName>
    <definedName name="OSRRefT22_20x_0" localSheetId="14">'300'!$T$125:$T$131</definedName>
    <definedName name="OSRRefT22_20x_0" localSheetId="15">'300 &amp; 317'!$T$131:$T$137</definedName>
    <definedName name="OSRRefT22_20x_0" localSheetId="16">'301'!$T$90</definedName>
    <definedName name="OSRRefT22_20x_0" localSheetId="36">'310 &amp; 491'!$T$107:$T$108</definedName>
    <definedName name="OSRRefT22_20x_0" localSheetId="22">'331'!$T$112</definedName>
    <definedName name="OSRRefT22_20x_0" localSheetId="20">'333'!$T$117</definedName>
    <definedName name="OSRRefT22_20x_0" localSheetId="37">'491'!$T$105:$T$106</definedName>
    <definedName name="OSRRefT22_20x_0" localSheetId="13">'Div 3'!$T$131:$T$132</definedName>
    <definedName name="OSRRefT22_20x_0" localSheetId="35">'Div 4'!$T$108:$T$109</definedName>
    <definedName name="OSRRefT22_20x_0" localSheetId="2">Summary!$T$137:$T$141</definedName>
    <definedName name="OSRRefT22_21x_0" localSheetId="14">'300'!$T$133:$T$134</definedName>
    <definedName name="OSRRefT22_21x_0" localSheetId="15">'300 &amp; 317'!$T$139:$T$140</definedName>
    <definedName name="OSRRefT22_21x_0" localSheetId="16">'301'!$T$92:$T$94</definedName>
    <definedName name="OSRRefT22_21x_0" localSheetId="36">'310 &amp; 491'!$T$110</definedName>
    <definedName name="OSRRefT22_21x_0" localSheetId="22">'331'!$T$114:$T$115</definedName>
    <definedName name="OSRRefT22_21x_0" localSheetId="20">'333'!$T$119:$T$120</definedName>
    <definedName name="OSRRefT22_21x_0" localSheetId="37">'491'!$T$108</definedName>
    <definedName name="OSRRefT22_21x_0" localSheetId="13">'Div 3'!$T$134:$T$140</definedName>
    <definedName name="OSRRefT22_21x_0" localSheetId="35">'Div 4'!$T$111</definedName>
    <definedName name="OSRRefT22_21x_0" localSheetId="2">Summary!$T$143:$T$144</definedName>
    <definedName name="OSRRefT22_22x_0" localSheetId="14">'300'!$T$136</definedName>
    <definedName name="OSRRefT22_22x_0" localSheetId="15">'300 &amp; 317'!$T$142</definedName>
    <definedName name="OSRRefT22_22x_0" localSheetId="16">'301'!$T$96</definedName>
    <definedName name="OSRRefT22_22x_0" localSheetId="22">'331'!$T$117</definedName>
    <definedName name="OSRRefT22_22x_0" localSheetId="20">'333'!$T$122</definedName>
    <definedName name="OSRRefT22_22x_0" localSheetId="13">'Div 3'!$T$142:$T$143</definedName>
    <definedName name="OSRRefT22_22x_0" localSheetId="35">'Div 4'!$T$113:$T$114</definedName>
    <definedName name="OSRRefT22_22x_0" localSheetId="2">Summary!$T$146:$T$155</definedName>
    <definedName name="OSRRefT22_23x_0" localSheetId="14">'300'!$T$138:$T$140</definedName>
    <definedName name="OSRRefT22_23x_0" localSheetId="15">'300 &amp; 317'!$T$144:$T$146</definedName>
    <definedName name="OSRRefT22_23x_0" localSheetId="13">'Div 3'!$T$145</definedName>
    <definedName name="OSRRefT22_23x_0" localSheetId="35">'Div 4'!$T$116</definedName>
    <definedName name="OSRRefT22_23x_0" localSheetId="2">Summary!$T$157:$T$158</definedName>
    <definedName name="OSRRefT22_24x_0" localSheetId="14">'300'!$T$142</definedName>
    <definedName name="OSRRefT22_24x_0" localSheetId="15">'300 &amp; 317'!$T$148</definedName>
    <definedName name="OSRRefT22_24x_0" localSheetId="13">'Div 3'!$T$147:$T$149</definedName>
    <definedName name="OSRRefT22_24x_0" localSheetId="2">Summary!$T$160</definedName>
    <definedName name="OSRRefT22_25x_0" localSheetId="13">'Div 3'!$T$151</definedName>
    <definedName name="OSRRefT22_25x_0" localSheetId="2">Summary!$T$162:$T$164</definedName>
    <definedName name="OSRRefT22_26x_0" localSheetId="2">Summary!$T$166</definedName>
    <definedName name="OSRRefT22_2x_0" localSheetId="6">'200'!$T$25</definedName>
    <definedName name="OSRRefT22_2x_0" localSheetId="7">'201'!$T$41</definedName>
    <definedName name="OSRRefT22_2x_0" localSheetId="8">'202'!$T$41</definedName>
    <definedName name="OSRRefT22_2x_0" localSheetId="9">'203'!$T$42</definedName>
    <definedName name="OSRRefT22_2x_0" localSheetId="10">'204'!$T$42</definedName>
    <definedName name="OSRRefT22_2x_0" localSheetId="11">'205'!$T$41</definedName>
    <definedName name="OSRRefT22_2x_0" localSheetId="12">'206'!$T$41</definedName>
    <definedName name="OSRRefT22_2x_0" localSheetId="14">'300'!$T$76</definedName>
    <definedName name="OSRRefT22_2x_0" localSheetId="15">'300 &amp; 317'!$T$82</definedName>
    <definedName name="OSRRefT22_2x_0" localSheetId="16">'301'!$T$43</definedName>
    <definedName name="OSRRefT22_2x_0" localSheetId="21">'307'!$T$55</definedName>
    <definedName name="OSRRefT22_2x_0" localSheetId="17">'308'!$T$57</definedName>
    <definedName name="OSRRefT22_2x_0" localSheetId="31">'309'!$T$32</definedName>
    <definedName name="OSRRefT22_2x_0" localSheetId="30">'310'!$T$51</definedName>
    <definedName name="OSRRefT22_2x_0" localSheetId="36">'310 &amp; 491'!$T$51</definedName>
    <definedName name="OSRRefT22_2x_0" localSheetId="18">'311'!$T$57</definedName>
    <definedName name="OSRRefT22_2x_0" localSheetId="23">'315'!$T$65</definedName>
    <definedName name="OSRRefT22_2x_0" localSheetId="26">'316'!$T$48</definedName>
    <definedName name="OSRRefT22_2x_0" localSheetId="28">'317'!$T$57</definedName>
    <definedName name="OSRRefT22_2x_0" localSheetId="32">'321'!$T$46</definedName>
    <definedName name="OSRRefT22_2x_0" localSheetId="33">'325'!$T$46</definedName>
    <definedName name="OSRRefT22_2x_0" localSheetId="24">'326'!$T$49</definedName>
    <definedName name="OSRRefT22_2x_0" localSheetId="22">'331'!$T$65</definedName>
    <definedName name="OSRRefT22_2x_0" localSheetId="25">'332'!$T$48</definedName>
    <definedName name="OSRRefT22_2x_0" localSheetId="20">'333'!$T$67</definedName>
    <definedName name="OSRRefT22_2x_0" localSheetId="38">'405'!$T$48</definedName>
    <definedName name="OSRRefT22_2x_0" localSheetId="40">'411'!$T$41</definedName>
    <definedName name="OSRRefT22_2x_0" localSheetId="41">'412'!$T$25</definedName>
    <definedName name="OSRRefT22_2x_0" localSheetId="42">'413'!$T$24</definedName>
    <definedName name="OSRRefT22_2x_0" localSheetId="43">'414'!$T$24</definedName>
    <definedName name="OSRRefT22_2x_0" localSheetId="44">'415'!$T$49</definedName>
    <definedName name="OSRRefT22_2x_0" localSheetId="45">'418'!$T$45</definedName>
    <definedName name="OSRRefT22_2x_0" localSheetId="46">'423'!$T$40</definedName>
    <definedName name="OSRRefT22_2x_0" localSheetId="47">'424'!$T$25</definedName>
    <definedName name="OSRRefT22_2x_0" localSheetId="48">'425'!$T$26</definedName>
    <definedName name="OSRRefT22_2x_0" localSheetId="50">'430'!$T$41</definedName>
    <definedName name="OSRRefT22_2x_0" localSheetId="51">'433'!$T$49</definedName>
    <definedName name="OSRRefT22_2x_0" localSheetId="52">'435'!$T$28</definedName>
    <definedName name="OSRRefT22_2x_0" localSheetId="53">'444'!$T$49</definedName>
    <definedName name="OSRRefT22_2x_0" localSheetId="54">'450'!$T$49</definedName>
    <definedName name="OSRRefT22_2x_0" localSheetId="37">'491'!$T$50</definedName>
    <definedName name="OSRRefT22_2x_0" localSheetId="49">'492'!$T$51</definedName>
    <definedName name="OSRRefT22_2x_0" localSheetId="56">'501'!$T$43</definedName>
    <definedName name="OSRRefT22_2x_0" localSheetId="5">'Div 2'!$T$43</definedName>
    <definedName name="OSRRefT22_2x_0" localSheetId="13">'Div 3'!$T$82</definedName>
    <definedName name="OSRRefT22_2x_0" localSheetId="35">'Div 4'!$T$53</definedName>
    <definedName name="OSRRefT22_2x_0" localSheetId="55">'Div 5'!$T$43</definedName>
    <definedName name="OSRRefT22_2x_0" localSheetId="27">'Div 6'!$T$57</definedName>
    <definedName name="OSRRefT22_2x_0" localSheetId="2">Summary!$T$90</definedName>
    <definedName name="OSRRefT22_3x_0" localSheetId="6">'200'!$T$27:$T$28</definedName>
    <definedName name="OSRRefT22_3x_0" localSheetId="7">'201'!$T$43</definedName>
    <definedName name="OSRRefT22_3x_0" localSheetId="8">'202'!$T$43</definedName>
    <definedName name="OSRRefT22_3x_0" localSheetId="9">'203'!$T$44</definedName>
    <definedName name="OSRRefT22_3x_0" localSheetId="10">'204'!$T$44:$T$45</definedName>
    <definedName name="OSRRefT22_3x_0" localSheetId="11">'205'!$T$43</definedName>
    <definedName name="OSRRefT22_3x_0" localSheetId="12">'206'!$T$43</definedName>
    <definedName name="OSRRefT22_3x_0" localSheetId="14">'300'!$T$78</definedName>
    <definedName name="OSRRefT22_3x_0" localSheetId="15">'300 &amp; 317'!$T$84</definedName>
    <definedName name="OSRRefT22_3x_0" localSheetId="16">'301'!$T$45</definedName>
    <definedName name="OSRRefT22_3x_0" localSheetId="21">'307'!$T$57</definedName>
    <definedName name="OSRRefT22_3x_0" localSheetId="17">'308'!$T$59</definedName>
    <definedName name="OSRRefT22_3x_0" localSheetId="31">'309'!$T$34</definedName>
    <definedName name="OSRRefT22_3x_0" localSheetId="30">'310'!$T$53</definedName>
    <definedName name="OSRRefT22_3x_0" localSheetId="36">'310 &amp; 491'!$T$53</definedName>
    <definedName name="OSRRefT22_3x_0" localSheetId="18">'311'!$T$59</definedName>
    <definedName name="OSRRefT22_3x_0" localSheetId="23">'315'!$T$67</definedName>
    <definedName name="OSRRefT22_3x_0" localSheetId="26">'316'!$T$50</definedName>
    <definedName name="OSRRefT22_3x_0" localSheetId="28">'317'!$T$59</definedName>
    <definedName name="OSRRefT22_3x_0" localSheetId="32">'321'!$T$48</definedName>
    <definedName name="OSRRefT22_3x_0" localSheetId="33">'325'!$T$48</definedName>
    <definedName name="OSRRefT22_3x_0" localSheetId="24">'326'!$T$51</definedName>
    <definedName name="OSRRefT22_3x_0" localSheetId="22">'331'!$T$67</definedName>
    <definedName name="OSRRefT22_3x_0" localSheetId="25">'332'!$T$50</definedName>
    <definedName name="OSRRefT22_3x_0" localSheetId="20">'333'!$T$69</definedName>
    <definedName name="OSRRefT22_3x_0" localSheetId="38">'405'!$T$50</definedName>
    <definedName name="OSRRefT22_3x_0" localSheetId="40">'411'!$T$43:$T$44</definedName>
    <definedName name="OSRRefT22_3x_0" localSheetId="41">'412'!$T$27</definedName>
    <definedName name="OSRRefT22_3x_0" localSheetId="44">'415'!$T$51</definedName>
    <definedName name="OSRRefT22_3x_0" localSheetId="45">'418'!$T$47</definedName>
    <definedName name="OSRRefT22_3x_0" localSheetId="46">'423'!$T$42</definedName>
    <definedName name="OSRRefT22_3x_0" localSheetId="48">'425'!$T$28</definedName>
    <definedName name="OSRRefT22_3x_0" localSheetId="50">'430'!$T$43</definedName>
    <definedName name="OSRRefT22_3x_0" localSheetId="51">'433'!$T$51</definedName>
    <definedName name="OSRRefT22_3x_0" localSheetId="52">'435'!$T$30</definedName>
    <definedName name="OSRRefT22_3x_0" localSheetId="53">'444'!$T$51</definedName>
    <definedName name="OSRRefT22_3x_0" localSheetId="54">'450'!$T$51</definedName>
    <definedName name="OSRRefT22_3x_0" localSheetId="37">'491'!$T$52</definedName>
    <definedName name="OSRRefT22_3x_0" localSheetId="49">'492'!$T$53</definedName>
    <definedName name="OSRRefT22_3x_0" localSheetId="56">'501'!$T$45</definedName>
    <definedName name="OSRRefT22_3x_0" localSheetId="5">'Div 2'!$T$45</definedName>
    <definedName name="OSRRefT22_3x_0" localSheetId="13">'Div 3'!$T$84</definedName>
    <definedName name="OSRRefT22_3x_0" localSheetId="35">'Div 4'!$T$55</definedName>
    <definedName name="OSRRefT22_3x_0" localSheetId="55">'Div 5'!$T$45</definedName>
    <definedName name="OSRRefT22_3x_0" localSheetId="27">'Div 6'!$T$59</definedName>
    <definedName name="OSRRefT22_3x_0" localSheetId="2">Summary!$T$92</definedName>
    <definedName name="OSRRefT22_4x_0" localSheetId="7">'201'!$T$45</definedName>
    <definedName name="OSRRefT22_4x_0" localSheetId="8">'202'!$T$45</definedName>
    <definedName name="OSRRefT22_4x_0" localSheetId="9">'203'!$T$46</definedName>
    <definedName name="OSRRefT22_4x_0" localSheetId="10">'204'!$T$47</definedName>
    <definedName name="OSRRefT22_4x_0" localSheetId="11">'205'!$T$45:$T$47</definedName>
    <definedName name="OSRRefT22_4x_0" localSheetId="12">'206'!$T$45:$T$46</definedName>
    <definedName name="OSRRefT22_4x_0" localSheetId="14">'300'!$T$80</definedName>
    <definedName name="OSRRefT22_4x_0" localSheetId="15">'300 &amp; 317'!$T$86</definedName>
    <definedName name="OSRRefT22_4x_0" localSheetId="16">'301'!$T$47</definedName>
    <definedName name="OSRRefT22_4x_0" localSheetId="21">'307'!$T$59</definedName>
    <definedName name="OSRRefT22_4x_0" localSheetId="17">'308'!$T$61</definedName>
    <definedName name="OSRRefT22_4x_0" localSheetId="31">'309'!$T$36</definedName>
    <definedName name="OSRRefT22_4x_0" localSheetId="30">'310'!$T$55</definedName>
    <definedName name="OSRRefT22_4x_0" localSheetId="36">'310 &amp; 491'!$T$55</definedName>
    <definedName name="OSRRefT22_4x_0" localSheetId="18">'311'!$T$61</definedName>
    <definedName name="OSRRefT22_4x_0" localSheetId="23">'315'!$T$69</definedName>
    <definedName name="OSRRefT22_4x_0" localSheetId="26">'316'!$T$52</definedName>
    <definedName name="OSRRefT22_4x_0" localSheetId="28">'317'!$T$61</definedName>
    <definedName name="OSRRefT22_4x_0" localSheetId="32">'321'!$T$50</definedName>
    <definedName name="OSRRefT22_4x_0" localSheetId="33">'325'!$T$50</definedName>
    <definedName name="OSRRefT22_4x_0" localSheetId="24">'326'!$T$53</definedName>
    <definedName name="OSRRefT22_4x_0" localSheetId="22">'331'!$T$69</definedName>
    <definedName name="OSRRefT22_4x_0" localSheetId="25">'332'!$T$52</definedName>
    <definedName name="OSRRefT22_4x_0" localSheetId="20">'333'!$T$71</definedName>
    <definedName name="OSRRefT22_4x_0" localSheetId="38">'405'!$T$52</definedName>
    <definedName name="OSRRefT22_4x_0" localSheetId="40">'411'!$T$46</definedName>
    <definedName name="OSRRefT22_4x_0" localSheetId="41">'412'!$T$29</definedName>
    <definedName name="OSRRefT22_4x_0" localSheetId="44">'415'!$T$53</definedName>
    <definedName name="OSRRefT22_4x_0" localSheetId="45">'418'!$T$49:$T$50</definedName>
    <definedName name="OSRRefT22_4x_0" localSheetId="46">'423'!$T$44</definedName>
    <definedName name="OSRRefT22_4x_0" localSheetId="48">'425'!$T$30</definedName>
    <definedName name="OSRRefT22_4x_0" localSheetId="50">'430'!$T$45</definedName>
    <definedName name="OSRRefT22_4x_0" localSheetId="51">'433'!$T$53</definedName>
    <definedName name="OSRRefT22_4x_0" localSheetId="52">'435'!$T$32</definedName>
    <definedName name="OSRRefT22_4x_0" localSheetId="53">'444'!$T$53</definedName>
    <definedName name="OSRRefT22_4x_0" localSheetId="54">'450'!$T$53</definedName>
    <definedName name="OSRRefT22_4x_0" localSheetId="37">'491'!$T$54</definedName>
    <definedName name="OSRRefT22_4x_0" localSheetId="49">'492'!$T$55</definedName>
    <definedName name="OSRRefT22_4x_0" localSheetId="56">'501'!$T$47</definedName>
    <definedName name="OSRRefT22_4x_0" localSheetId="5">'Div 2'!$T$47</definedName>
    <definedName name="OSRRefT22_4x_0" localSheetId="13">'Div 3'!$T$86</definedName>
    <definedName name="OSRRefT22_4x_0" localSheetId="35">'Div 4'!$T$57</definedName>
    <definedName name="OSRRefT22_4x_0" localSheetId="55">'Div 5'!$T$47</definedName>
    <definedName name="OSRRefT22_4x_0" localSheetId="27">'Div 6'!$T$61</definedName>
    <definedName name="OSRRefT22_4x_0" localSheetId="2">Summary!$T$94</definedName>
    <definedName name="OSRRefT22_5x_0" localSheetId="7">'201'!$T$47</definedName>
    <definedName name="OSRRefT22_5x_0" localSheetId="8">'202'!$T$47</definedName>
    <definedName name="OSRRefT22_5x_0" localSheetId="9">'203'!$T$48</definedName>
    <definedName name="OSRRefT22_5x_0" localSheetId="10">'204'!$T$49:$T$52</definedName>
    <definedName name="OSRRefT22_5x_0" localSheetId="11">'205'!$T$49</definedName>
    <definedName name="OSRRefT22_5x_0" localSheetId="12">'206'!$T$48</definedName>
    <definedName name="OSRRefT22_5x_0" localSheetId="14">'300'!$T$82:$T$83</definedName>
    <definedName name="OSRRefT22_5x_0" localSheetId="15">'300 &amp; 317'!$T$88:$T$89</definedName>
    <definedName name="OSRRefT22_5x_0" localSheetId="16">'301'!$T$49:$T$50</definedName>
    <definedName name="OSRRefT22_5x_0" localSheetId="21">'307'!$T$61:$T$62</definedName>
    <definedName name="OSRRefT22_5x_0" localSheetId="17">'308'!$T$63</definedName>
    <definedName name="OSRRefT22_5x_0" localSheetId="31">'309'!$T$38</definedName>
    <definedName name="OSRRefT22_5x_0" localSheetId="30">'310'!$T$57:$T$58</definedName>
    <definedName name="OSRRefT22_5x_0" localSheetId="36">'310 &amp; 491'!$T$57:$T$58</definedName>
    <definedName name="OSRRefT22_5x_0" localSheetId="18">'311'!$T$63</definedName>
    <definedName name="OSRRefT22_5x_0" localSheetId="23">'315'!$T$71</definedName>
    <definedName name="OSRRefT22_5x_0" localSheetId="26">'316'!$T$54:$T$55</definedName>
    <definedName name="OSRRefT22_5x_0" localSheetId="28">'317'!$T$63</definedName>
    <definedName name="OSRRefT22_5x_0" localSheetId="32">'321'!$T$52</definedName>
    <definedName name="OSRRefT22_5x_0" localSheetId="33">'325'!$T$52:$T$53</definedName>
    <definedName name="OSRRefT22_5x_0" localSheetId="24">'326'!$T$55</definedName>
    <definedName name="OSRRefT22_5x_0" localSheetId="22">'331'!$T$71</definedName>
    <definedName name="OSRRefT22_5x_0" localSheetId="25">'332'!$T$54:$T$55</definedName>
    <definedName name="OSRRefT22_5x_0" localSheetId="20">'333'!$T$73:$T$74</definedName>
    <definedName name="OSRRefT22_5x_0" localSheetId="38">'405'!$T$54:$T$55</definedName>
    <definedName name="OSRRefT22_5x_0" localSheetId="40">'411'!$T$48</definedName>
    <definedName name="OSRRefT22_5x_0" localSheetId="44">'415'!$T$55:$T$56</definedName>
    <definedName name="OSRRefT22_5x_0" localSheetId="45">'418'!$T$52</definedName>
    <definedName name="OSRRefT22_5x_0" localSheetId="46">'423'!$T$46</definedName>
    <definedName name="OSRRefT22_5x_0" localSheetId="48">'425'!$T$32:$T$34</definedName>
    <definedName name="OSRRefT22_5x_0" localSheetId="50">'430'!$T$47:$T$49</definedName>
    <definedName name="OSRRefT22_5x_0" localSheetId="51">'433'!$T$55</definedName>
    <definedName name="OSRRefT22_5x_0" localSheetId="53">'444'!$T$55</definedName>
    <definedName name="OSRRefT22_5x_0" localSheetId="54">'450'!$T$55</definedName>
    <definedName name="OSRRefT22_5x_0" localSheetId="37">'491'!$T$56:$T$57</definedName>
    <definedName name="OSRRefT22_5x_0" localSheetId="49">'492'!$T$57</definedName>
    <definedName name="OSRRefT22_5x_0" localSheetId="56">'501'!$T$49:$T$50</definedName>
    <definedName name="OSRRefT22_5x_0" localSheetId="5">'Div 2'!$T$49:$T$50</definedName>
    <definedName name="OSRRefT22_5x_0" localSheetId="13">'Div 3'!$T$88:$T$89</definedName>
    <definedName name="OSRRefT22_5x_0" localSheetId="35">'Div 4'!$T$59:$T$60</definedName>
    <definedName name="OSRRefT22_5x_0" localSheetId="55">'Div 5'!$T$49:$T$50</definedName>
    <definedName name="OSRRefT22_5x_0" localSheetId="27">'Div 6'!$T$63</definedName>
    <definedName name="OSRRefT22_5x_0" localSheetId="2">Summary!$T$96:$T$97</definedName>
    <definedName name="OSRRefT22_6x_0" localSheetId="7">'201'!$T$49</definedName>
    <definedName name="OSRRefT22_6x_0" localSheetId="8">'202'!$T$49</definedName>
    <definedName name="OSRRefT22_6x_0" localSheetId="9">'203'!$T$50</definedName>
    <definedName name="OSRRefT22_6x_0" localSheetId="10">'204'!$T$54:$T$55</definedName>
    <definedName name="OSRRefT22_6x_0" localSheetId="11">'205'!$T$51:$T$53</definedName>
    <definedName name="OSRRefT22_6x_0" localSheetId="12">'206'!$T$50:$T$51</definedName>
    <definedName name="OSRRefT22_6x_0" localSheetId="14">'300'!$T$85:$T$86</definedName>
    <definedName name="OSRRefT22_6x_0" localSheetId="15">'300 &amp; 317'!$T$91:$T$92</definedName>
    <definedName name="OSRRefT22_6x_0" localSheetId="16">'301'!$T$52:$T$53</definedName>
    <definedName name="OSRRefT22_6x_0" localSheetId="21">'307'!$T$64</definedName>
    <definedName name="OSRRefT22_6x_0" localSheetId="17">'308'!$T$65:$T$66</definedName>
    <definedName name="OSRRefT22_6x_0" localSheetId="31">'309'!$T$40</definedName>
    <definedName name="OSRRefT22_6x_0" localSheetId="30">'310'!$T$60</definedName>
    <definedName name="OSRRefT22_6x_0" localSheetId="36">'310 &amp; 491'!$T$60</definedName>
    <definedName name="OSRRefT22_6x_0" localSheetId="18">'311'!$T$65:$T$66</definedName>
    <definedName name="OSRRefT22_6x_0" localSheetId="23">'315'!$T$73</definedName>
    <definedName name="OSRRefT22_6x_0" localSheetId="26">'316'!$T$57</definedName>
    <definedName name="OSRRefT22_6x_0" localSheetId="28">'317'!$T$65</definedName>
    <definedName name="OSRRefT22_6x_0" localSheetId="32">'321'!$T$54</definedName>
    <definedName name="OSRRefT22_6x_0" localSheetId="33">'325'!$T$55</definedName>
    <definedName name="OSRRefT22_6x_0" localSheetId="24">'326'!$T$57:$T$58</definedName>
    <definedName name="OSRRefT22_6x_0" localSheetId="22">'331'!$T$73</definedName>
    <definedName name="OSRRefT22_6x_0" localSheetId="25">'332'!$T$57</definedName>
    <definedName name="OSRRefT22_6x_0" localSheetId="20">'333'!$T$76</definedName>
    <definedName name="OSRRefT22_6x_0" localSheetId="38">'405'!$T$57</definedName>
    <definedName name="OSRRefT22_6x_0" localSheetId="40">'411'!$T$50</definedName>
    <definedName name="OSRRefT22_6x_0" localSheetId="44">'415'!$T$58</definedName>
    <definedName name="OSRRefT22_6x_0" localSheetId="45">'418'!$T$54</definedName>
    <definedName name="OSRRefT22_6x_0" localSheetId="50">'430'!$T$51:$T$52</definedName>
    <definedName name="OSRRefT22_6x_0" localSheetId="51">'433'!$T$57</definedName>
    <definedName name="OSRRefT22_6x_0" localSheetId="53">'444'!$T$57</definedName>
    <definedName name="OSRRefT22_6x_0" localSheetId="54">'450'!$T$57</definedName>
    <definedName name="OSRRefT22_6x_0" localSheetId="37">'491'!$T$59</definedName>
    <definedName name="OSRRefT22_6x_0" localSheetId="49">'492'!$T$59</definedName>
    <definedName name="OSRRefT22_6x_0" localSheetId="56">'501'!$T$52</definedName>
    <definedName name="OSRRefT22_6x_0" localSheetId="5">'Div 2'!$T$52</definedName>
    <definedName name="OSRRefT22_6x_0" localSheetId="13">'Div 3'!$T$91:$T$92</definedName>
    <definedName name="OSRRefT22_6x_0" localSheetId="35">'Div 4'!$T$62</definedName>
    <definedName name="OSRRefT22_6x_0" localSheetId="55">'Div 5'!$T$52</definedName>
    <definedName name="OSRRefT22_6x_0" localSheetId="27">'Div 6'!$T$65</definedName>
    <definedName name="OSRRefT22_6x_0" localSheetId="2">Summary!$T$99:$T$100</definedName>
    <definedName name="OSRRefT22_7x_0" localSheetId="7">'201'!$T$51</definedName>
    <definedName name="OSRRefT22_7x_0" localSheetId="8">'202'!$T$51</definedName>
    <definedName name="OSRRefT22_7x_0" localSheetId="9">'203'!$T$52</definedName>
    <definedName name="OSRRefT22_7x_0" localSheetId="10">'204'!$T$57</definedName>
    <definedName name="OSRRefT22_7x_0" localSheetId="11">'205'!$T$55</definedName>
    <definedName name="OSRRefT22_7x_0" localSheetId="12">'206'!$T$53</definedName>
    <definedName name="OSRRefT22_7x_0" localSheetId="14">'300'!$T$88</definedName>
    <definedName name="OSRRefT22_7x_0" localSheetId="15">'300 &amp; 317'!$T$94</definedName>
    <definedName name="OSRRefT22_7x_0" localSheetId="16">'301'!$T$55</definedName>
    <definedName name="OSRRefT22_7x_0" localSheetId="21">'307'!$T$66</definedName>
    <definedName name="OSRRefT22_7x_0" localSheetId="17">'308'!$T$68</definedName>
    <definedName name="OSRRefT22_7x_0" localSheetId="31">'309'!$T$42</definedName>
    <definedName name="OSRRefT22_7x_0" localSheetId="30">'310'!$T$62</definedName>
    <definedName name="OSRRefT22_7x_0" localSheetId="36">'310 &amp; 491'!$T$62</definedName>
    <definedName name="OSRRefT22_7x_0" localSheetId="18">'311'!$T$68</definedName>
    <definedName name="OSRRefT22_7x_0" localSheetId="23">'315'!$T$75</definedName>
    <definedName name="OSRRefT22_7x_0" localSheetId="26">'316'!$T$59</definedName>
    <definedName name="OSRRefT22_7x_0" localSheetId="28">'317'!$T$67</definedName>
    <definedName name="OSRRefT22_7x_0" localSheetId="32">'321'!$T$56:$T$57</definedName>
    <definedName name="OSRRefT22_7x_0" localSheetId="33">'325'!$T$57</definedName>
    <definedName name="OSRRefT22_7x_0" localSheetId="24">'326'!$T$60</definedName>
    <definedName name="OSRRefT22_7x_0" localSheetId="22">'331'!$T$75</definedName>
    <definedName name="OSRRefT22_7x_0" localSheetId="25">'332'!$T$59</definedName>
    <definedName name="OSRRefT22_7x_0" localSheetId="20">'333'!$T$78</definedName>
    <definedName name="OSRRefT22_7x_0" localSheetId="38">'405'!$T$59</definedName>
    <definedName name="OSRRefT22_7x_0" localSheetId="40">'411'!$T$52</definedName>
    <definedName name="OSRRefT22_7x_0" localSheetId="44">'415'!$T$60</definedName>
    <definedName name="OSRRefT22_7x_0" localSheetId="45">'418'!$T$56:$T$57</definedName>
    <definedName name="OSRRefT22_7x_0" localSheetId="50">'430'!$T$54</definedName>
    <definedName name="OSRRefT22_7x_0" localSheetId="51">'433'!$T$59</definedName>
    <definedName name="OSRRefT22_7x_0" localSheetId="53">'444'!$T$59</definedName>
    <definedName name="OSRRefT22_7x_0" localSheetId="54">'450'!$T$59</definedName>
    <definedName name="OSRRefT22_7x_0" localSheetId="37">'491'!$T$61</definedName>
    <definedName name="OSRRefT22_7x_0" localSheetId="49">'492'!$T$61</definedName>
    <definedName name="OSRRefT22_7x_0" localSheetId="56">'501'!$T$54</definedName>
    <definedName name="OSRRefT22_7x_0" localSheetId="5">'Div 2'!$T$54</definedName>
    <definedName name="OSRRefT22_7x_0" localSheetId="13">'Div 3'!$T$94</definedName>
    <definedName name="OSRRefT22_7x_0" localSheetId="35">'Div 4'!$T$64</definedName>
    <definedName name="OSRRefT22_7x_0" localSheetId="55">'Div 5'!$T$54</definedName>
    <definedName name="OSRRefT22_7x_0" localSheetId="27">'Div 6'!$T$67</definedName>
    <definedName name="OSRRefT22_7x_0" localSheetId="2">Summary!$T$102</definedName>
    <definedName name="OSRRefT22_8x_0" localSheetId="7">'201'!$T$53</definedName>
    <definedName name="OSRRefT22_8x_0" localSheetId="8">'202'!$T$53:$T$55</definedName>
    <definedName name="OSRRefT22_8x_0" localSheetId="9">'203'!$T$54:$T$56</definedName>
    <definedName name="OSRRefT22_8x_0" localSheetId="10">'204'!$T$59:$T$60</definedName>
    <definedName name="OSRRefT22_8x_0" localSheetId="14">'300'!$T$90</definedName>
    <definedName name="OSRRefT22_8x_0" localSheetId="15">'300 &amp; 317'!$T$96</definedName>
    <definedName name="OSRRefT22_8x_0" localSheetId="16">'301'!$T$57</definedName>
    <definedName name="OSRRefT22_8x_0" localSheetId="21">'307'!$T$68</definedName>
    <definedName name="OSRRefT22_8x_0" localSheetId="17">'308'!$T$70</definedName>
    <definedName name="OSRRefT22_8x_0" localSheetId="31">'309'!$T$44:$T$45</definedName>
    <definedName name="OSRRefT22_8x_0" localSheetId="30">'310'!$T$64</definedName>
    <definedName name="OSRRefT22_8x_0" localSheetId="36">'310 &amp; 491'!$T$64:$T$65</definedName>
    <definedName name="OSRRefT22_8x_0" localSheetId="18">'311'!$T$70</definedName>
    <definedName name="OSRRefT22_8x_0" localSheetId="23">'315'!$T$77:$T$78</definedName>
    <definedName name="OSRRefT22_8x_0" localSheetId="26">'316'!$T$61:$T$63</definedName>
    <definedName name="OSRRefT22_8x_0" localSheetId="28">'317'!$T$69</definedName>
    <definedName name="OSRRefT22_8x_0" localSheetId="32">'321'!$T$59:$T$60</definedName>
    <definedName name="OSRRefT22_8x_0" localSheetId="33">'325'!$T$59</definedName>
    <definedName name="OSRRefT22_8x_0" localSheetId="24">'326'!$T$62</definedName>
    <definedName name="OSRRefT22_8x_0" localSheetId="22">'331'!$T$77:$T$78</definedName>
    <definedName name="OSRRefT22_8x_0" localSheetId="25">'332'!$T$61:$T$63</definedName>
    <definedName name="OSRRefT22_8x_0" localSheetId="20">'333'!$T$80:$T$81</definedName>
    <definedName name="OSRRefT22_8x_0" localSheetId="38">'405'!$T$61</definedName>
    <definedName name="OSRRefT22_8x_0" localSheetId="40">'411'!$T$54</definedName>
    <definedName name="OSRRefT22_8x_0" localSheetId="44">'415'!$T$62</definedName>
    <definedName name="OSRRefT22_8x_0" localSheetId="45">'418'!$T$59:$T$60</definedName>
    <definedName name="OSRRefT22_8x_0" localSheetId="50">'430'!$T$56</definedName>
    <definedName name="OSRRefT22_8x_0" localSheetId="51">'433'!$T$61</definedName>
    <definedName name="OSRRefT22_8x_0" localSheetId="53">'444'!$T$61</definedName>
    <definedName name="OSRRefT22_8x_0" localSheetId="54">'450'!$T$61</definedName>
    <definedName name="OSRRefT22_8x_0" localSheetId="37">'491'!$T$63:$T$64</definedName>
    <definedName name="OSRRefT22_8x_0" localSheetId="49">'492'!$T$63</definedName>
    <definedName name="OSRRefT22_8x_0" localSheetId="56">'501'!$T$56</definedName>
    <definedName name="OSRRefT22_8x_0" localSheetId="5">'Div 2'!$T$56</definedName>
    <definedName name="OSRRefT22_8x_0" localSheetId="13">'Div 3'!$T$96</definedName>
    <definedName name="OSRRefT22_8x_0" localSheetId="35">'Div 4'!$T$66</definedName>
    <definedName name="OSRRefT22_8x_0" localSheetId="55">'Div 5'!$T$56</definedName>
    <definedName name="OSRRefT22_8x_0" localSheetId="27">'Div 6'!$T$69</definedName>
    <definedName name="OSRRefT22_8x_0" localSheetId="2">Summary!$T$104</definedName>
    <definedName name="OSRRefT22_9x_0" localSheetId="7">'201'!$T$55</definedName>
    <definedName name="OSRRefT22_9x_0" localSheetId="8">'202'!$T$57</definedName>
    <definedName name="OSRRefT22_9x_0" localSheetId="9">'203'!$T$58:$T$59</definedName>
    <definedName name="OSRRefT22_9x_0" localSheetId="10">'204'!$T$62</definedName>
    <definedName name="OSRRefT22_9x_0" localSheetId="14">'300'!$T$92</definedName>
    <definedName name="OSRRefT22_9x_0" localSheetId="15">'300 &amp; 317'!$T$98</definedName>
    <definedName name="OSRRefT22_9x_0" localSheetId="16">'301'!$T$59</definedName>
    <definedName name="OSRRefT22_9x_0" localSheetId="21">'307'!$T$70:$T$71</definedName>
    <definedName name="OSRRefT22_9x_0" localSheetId="17">'308'!$T$72:$T$74</definedName>
    <definedName name="OSRRefT22_9x_0" localSheetId="31">'309'!$T$47:$T$48</definedName>
    <definedName name="OSRRefT22_9x_0" localSheetId="30">'310'!$T$66</definedName>
    <definedName name="OSRRefT22_9x_0" localSheetId="36">'310 &amp; 491'!$T$67</definedName>
    <definedName name="OSRRefT22_9x_0" localSheetId="18">'311'!$T$72:$T$74</definedName>
    <definedName name="OSRRefT22_9x_0" localSheetId="23">'315'!$T$80</definedName>
    <definedName name="OSRRefT22_9x_0" localSheetId="26">'316'!$T$65</definedName>
    <definedName name="OSRRefT22_9x_0" localSheetId="28">'317'!$T$71:$T$72</definedName>
    <definedName name="OSRRefT22_9x_0" localSheetId="32">'321'!$T$62:$T$64</definedName>
    <definedName name="OSRRefT22_9x_0" localSheetId="33">'325'!$T$61</definedName>
    <definedName name="OSRRefT22_9x_0" localSheetId="24">'326'!$T$64</definedName>
    <definedName name="OSRRefT22_9x_0" localSheetId="22">'331'!$T$80:$T$81</definedName>
    <definedName name="OSRRefT22_9x_0" localSheetId="25">'332'!$T$65</definedName>
    <definedName name="OSRRefT22_9x_0" localSheetId="20">'333'!$T$83:$T$84</definedName>
    <definedName name="OSRRefT22_9x_0" localSheetId="38">'405'!$T$63:$T$64</definedName>
    <definedName name="OSRRefT22_9x_0" localSheetId="40">'411'!$T$56:$T$59</definedName>
    <definedName name="OSRRefT22_9x_0" localSheetId="44">'415'!$T$64</definedName>
    <definedName name="OSRRefT22_9x_0" localSheetId="45">'418'!$T$62:$T$65</definedName>
    <definedName name="OSRRefT22_9x_0" localSheetId="51">'433'!$T$63</definedName>
    <definedName name="OSRRefT22_9x_0" localSheetId="53">'444'!$T$63</definedName>
    <definedName name="OSRRefT22_9x_0" localSheetId="54">'450'!$T$63</definedName>
    <definedName name="OSRRefT22_9x_0" localSheetId="37">'491'!$T$66</definedName>
    <definedName name="OSRRefT22_9x_0" localSheetId="49">'492'!$T$65</definedName>
    <definedName name="OSRRefT22_9x_0" localSheetId="56">'501'!$T$58:$T$60</definedName>
    <definedName name="OSRRefT22_9x_0" localSheetId="5">'Div 2'!$T$58</definedName>
    <definedName name="OSRRefT22_9x_0" localSheetId="13">'Div 3'!$T$98</definedName>
    <definedName name="OSRRefT22_9x_0" localSheetId="35">'Div 4'!$T$68:$T$69</definedName>
    <definedName name="OSRRefT22_9x_0" localSheetId="55">'Div 5'!$T$58:$T$60</definedName>
    <definedName name="OSRRefT22_9x_0" localSheetId="27">'Div 6'!$T$71:$T$72</definedName>
    <definedName name="OSRRefT22_9x_0" localSheetId="2">Summary!$T$106</definedName>
    <definedName name="OSRRefT22x_0" localSheetId="6">'200'!$T$20:$T$21,'200'!$T$23,'200'!$T$25,'200'!$T$27:$T$28</definedName>
    <definedName name="OSRRefT22x_0" localSheetId="7">'201'!$T$20:$T$28,'201'!$T$30:$T$39,'201'!$T$41,'201'!$T$43,'201'!$T$45,'201'!$T$47,'201'!$T$49,'201'!$T$51,'201'!$T$53,'201'!$T$55,'201'!$T$57:$T$59,'201'!$T$61:$T$62,'201'!$T$64,'201'!$T$66:$T$67,'201'!$T$69,'201'!$T$71,'201'!$T$73</definedName>
    <definedName name="OSRRefT22x_0" localSheetId="8">'202'!$T$20:$T$28,'202'!$T$30:$T$39,'202'!$T$41,'202'!$T$43,'202'!$T$45,'202'!$T$47,'202'!$T$49,'202'!$T$51,'202'!$T$53:$T$55,'202'!$T$57,'202'!$T$59:$T$60,'202'!$T$62,'202'!$T$64,'202'!$T$66</definedName>
    <definedName name="OSRRefT22x_0" localSheetId="9">'203'!$T$20:$T$29,'203'!$T$31:$T$40,'203'!$T$42,'203'!$T$44,'203'!$T$46,'203'!$T$48,'203'!$T$50,'203'!$T$52,'203'!$T$54:$T$56,'203'!$T$58:$T$59,'203'!$T$61:$T$62,'203'!$T$64:$T$67,'203'!$T$69,'203'!$T$71,'203'!$T$73</definedName>
    <definedName name="OSRRefT22x_0" localSheetId="10">'204'!$T$20:$T$29,'204'!$T$31:$T$40,'204'!$T$42,'204'!$T$44:$T$45,'204'!$T$47,'204'!$T$49:$T$52,'204'!$T$54:$T$55,'204'!$T$57,'204'!$T$59:$T$60,'204'!$T$62,'204'!$T$64</definedName>
    <definedName name="OSRRefT22x_0" localSheetId="11">'205'!$T$20:$T$28,'205'!$T$30:$T$39,'205'!$T$41,'205'!$T$43,'205'!$T$45:$T$47,'205'!$T$49,'205'!$T$51:$T$53,'205'!$T$55</definedName>
    <definedName name="OSRRefT22x_0" localSheetId="12">'206'!$T$20:$T$28,'206'!$T$30:$T$39,'206'!$T$41,'206'!$T$43,'206'!$T$45:$T$46,'206'!$T$48,'206'!$T$50:$T$51,'206'!$T$53</definedName>
    <definedName name="OSRRefT22x_0" localSheetId="14">'300'!$T$54:$T$63,'300'!$T$65:$T$74,'300'!$T$76,'300'!$T$78,'300'!$T$80,'300'!$T$82:$T$83,'300'!$T$85:$T$86,'300'!$T$88,'300'!$T$90,'300'!$T$92,'300'!$T$94:$T$95,'300'!$T$97:$T$98,'300'!$T$100,'300'!$T$102,'300'!$T$104,'300'!$T$106,'300'!$T$108:$T$111,'300'!$T$113:$T$116,'300'!$T$118:$T$120,'300'!$T$122:$T$123,'300'!$T$125:$T$131,'300'!$T$133:$T$134,'300'!$T$136,'300'!$T$138:$T$140,'300'!$T$142</definedName>
    <definedName name="OSRRefT22x_0" localSheetId="15">'300 &amp; 317'!$T$60:$T$69,'300 &amp; 317'!$T$71:$T$80,'300 &amp; 317'!$T$82,'300 &amp; 317'!$T$84,'300 &amp; 317'!$T$86,'300 &amp; 317'!$T$88:$T$89,'300 &amp; 317'!$T$91:$T$92,'300 &amp; 317'!$T$94,'300 &amp; 317'!$T$96,'300 &amp; 317'!$T$98,'300 &amp; 317'!$T$100:$T$101,'300 &amp; 317'!$T$103:$T$104,'300 &amp; 317'!$T$106,'300 &amp; 317'!$T$108,'300 &amp; 317'!$T$110,'300 &amp; 317'!$T$112,'300 &amp; 317'!$T$114:$T$117,'300 &amp; 317'!$T$119:$T$122,'300 &amp; 317'!$T$124:$T$126,'300 &amp; 317'!$T$128:$T$129,'300 &amp; 317'!$T$131:$T$137,'300 &amp; 317'!$T$139:$T$140,'300 &amp; 317'!$T$142,'300 &amp; 317'!$T$144:$T$146,'300 &amp; 317'!$T$148</definedName>
    <definedName name="OSRRefT22x_0" localSheetId="16">'301'!$T$21:$T$30,'301'!$T$32:$T$41,'301'!$T$43,'301'!$T$45,'301'!$T$47,'301'!$T$49:$T$50,'301'!$T$52:$T$53,'301'!$T$55,'301'!$T$57,'301'!$T$59,'301'!$T$61,'301'!$T$63,'301'!$T$65,'301'!$T$67,'301'!$T$69,'301'!$T$71:$T$74,'301'!$T$76:$T$77,'301'!$T$79,'301'!$T$81:$T$86,'301'!$T$88,'301'!$T$90,'301'!$T$92:$T$94,'301'!$T$96</definedName>
    <definedName name="OSRRefT22x_0" localSheetId="21">'307'!$T$34:$T$42,'307'!$T$44:$T$53,'307'!$T$55,'307'!$T$57,'307'!$T$59,'307'!$T$61:$T$62,'307'!$T$64,'307'!$T$66,'307'!$T$68,'307'!$T$70:$T$71,'307'!$T$73:$T$74,'307'!$T$76,'307'!$T$78:$T$81,'307'!$T$83</definedName>
    <definedName name="OSRRefT22x_0" localSheetId="17">'308'!$T$35:$T$44,'308'!$T$46:$T$55,'308'!$T$57,'308'!$T$59,'308'!$T$61,'308'!$T$63,'308'!$T$65:$T$66,'308'!$T$68,'308'!$T$70,'308'!$T$72:$T$74,'308'!$T$76:$T$77,'308'!$T$79:$T$80,'308'!$T$82:$T$83,'308'!$T$85</definedName>
    <definedName name="OSRRefT22x_0" localSheetId="31">'309'!$T$26:$T$27,'309'!$T$29:$T$30,'309'!$T$32,'309'!$T$34,'309'!$T$36,'309'!$T$38,'309'!$T$40,'309'!$T$42,'309'!$T$44:$T$45,'309'!$T$47:$T$48,'309'!$T$50:$T$51,'309'!$T$53,'309'!$T$55</definedName>
    <definedName name="OSRRefT22x_0" localSheetId="30">'310'!$T$29:$T$38,'310'!$T$40:$T$49,'310'!$T$51,'310'!$T$53,'310'!$T$55,'310'!$T$57:$T$58,'310'!$T$60,'310'!$T$62,'310'!$T$64,'310'!$T$66,'310'!$T$68,'310'!$T$70:$T$72,'310'!$T$74:$T$75,'310'!$T$77:$T$79,'310'!$T$81:$T$86,'310'!$T$88:$T$89,'310'!$T$91,'310'!$T$93</definedName>
    <definedName name="OSRRefT22x_0" localSheetId="36">'310 &amp; 491'!$T$29:$T$38,'310 &amp; 491'!$T$40:$T$49,'310 &amp; 491'!$T$51,'310 &amp; 491'!$T$53,'310 &amp; 491'!$T$55,'310 &amp; 491'!$T$57:$T$58,'310 &amp; 491'!$T$60,'310 &amp; 491'!$T$62,'310 &amp; 491'!$T$64:$T$65,'310 &amp; 491'!$T$67,'310 &amp; 491'!$T$69,'310 &amp; 491'!$T$71,'310 &amp; 491'!$T$73,'310 &amp; 491'!$T$75:$T$78,'310 &amp; 491'!$T$80:$T$81,'310 &amp; 491'!$T$83:$T$87,'310 &amp; 491'!$T$89,'310 &amp; 491'!$T$91:$T$100,'310 &amp; 491'!$T$102:$T$103,'310 &amp; 491'!$T$105,'310 &amp; 491'!$T$107:$T$108,'310 &amp; 491'!$T$110</definedName>
    <definedName name="OSRRefT22x_0" localSheetId="18">'311'!$T$35:$T$44,'311'!$T$46:$T$55,'311'!$T$57,'311'!$T$59,'311'!$T$61,'311'!$T$63,'311'!$T$65:$T$66,'311'!$T$68,'311'!$T$70,'311'!$T$72:$T$74,'311'!$T$76:$T$77,'311'!$T$79:$T$80,'311'!$T$82:$T$83,'311'!$T$85</definedName>
    <definedName name="OSRRefT22x_0" localSheetId="23">'315'!$T$44:$T$52,'315'!$T$54:$T$63,'315'!$T$65,'315'!$T$67,'315'!$T$69,'315'!$T$71,'315'!$T$73,'315'!$T$75,'315'!$T$77:$T$78,'315'!$T$80,'315'!$T$82,'315'!$T$84,'315'!$T$86:$T$87,'315'!$T$89:$T$91,'315'!$T$93:$T$94,'315'!$T$96:$T$99,'315'!$T$101,'315'!$T$103,'315'!$T$105</definedName>
    <definedName name="OSRRefT22x_0" localSheetId="26">'316'!$T$27:$T$35,'316'!$T$37:$T$46,'316'!$T$48,'316'!$T$50,'316'!$T$52,'316'!$T$54:$T$55,'316'!$T$57,'316'!$T$59,'316'!$T$61:$T$63,'316'!$T$65,'316'!$T$67,'316'!$T$69:$T$73,'316'!$T$75</definedName>
    <definedName name="OSRRefT22x_0" localSheetId="28">'317'!$T$35:$T$44,'317'!$T$46:$T$55,'317'!$T$57,'317'!$T$59,'317'!$T$61,'317'!$T$63,'317'!$T$65,'317'!$T$67,'317'!$T$69,'317'!$T$71:$T$72,'317'!$T$74</definedName>
    <definedName name="OSRRefT22x_0" localSheetId="32">'321'!$T$24:$T$33,'321'!$T$35:$T$44,'321'!$T$46,'321'!$T$48,'321'!$T$50,'321'!$T$52,'321'!$T$54,'321'!$T$56:$T$57,'321'!$T$59:$T$60,'321'!$T$62:$T$64,'321'!$T$66:$T$69,'321'!$T$71,'321'!$T$73,'321'!$T$75</definedName>
    <definedName name="OSRRefT22x_0" localSheetId="33">'325'!$T$25:$T$33,'325'!$T$35:$T$44,'325'!$T$46,'325'!$T$48,'325'!$T$50,'325'!$T$52:$T$53,'325'!$T$55,'325'!$T$57,'325'!$T$59,'325'!$T$61,'325'!$T$63,'325'!$T$65:$T$67,'325'!$T$69:$T$71,'325'!$T$73:$T$78,'325'!$T$80:$T$81,'325'!$T$83,'325'!$T$85</definedName>
    <definedName name="OSRRefT22x_0" localSheetId="24">'326'!$T$28:$T$36,'326'!$T$38:$T$47,'326'!$T$49,'326'!$T$51,'326'!$T$53,'326'!$T$55,'326'!$T$57:$T$58,'326'!$T$60,'326'!$T$62,'326'!$T$64,'326'!$T$66,'326'!$T$68:$T$69,'326'!$T$71:$T$72,'326'!$T$74:$T$75,'326'!$T$77:$T$79,'326'!$T$81,'326'!$T$83:$T$84,'326'!$T$86</definedName>
    <definedName name="OSRRefT22x_0" localSheetId="34">'327'!$T$26,'327'!$T$28</definedName>
    <definedName name="OSRRefT22x_0" localSheetId="22">'331'!$T$44:$T$52,'331'!$T$54:$T$63,'331'!$T$65,'331'!$T$67,'331'!$T$69,'331'!$T$71,'331'!$T$73,'331'!$T$75,'331'!$T$77:$T$78,'331'!$T$80:$T$81,'331'!$T$83,'331'!$T$85,'331'!$T$87,'331'!$T$89,'331'!$T$91:$T$92,'331'!$T$94:$T$96,'331'!$T$98:$T$99,'331'!$T$101:$T$102,'331'!$T$104:$T$108,'331'!$T$110,'331'!$T$112,'331'!$T$114:$T$115,'331'!$T$117</definedName>
    <definedName name="OSRRefT22x_0" localSheetId="25">'332'!$T$27:$T$35,'332'!$T$37:$T$46,'332'!$T$48,'332'!$T$50,'332'!$T$52,'332'!$T$54:$T$55,'332'!$T$57,'332'!$T$59,'332'!$T$61:$T$63,'332'!$T$65,'332'!$T$67,'332'!$T$69:$T$73,'332'!$T$75</definedName>
    <definedName name="OSRRefT22x_0" localSheetId="20">'333'!$T$46:$T$54,'333'!$T$56:$T$65,'333'!$T$67,'333'!$T$69,'333'!$T$71,'333'!$T$73:$T$74,'333'!$T$76,'333'!$T$78,'333'!$T$80:$T$81,'333'!$T$83:$T$84,'333'!$T$86,'333'!$T$88,'333'!$T$90,'333'!$T$92,'333'!$T$94:$T$95,'333'!$T$97:$T$99,'333'!$T$101:$T$103,'333'!$T$105:$T$106,'333'!$T$108:$T$113,'333'!$T$115,'333'!$T$117,'333'!$T$119:$T$120,'333'!$T$122</definedName>
    <definedName name="OSRRefT22x_0" localSheetId="38">'405'!$T$27:$T$35,'405'!$T$37:$T$46,'405'!$T$48,'405'!$T$50,'405'!$T$52,'405'!$T$54:$T$55,'405'!$T$57,'405'!$T$59,'405'!$T$61,'405'!$T$63:$T$64,'405'!$T$66:$T$69,'405'!$T$71,'405'!$T$73:$T$81,'405'!$T$83,'405'!$T$85,'405'!$T$87,'405'!$T$89</definedName>
    <definedName name="OSRRefT22x_0" localSheetId="39">'406'!$T$20,'406'!$T$22</definedName>
    <definedName name="OSRRefT22x_0" localSheetId="40">'411'!$T$20:$T$28,'411'!$T$30:$T$39,'411'!$T$41,'411'!$T$43:$T$44,'411'!$T$46,'411'!$T$48,'411'!$T$50,'411'!$T$52,'411'!$T$54,'411'!$T$56:$T$59,'411'!$T$61:$T$63,'411'!$T$65,'411'!$T$67:$T$68,'411'!$T$70,'411'!$T$72,'411'!$T$74:$T$75,'411'!$T$77</definedName>
    <definedName name="OSRRefT22x_0" localSheetId="41">'412'!$T$21,'412'!$T$23,'412'!$T$25,'412'!$T$27,'412'!$T$29</definedName>
    <definedName name="OSRRefT22x_0" localSheetId="42">'413'!$T$20,'413'!$T$22,'413'!$T$24</definedName>
    <definedName name="OSRRefT22x_0" localSheetId="43">'414'!$T$20,'414'!$T$22,'414'!$T$24</definedName>
    <definedName name="OSRRefT22x_0" localSheetId="44">'415'!$T$27:$T$36,'415'!$T$38:$T$47,'415'!$T$49,'415'!$T$51,'415'!$T$53,'415'!$T$55:$T$56,'415'!$T$58,'415'!$T$60,'415'!$T$62,'415'!$T$64,'415'!$T$66,'415'!$T$68:$T$69,'415'!$T$71:$T$74,'415'!$T$76,'415'!$T$78:$T$85,'415'!$T$87:$T$88,'415'!$T$90,'415'!$T$92</definedName>
    <definedName name="OSRRefT22x_0" localSheetId="45">'418'!$T$24:$T$32,'418'!$T$34:$T$43,'418'!$T$45,'418'!$T$47,'418'!$T$49:$T$50,'418'!$T$52,'418'!$T$54,'418'!$T$56:$T$57,'418'!$T$59:$T$60,'418'!$T$62:$T$65,'418'!$T$67,'418'!$T$69:$T$77,'418'!$T$79:$T$80,'418'!$T$82,'418'!$T$84,'418'!$T$86</definedName>
    <definedName name="OSRRefT22x_0" localSheetId="46">'423'!$T$20:$T$27,'423'!$T$29:$T$38,'423'!$T$40,'423'!$T$42,'423'!$T$44,'423'!$T$46</definedName>
    <definedName name="OSRRefT22x_0" localSheetId="47">'424'!$T$21,'424'!$T$23,'424'!$T$25</definedName>
    <definedName name="OSRRefT22x_0" localSheetId="48">'425'!$T$22,'425'!$T$24,'425'!$T$26,'425'!$T$28,'425'!$T$30,'425'!$T$32:$T$34</definedName>
    <definedName name="OSRRefT22x_0" localSheetId="50">'430'!$T$20:$T$28,'430'!$T$30:$T$39,'430'!$T$41,'430'!$T$43,'430'!$T$45,'430'!$T$47:$T$49,'430'!$T$51:$T$52,'430'!$T$54,'430'!$T$56</definedName>
    <definedName name="OSRRefT22x_0" localSheetId="51">'433'!$T$27:$T$36,'433'!$T$38:$T$47,'433'!$T$49,'433'!$T$51,'433'!$T$53,'433'!$T$55,'433'!$T$57,'433'!$T$59,'433'!$T$61,'433'!$T$63,'433'!$T$65,'433'!$T$67:$T$69,'433'!$T$71:$T$74,'433'!$T$76:$T$83,'433'!$T$85,'433'!$T$87</definedName>
    <definedName name="OSRRefT22x_0" localSheetId="52">'435'!$T$23:$T$24,'435'!$T$26,'435'!$T$28,'435'!$T$30,'435'!$T$32</definedName>
    <definedName name="OSRRefT22x_0" localSheetId="53">'444'!$T$27:$T$36,'444'!$T$38:$T$47,'444'!$T$49,'444'!$T$51,'444'!$T$53,'444'!$T$55,'444'!$T$57,'444'!$T$59,'444'!$T$61,'444'!$T$63,'444'!$T$65,'444'!$T$67:$T$68,'444'!$T$70:$T$73,'444'!$T$75,'444'!$T$77:$T$85,'444'!$T$87,'444'!$T$89</definedName>
    <definedName name="OSRRefT22x_0" localSheetId="54">'450'!$T$27:$T$36,'450'!$T$38:$T$47,'450'!$T$49,'450'!$T$51,'450'!$T$53,'450'!$T$55,'450'!$T$57,'450'!$T$59,'450'!$T$61,'450'!$T$63,'450'!$T$65,'450'!$T$67:$T$69,'450'!$T$71:$T$74,'450'!$T$76:$T$82,'450'!$T$84,'450'!$T$86,'450'!$T$88</definedName>
    <definedName name="OSRRefT22x_0" localSheetId="37">'491'!$T$28:$T$37,'491'!$T$39:$T$48,'491'!$T$50,'491'!$T$52,'491'!$T$54,'491'!$T$56:$T$57,'491'!$T$59,'491'!$T$61,'491'!$T$63:$T$64,'491'!$T$66,'491'!$T$68,'491'!$T$70,'491'!$T$72,'491'!$T$74:$T$77,'491'!$T$79,'491'!$T$81:$T$85,'491'!$T$87,'491'!$T$89:$T$98,'491'!$T$100:$T$101,'491'!$T$103,'491'!$T$105:$T$106,'491'!$T$108</definedName>
    <definedName name="OSRRefT22x_0" localSheetId="49">'492'!$T$29:$T$38,'492'!$T$40:$T$49,'492'!$T$51,'492'!$T$53,'492'!$T$55,'492'!$T$57,'492'!$T$59,'492'!$T$61,'492'!$T$63,'492'!$T$65,'492'!$T$67,'492'!$T$69,'492'!$T$71:$T$73,'492'!$T$75:$T$78,'492'!$T$80,'492'!$T$82:$T$90,'492'!$T$92:$T$93,'492'!$T$95,'492'!$T$97:$T$98</definedName>
    <definedName name="OSRRefT22x_0" localSheetId="56">'501'!$T$21:$T$30,'501'!$T$32:$T$41,'501'!$T$43,'501'!$T$45,'501'!$T$47,'501'!$T$49:$T$50,'501'!$T$52,'501'!$T$54,'501'!$T$56,'501'!$T$58:$T$60,'501'!$T$62,'501'!$T$64:$T$66,'501'!$T$68,'501'!$T$70</definedName>
    <definedName name="OSRRefT22x_0" localSheetId="5">'Div 2'!$T$20:$T$30,'Div 2'!$T$32:$T$41,'Div 2'!$T$43,'Div 2'!$T$45,'Div 2'!$T$47,'Div 2'!$T$49:$T$50,'Div 2'!$T$52,'Div 2'!$T$54,'Div 2'!$T$56,'Div 2'!$T$58,'Div 2'!$T$60,'Div 2'!$T$62,'Div 2'!$T$64:$T$67,'Div 2'!$T$69:$T$72,'Div 2'!$T$74:$T$75,'Div 2'!$T$77:$T$78,'Div 2'!$T$80:$T$85,'Div 2'!$T$87:$T$88,'Div 2'!$T$90,'Div 2'!$T$92:$T$93</definedName>
    <definedName name="OSRRefT22x_0" localSheetId="13">'Div 3'!$T$60:$T$69,'Div 3'!$T$71:$T$80,'Div 3'!$T$82,'Div 3'!$T$84,'Div 3'!$T$86,'Div 3'!$T$88:$T$89,'Div 3'!$T$91:$T$92,'Div 3'!$T$94,'Div 3'!$T$96,'Div 3'!$T$98,'Div 3'!$T$100:$T$101,'Div 3'!$T$103:$T$104,'Div 3'!$T$106,'Div 3'!$T$108,'Div 3'!$T$110,'Div 3'!$T$112,'Div 3'!$T$114,'Div 3'!$T$116:$T$119,'Div 3'!$T$121:$T$124,'Div 3'!$T$126:$T$129,'Div 3'!$T$131:$T$132,'Div 3'!$T$134:$T$140,'Div 3'!$T$142:$T$143,'Div 3'!$T$145,'Div 3'!$T$147:$T$149,'Div 3'!$T$151</definedName>
    <definedName name="OSRRefT22x_0" localSheetId="35">'Div 4'!$T$31:$T$40,'Div 4'!$T$42:$T$51,'Div 4'!$T$53,'Div 4'!$T$55,'Div 4'!$T$57,'Div 4'!$T$59:$T$60,'Div 4'!$T$62,'Div 4'!$T$64,'Div 4'!$T$66,'Div 4'!$T$68:$T$69,'Div 4'!$T$71,'Div 4'!$T$73,'Div 4'!$T$75,'Div 4'!$T$77,'Div 4'!$T$79,'Div 4'!$T$81:$T$84,'Div 4'!$T$86,'Div 4'!$T$88:$T$92,'Div 4'!$T$94:$T$95,'Div 4'!$T$97:$T$106,'Div 4'!$T$108:$T$109,'Div 4'!$T$111,'Div 4'!$T$113:$T$114,'Div 4'!$T$116</definedName>
    <definedName name="OSRRefT22x_0" localSheetId="55">'Div 5'!$T$21:$T$30,'Div 5'!$T$32:$T$41,'Div 5'!$T$43,'Div 5'!$T$45,'Div 5'!$T$47,'Div 5'!$T$49:$T$50,'Div 5'!$T$52,'Div 5'!$T$54,'Div 5'!$T$56,'Div 5'!$T$58:$T$60,'Div 5'!$T$62,'Div 5'!$T$64:$T$66,'Div 5'!$T$68,'Div 5'!$T$70</definedName>
    <definedName name="OSRRefT22x_0" localSheetId="27">'Div 6'!$T$35:$T$44,'Div 6'!$T$46:$T$55,'Div 6'!$T$57,'Div 6'!$T$59,'Div 6'!$T$61,'Div 6'!$T$63,'Div 6'!$T$65,'Div 6'!$T$67,'Div 6'!$T$69,'Div 6'!$T$71:$T$72,'Div 6'!$T$74</definedName>
    <definedName name="OSRRefT22x_0" localSheetId="2">Summary!$T$68:$T$77,Summary!$T$79:$T$88,Summary!$T$90,Summary!$T$92,Summary!$T$94,Summary!$T$96:$T$97,Summary!$T$99:$T$100,Summary!$T$102,Summary!$T$104,Summary!$T$106,Summary!$T$108:$T$109,Summary!$T$111:$T$113,Summary!$T$115,Summary!$T$117,Summary!$T$119,Summary!$T$121,Summary!$T$123,Summary!$T$125,Summary!$T$127:$T$130,Summary!$T$132:$T$135,Summary!$T$137:$T$141,Summary!$T$143:$T$144,Summary!$T$146:$T$155,Summary!$T$157:$T$158,Summary!$T$160,Summary!$T$162:$T$164,Summary!$T$166</definedName>
    <definedName name="OSRRefT25x_0" localSheetId="14">'300'!$T$145:$T$149</definedName>
    <definedName name="OSRRefT25x_0" localSheetId="15">'300 &amp; 317'!$T$151:$T$157</definedName>
    <definedName name="OSRRefT25x_0" localSheetId="16">'301'!$T$99:$T$100</definedName>
    <definedName name="OSRRefT25x_0" localSheetId="17">'308'!$T$88:$T$91</definedName>
    <definedName name="OSRRefT25x_0" localSheetId="36">'310 &amp; 491'!$T$113:$T$116</definedName>
    <definedName name="OSRRefT25x_0" localSheetId="18">'311'!$T$88:$T$91</definedName>
    <definedName name="OSRRefT25x_0" localSheetId="23">'315'!$T$108:$T$111</definedName>
    <definedName name="OSRRefT25x_0" localSheetId="26">'316'!$T$78</definedName>
    <definedName name="OSRRefT25x_0" localSheetId="28">'317'!$T$77:$T$79</definedName>
    <definedName name="OSRRefT25x_0" localSheetId="22">'331'!$T$120:$T$123</definedName>
    <definedName name="OSRRefT25x_0" localSheetId="25">'332'!$T$78</definedName>
    <definedName name="OSRRefT25x_0" localSheetId="20">'333'!$T$125:$T$128</definedName>
    <definedName name="OSRRefT25x_0" localSheetId="38">'405'!$T$92</definedName>
    <definedName name="OSRRefT25x_0" localSheetId="40">'411'!$T$80</definedName>
    <definedName name="OSRRefT25x_0" localSheetId="44">'415'!$T$95</definedName>
    <definedName name="OSRRefT25x_0" localSheetId="45">'418'!$T$89</definedName>
    <definedName name="OSRRefT25x_0" localSheetId="46">'423'!$T$49:$T$51</definedName>
    <definedName name="OSRRefT25x_0" localSheetId="37">'491'!$T$111:$T$114</definedName>
    <definedName name="OSRRefT25x_0" localSheetId="56">'501'!$T$73</definedName>
    <definedName name="OSRRefT25x_0" localSheetId="13">'Div 3'!$T$154:$T$158</definedName>
    <definedName name="OSRRefT25x_0" localSheetId="35">'Div 4'!$T$119:$T$122</definedName>
    <definedName name="OSRRefT25x_0" localSheetId="55">'Div 5'!$T$73</definedName>
    <definedName name="OSRRefT25x_0" localSheetId="27">'Div 6'!$T$77:$T$79</definedName>
    <definedName name="OSRRefT25x_0" localSheetId="2">Summary!$T$169:$T$176</definedName>
    <definedName name="_xlnm.Print_Area" localSheetId="4">'100'!$A$1:$Z$34</definedName>
    <definedName name="_xlnm.Print_Area" localSheetId="6">'200'!$A$1:$Z$42</definedName>
    <definedName name="_xlnm.Print_Area" localSheetId="7">'201'!$A$1:$Z$87</definedName>
    <definedName name="_xlnm.Print_Area" localSheetId="8">'202'!$A$1:$Z$80</definedName>
    <definedName name="_xlnm.Print_Area" localSheetId="9">'203'!$A$1:$Z$87</definedName>
    <definedName name="_xlnm.Print_Area" localSheetId="10">'204'!$A$1:$Z$78</definedName>
    <definedName name="_xlnm.Print_Area" localSheetId="11">'205'!$A$1:$Z$69</definedName>
    <definedName name="_xlnm.Print_Area" localSheetId="12">'206'!$A$1:$Z$67</definedName>
    <definedName name="_xlnm.Print_Area" localSheetId="14">'300'!$A$1:$Z$161</definedName>
    <definedName name="_xlnm.Print_Area" localSheetId="15">'300 &amp; 317'!$A$1:$Z$169</definedName>
    <definedName name="_xlnm.Print_Area" localSheetId="16">'301'!$A$1:$Z$112</definedName>
    <definedName name="_xlnm.Print_Area" localSheetId="21">'307'!$A$1:$Z$97</definedName>
    <definedName name="_xlnm.Print_Area" localSheetId="17">'308'!$A$1:$Z$103</definedName>
    <definedName name="_xlnm.Print_Area" localSheetId="31">'309'!$A$1:$Z$69</definedName>
    <definedName name="_xlnm.Print_Area" localSheetId="30">'310'!$A$1:$Z$107</definedName>
    <definedName name="_xlnm.Print_Area" localSheetId="36">'310 &amp; 491'!$A$1:$Z$128</definedName>
    <definedName name="_xlnm.Print_Area" localSheetId="18">'311'!$A$1:$Z$103</definedName>
    <definedName name="_xlnm.Print_Area" localSheetId="23">'315'!$A$1:$Z$123</definedName>
    <definedName name="_xlnm.Print_Area" localSheetId="26">'316'!$A$1:$Z$90</definedName>
    <definedName name="_xlnm.Print_Area" localSheetId="28">'317'!$A$1:$Z$91</definedName>
    <definedName name="_xlnm.Print_Area" localSheetId="29">'320'!$A$1:$Z$39</definedName>
    <definedName name="_xlnm.Print_Area" localSheetId="32">'321'!$A$1:$Z$89</definedName>
    <definedName name="_xlnm.Print_Area" localSheetId="19">'324'!$A$1:$Z$35</definedName>
    <definedName name="_xlnm.Print_Area" localSheetId="33">'325'!$A$1:$Z$99</definedName>
    <definedName name="_xlnm.Print_Area" localSheetId="24">'326'!$A$1:$Z$100</definedName>
    <definedName name="_xlnm.Print_Area" localSheetId="34">'327'!$A$1:$Z$42</definedName>
    <definedName name="_xlnm.Print_Area" localSheetId="22">'331'!$A$1:$Z$135</definedName>
    <definedName name="_xlnm.Print_Area" localSheetId="25">'332'!$A$1:$Z$90</definedName>
    <definedName name="_xlnm.Print_Area" localSheetId="20">'333'!$A$1:$Z$140</definedName>
    <definedName name="_xlnm.Print_Area" localSheetId="38">'405'!$A$1:$Z$104</definedName>
    <definedName name="_xlnm.Print_Area" localSheetId="39">'406'!$A$1:$Z$36</definedName>
    <definedName name="_xlnm.Print_Area" localSheetId="40">'411'!$A$1:$Z$92</definedName>
    <definedName name="_xlnm.Print_Area" localSheetId="41">'412'!$A$1:$Z$43</definedName>
    <definedName name="_xlnm.Print_Area" localSheetId="42">'413'!$A$1:$Z$38</definedName>
    <definedName name="_xlnm.Print_Area" localSheetId="43">'414'!$A$1:$Z$38</definedName>
    <definedName name="_xlnm.Print_Area" localSheetId="44">'415'!$A$1:$Z$107</definedName>
    <definedName name="_xlnm.Print_Area" localSheetId="45">'418'!$A$1:$Z$101</definedName>
    <definedName name="_xlnm.Print_Area" localSheetId="46">'423'!$A$1:$Z$63</definedName>
    <definedName name="_xlnm.Print_Area" localSheetId="47">'424'!$A$1:$Z$39</definedName>
    <definedName name="_xlnm.Print_Area" localSheetId="48">'425'!$A$1:$Z$48</definedName>
    <definedName name="_xlnm.Print_Area" localSheetId="50">'430'!$A$1:$Z$70</definedName>
    <definedName name="_xlnm.Print_Area" localSheetId="51">'433'!$A$1:$Z$101</definedName>
    <definedName name="_xlnm.Print_Area" localSheetId="52">'435'!$A$1:$Z$46</definedName>
    <definedName name="_xlnm.Print_Area" localSheetId="53">'444'!$A$1:$Z$103</definedName>
    <definedName name="_xlnm.Print_Area" localSheetId="54">'450'!$A$1:$Z$102</definedName>
    <definedName name="_xlnm.Print_Area" localSheetId="37">'491'!$A$1:$Z$126</definedName>
    <definedName name="_xlnm.Print_Area" localSheetId="49">'492'!$A$1:$Z$112</definedName>
    <definedName name="_xlnm.Print_Area" localSheetId="56">'501'!$A$1:$Z$85</definedName>
    <definedName name="_xlnm.Print_Area" localSheetId="57">Dept!$A$1:$Z$39</definedName>
    <definedName name="_xlnm.Print_Area" localSheetId="3">'Div 1'!$A$1:$Z$34</definedName>
    <definedName name="_xlnm.Print_Area" localSheetId="5">'Div 2'!$A$1:$Z$107</definedName>
    <definedName name="_xlnm.Print_Area" localSheetId="13">'Div 3'!$A$1:$Z$170</definedName>
    <definedName name="_xlnm.Print_Area" localSheetId="35">'Div 4'!$A$1:$Z$134</definedName>
    <definedName name="_xlnm.Print_Area" localSheetId="55">'Div 5'!$A$1:$Z$85</definedName>
    <definedName name="_xlnm.Print_Area" localSheetId="27">'Div 6'!$A$1:$Z$91</definedName>
    <definedName name="_xlnm.Print_Area" localSheetId="2">Summary!$A$1:$Z$190</definedName>
    <definedName name="_xlnm.Print_Titles" localSheetId="4">'100'!$1:$10</definedName>
    <definedName name="_xlnm.Print_Titles" localSheetId="6">'200'!$1:$10</definedName>
    <definedName name="_xlnm.Print_Titles" localSheetId="7">'201'!$1:$10</definedName>
    <definedName name="_xlnm.Print_Titles" localSheetId="8">'202'!$1:$10</definedName>
    <definedName name="_xlnm.Print_Titles" localSheetId="9">'203'!$1:$10</definedName>
    <definedName name="_xlnm.Print_Titles" localSheetId="10">'204'!$1:$10</definedName>
    <definedName name="_xlnm.Print_Titles" localSheetId="11">'205'!$1:$10</definedName>
    <definedName name="_xlnm.Print_Titles" localSheetId="12">'206'!$1:$10</definedName>
    <definedName name="_xlnm.Print_Titles" localSheetId="14">'300'!$1:$10</definedName>
    <definedName name="_xlnm.Print_Titles" localSheetId="15">'300 &amp; 317'!$1:$10</definedName>
    <definedName name="_xlnm.Print_Titles" localSheetId="16">'301'!$1:$10</definedName>
    <definedName name="_xlnm.Print_Titles" localSheetId="21">'307'!$1:$10</definedName>
    <definedName name="_xlnm.Print_Titles" localSheetId="17">'308'!$1:$10</definedName>
    <definedName name="_xlnm.Print_Titles" localSheetId="31">'309'!$1:$10</definedName>
    <definedName name="_xlnm.Print_Titles" localSheetId="30">'310'!$1:$10</definedName>
    <definedName name="_xlnm.Print_Titles" localSheetId="36">'310 &amp; 491'!$1:$10</definedName>
    <definedName name="_xlnm.Print_Titles" localSheetId="18">'311'!$1:$10</definedName>
    <definedName name="_xlnm.Print_Titles" localSheetId="23">'315'!$1:$10</definedName>
    <definedName name="_xlnm.Print_Titles" localSheetId="26">'316'!$1:$10</definedName>
    <definedName name="_xlnm.Print_Titles" localSheetId="28">'317'!$1:$10</definedName>
    <definedName name="_xlnm.Print_Titles" localSheetId="29">'320'!$1:$10</definedName>
    <definedName name="_xlnm.Print_Titles" localSheetId="32">'321'!$1:$10</definedName>
    <definedName name="_xlnm.Print_Titles" localSheetId="19">'324'!$1:$10</definedName>
    <definedName name="_xlnm.Print_Titles" localSheetId="33">'325'!$1:$10</definedName>
    <definedName name="_xlnm.Print_Titles" localSheetId="24">'326'!$1:$10</definedName>
    <definedName name="_xlnm.Print_Titles" localSheetId="34">'327'!$1:$10</definedName>
    <definedName name="_xlnm.Print_Titles" localSheetId="22">'331'!$1:$10</definedName>
    <definedName name="_xlnm.Print_Titles" localSheetId="25">'332'!$1:$10</definedName>
    <definedName name="_xlnm.Print_Titles" localSheetId="20">'333'!$1:$10</definedName>
    <definedName name="_xlnm.Print_Titles" localSheetId="38">'405'!$1:$10</definedName>
    <definedName name="_xlnm.Print_Titles" localSheetId="39">'406'!$1:$10</definedName>
    <definedName name="_xlnm.Print_Titles" localSheetId="40">'411'!$1:$10</definedName>
    <definedName name="_xlnm.Print_Titles" localSheetId="41">'412'!$1:$10</definedName>
    <definedName name="_xlnm.Print_Titles" localSheetId="42">'413'!$1:$10</definedName>
    <definedName name="_xlnm.Print_Titles" localSheetId="43">'414'!$1:$10</definedName>
    <definedName name="_xlnm.Print_Titles" localSheetId="44">'415'!$1:$10</definedName>
    <definedName name="_xlnm.Print_Titles" localSheetId="45">'418'!$1:$10</definedName>
    <definedName name="_xlnm.Print_Titles" localSheetId="46">'423'!$1:$10</definedName>
    <definedName name="_xlnm.Print_Titles" localSheetId="47">'424'!$1:$10</definedName>
    <definedName name="_xlnm.Print_Titles" localSheetId="48">'425'!$1:$10</definedName>
    <definedName name="_xlnm.Print_Titles" localSheetId="50">'430'!$1:$10</definedName>
    <definedName name="_xlnm.Print_Titles" localSheetId="51">'433'!$1:$10</definedName>
    <definedName name="_xlnm.Print_Titles" localSheetId="52">'435'!$1:$10</definedName>
    <definedName name="_xlnm.Print_Titles" localSheetId="53">'444'!$1:$10</definedName>
    <definedName name="_xlnm.Print_Titles" localSheetId="54">'450'!$1:$10</definedName>
    <definedName name="_xlnm.Print_Titles" localSheetId="37">'491'!$1:$10</definedName>
    <definedName name="_xlnm.Print_Titles" localSheetId="49">'492'!$1:$10</definedName>
    <definedName name="_xlnm.Print_Titles" localSheetId="56">'501'!$1:$10</definedName>
    <definedName name="_xlnm.Print_Titles" localSheetId="57">Dept!$A:$C,Dept!$1:$10</definedName>
    <definedName name="_xlnm.Print_Titles" localSheetId="3">'Div 1'!$1:$10</definedName>
    <definedName name="_xlnm.Print_Titles" localSheetId="5">'Div 2'!$1:$10</definedName>
    <definedName name="_xlnm.Print_Titles" localSheetId="13">'Div 3'!$1:$10</definedName>
    <definedName name="_xlnm.Print_Titles" localSheetId="35">'Div 4'!$1:$10</definedName>
    <definedName name="_xlnm.Print_Titles" localSheetId="55">'Div 5'!$1:$10</definedName>
    <definedName name="_xlnm.Print_Titles" localSheetId="27">'Div 6'!$1:$10</definedName>
    <definedName name="_xlnm.Print_Titles" localSheetId="2">Summary!$A:$C,Summary!$1:$10</definedName>
  </definedNames>
  <calcPr calcId="191029" iterate="1" iterateCount="1000" iterateDelta="0.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9" i="59" l="1"/>
  <c r="B38" i="59"/>
  <c r="T34" i="59"/>
  <c r="Z34" i="59" s="1"/>
  <c r="P34" i="59"/>
  <c r="H34" i="59"/>
  <c r="N34" i="59" s="1"/>
  <c r="D34" i="59"/>
  <c r="T33" i="59"/>
  <c r="Z33" i="59" s="1"/>
  <c r="P33" i="59"/>
  <c r="H33" i="59"/>
  <c r="N33" i="59" s="1"/>
  <c r="D33" i="59"/>
  <c r="T29" i="59"/>
  <c r="Z29" i="59" s="1"/>
  <c r="P29" i="59"/>
  <c r="H29" i="59"/>
  <c r="N29" i="59" s="1"/>
  <c r="D29" i="59"/>
  <c r="T25" i="59"/>
  <c r="Z25" i="59" s="1"/>
  <c r="P25" i="59"/>
  <c r="H25" i="59"/>
  <c r="N25" i="59" s="1"/>
  <c r="D25" i="59"/>
  <c r="B25" i="59"/>
  <c r="T24" i="59"/>
  <c r="Z24" i="59" s="1"/>
  <c r="P24" i="59"/>
  <c r="H24" i="59"/>
  <c r="N24" i="59" s="1"/>
  <c r="D24" i="59"/>
  <c r="T22" i="59"/>
  <c r="Z22" i="59" s="1"/>
  <c r="P22" i="59"/>
  <c r="H22" i="59"/>
  <c r="N22" i="59" s="1"/>
  <c r="D22" i="59"/>
  <c r="B22" i="59"/>
  <c r="T21" i="59"/>
  <c r="Z21" i="59" s="1"/>
  <c r="P21" i="59"/>
  <c r="H21" i="59"/>
  <c r="N21" i="59" s="1"/>
  <c r="D21" i="59"/>
  <c r="B21" i="59"/>
  <c r="T20" i="59"/>
  <c r="Z20" i="59" s="1"/>
  <c r="P20" i="59"/>
  <c r="H20" i="59"/>
  <c r="N20" i="59" s="1"/>
  <c r="D20" i="59"/>
  <c r="T16" i="59"/>
  <c r="Z16" i="59" s="1"/>
  <c r="P16" i="59"/>
  <c r="H16" i="59"/>
  <c r="N16" i="59" s="1"/>
  <c r="D16" i="59"/>
  <c r="B16" i="59"/>
  <c r="T15" i="59"/>
  <c r="Z15" i="59" s="1"/>
  <c r="P15" i="59"/>
  <c r="H15" i="59"/>
  <c r="N15" i="59" s="1"/>
  <c r="D15" i="59"/>
  <c r="T13" i="59"/>
  <c r="Z13" i="59" s="1"/>
  <c r="P13" i="59"/>
  <c r="H13" i="59"/>
  <c r="N13" i="59" s="1"/>
  <c r="D13" i="59"/>
  <c r="B13" i="59"/>
  <c r="T12" i="59"/>
  <c r="V34" i="59" s="1"/>
  <c r="P12" i="59"/>
  <c r="R34" i="59" s="1"/>
  <c r="H12" i="59"/>
  <c r="J21" i="59" s="1"/>
  <c r="D12" i="59"/>
  <c r="F34" i="59" s="1"/>
  <c r="D6" i="59"/>
  <c r="D5" i="59"/>
  <c r="D4" i="59"/>
  <c r="X77" i="58"/>
  <c r="Z77" i="58" s="1"/>
  <c r="L77" i="58"/>
  <c r="N77" i="58" s="1"/>
  <c r="X73" i="58"/>
  <c r="Z73" i="58" s="1"/>
  <c r="P73" i="58"/>
  <c r="D73" i="58"/>
  <c r="L73" i="58" s="1"/>
  <c r="N73" i="58" s="1"/>
  <c r="B73" i="58"/>
  <c r="T72" i="58"/>
  <c r="P72" i="58"/>
  <c r="X72" i="58" s="1"/>
  <c r="Z72" i="58" s="1"/>
  <c r="H72" i="58"/>
  <c r="Z70" i="58"/>
  <c r="X70" i="58"/>
  <c r="N70" i="58"/>
  <c r="L70" i="58"/>
  <c r="B70" i="58"/>
  <c r="V69" i="58"/>
  <c r="T69" i="58"/>
  <c r="P69" i="58"/>
  <c r="L69" i="58"/>
  <c r="H69" i="58"/>
  <c r="N69" i="58" s="1"/>
  <c r="D69" i="58"/>
  <c r="B69" i="58"/>
  <c r="X68" i="58"/>
  <c r="Z68" i="58" s="1"/>
  <c r="L68" i="58"/>
  <c r="N68" i="58" s="1"/>
  <c r="B68" i="58"/>
  <c r="X67" i="58"/>
  <c r="T67" i="58"/>
  <c r="Z67" i="58" s="1"/>
  <c r="P67" i="58"/>
  <c r="H67" i="58"/>
  <c r="L67" i="58" s="1"/>
  <c r="N67" i="58" s="1"/>
  <c r="D67" i="58"/>
  <c r="B67" i="58"/>
  <c r="Z66" i="58"/>
  <c r="X66" i="58"/>
  <c r="N66" i="58"/>
  <c r="L66" i="58"/>
  <c r="B66" i="58"/>
  <c r="Z65" i="58"/>
  <c r="X65" i="58"/>
  <c r="N65" i="58"/>
  <c r="L65" i="58"/>
  <c r="J65" i="58"/>
  <c r="B65" i="58"/>
  <c r="Z64" i="58"/>
  <c r="X64" i="58"/>
  <c r="L64" i="58"/>
  <c r="N64" i="58" s="1"/>
  <c r="B64" i="58"/>
  <c r="X63" i="58"/>
  <c r="T63" i="58"/>
  <c r="Z63" i="58" s="1"/>
  <c r="P63" i="58"/>
  <c r="N63" i="58"/>
  <c r="H63" i="58"/>
  <c r="L63" i="58" s="1"/>
  <c r="D63" i="58"/>
  <c r="B63" i="58"/>
  <c r="X62" i="58"/>
  <c r="Z62" i="58" s="1"/>
  <c r="N62" i="58"/>
  <c r="L62" i="58"/>
  <c r="B62" i="58"/>
  <c r="Z61" i="58"/>
  <c r="T61" i="58"/>
  <c r="X61" i="58" s="1"/>
  <c r="P61" i="58"/>
  <c r="N61" i="58"/>
  <c r="J61" i="58"/>
  <c r="H61" i="58"/>
  <c r="D61" i="58"/>
  <c r="L61" i="58" s="1"/>
  <c r="B61" i="58"/>
  <c r="Z60" i="58"/>
  <c r="X60" i="58"/>
  <c r="N60" i="58"/>
  <c r="L60" i="58"/>
  <c r="B60" i="58"/>
  <c r="Z59" i="58"/>
  <c r="X59" i="58"/>
  <c r="V59" i="58"/>
  <c r="L59" i="58"/>
  <c r="N59" i="58" s="1"/>
  <c r="B59" i="58"/>
  <c r="X58" i="58"/>
  <c r="Z58" i="58" s="1"/>
  <c r="N58" i="58"/>
  <c r="L58" i="58"/>
  <c r="J58" i="58"/>
  <c r="B58" i="58"/>
  <c r="Z57" i="58"/>
  <c r="T57" i="58"/>
  <c r="P57" i="58"/>
  <c r="X57" i="58" s="1"/>
  <c r="N57" i="58"/>
  <c r="J57" i="58"/>
  <c r="H57" i="58"/>
  <c r="D57" i="58"/>
  <c r="L57" i="58" s="1"/>
  <c r="B57" i="58"/>
  <c r="X56" i="58"/>
  <c r="Z56" i="58" s="1"/>
  <c r="N56" i="58"/>
  <c r="L56" i="58"/>
  <c r="B56" i="58"/>
  <c r="V55" i="58"/>
  <c r="T55" i="58"/>
  <c r="P55" i="58"/>
  <c r="X55" i="58" s="1"/>
  <c r="Z55" i="58" s="1"/>
  <c r="L55" i="58"/>
  <c r="J55" i="58"/>
  <c r="H55" i="58"/>
  <c r="N55" i="58" s="1"/>
  <c r="F55" i="58"/>
  <c r="D55" i="58"/>
  <c r="B55" i="58"/>
  <c r="Z54" i="58"/>
  <c r="X54" i="58"/>
  <c r="V54" i="58"/>
  <c r="L54" i="58"/>
  <c r="N54" i="58" s="1"/>
  <c r="F54" i="58"/>
  <c r="B54" i="58"/>
  <c r="X53" i="58"/>
  <c r="V53" i="58"/>
  <c r="T53" i="58"/>
  <c r="Z53" i="58" s="1"/>
  <c r="P53" i="58"/>
  <c r="H53" i="58"/>
  <c r="D53" i="58"/>
  <c r="B53" i="58"/>
  <c r="X52" i="58"/>
  <c r="Z52" i="58" s="1"/>
  <c r="L52" i="58"/>
  <c r="N52" i="58" s="1"/>
  <c r="B52" i="58"/>
  <c r="Z51" i="58"/>
  <c r="T51" i="58"/>
  <c r="X51" i="58" s="1"/>
  <c r="P51" i="58"/>
  <c r="J51" i="58"/>
  <c r="H51" i="58"/>
  <c r="D51" i="58"/>
  <c r="L51" i="58" s="1"/>
  <c r="N51" i="58" s="1"/>
  <c r="B51" i="58"/>
  <c r="X50" i="58"/>
  <c r="Z50" i="58" s="1"/>
  <c r="N50" i="58"/>
  <c r="L50" i="58"/>
  <c r="J50" i="58"/>
  <c r="B50" i="58"/>
  <c r="Z49" i="58"/>
  <c r="X49" i="58"/>
  <c r="V49" i="58"/>
  <c r="N49" i="58"/>
  <c r="L49" i="58"/>
  <c r="J49" i="58"/>
  <c r="B49" i="58"/>
  <c r="X48" i="58"/>
  <c r="Z48" i="58" s="1"/>
  <c r="T48" i="58"/>
  <c r="P48" i="58"/>
  <c r="L48" i="58"/>
  <c r="H48" i="58"/>
  <c r="D48" i="58"/>
  <c r="B48" i="58"/>
  <c r="Z47" i="58"/>
  <c r="X47" i="58"/>
  <c r="V47" i="58"/>
  <c r="N47" i="58"/>
  <c r="L47" i="58"/>
  <c r="B47" i="58"/>
  <c r="T46" i="58"/>
  <c r="P46" i="58"/>
  <c r="H46" i="58"/>
  <c r="D46" i="58"/>
  <c r="B46" i="58"/>
  <c r="X45" i="58"/>
  <c r="Z45" i="58" s="1"/>
  <c r="V45" i="58"/>
  <c r="N45" i="58"/>
  <c r="L45" i="58"/>
  <c r="J45" i="58"/>
  <c r="B45" i="58"/>
  <c r="T44" i="58"/>
  <c r="Z44" i="58" s="1"/>
  <c r="P44" i="58"/>
  <c r="X44" i="58" s="1"/>
  <c r="J44" i="58"/>
  <c r="H44" i="58"/>
  <c r="D44" i="58"/>
  <c r="L44" i="58" s="1"/>
  <c r="B44" i="58"/>
  <c r="Z43" i="58"/>
  <c r="X43" i="58"/>
  <c r="N43" i="58"/>
  <c r="L43" i="58"/>
  <c r="J43" i="58"/>
  <c r="B43" i="58"/>
  <c r="V42" i="58"/>
  <c r="T42" i="58"/>
  <c r="P42" i="58"/>
  <c r="X42" i="58" s="1"/>
  <c r="L42" i="58"/>
  <c r="N42" i="58" s="1"/>
  <c r="H42" i="58"/>
  <c r="D42" i="58"/>
  <c r="B42" i="58"/>
  <c r="Z41" i="58"/>
  <c r="X41" i="58"/>
  <c r="V41" i="58"/>
  <c r="N41" i="58"/>
  <c r="L41" i="58"/>
  <c r="J41" i="58"/>
  <c r="B41" i="58"/>
  <c r="Z40" i="58"/>
  <c r="X40" i="58"/>
  <c r="N40" i="58"/>
  <c r="L40" i="58"/>
  <c r="B40" i="58"/>
  <c r="Z39" i="58"/>
  <c r="X39" i="58"/>
  <c r="N39" i="58"/>
  <c r="L39" i="58"/>
  <c r="J39" i="58"/>
  <c r="B39" i="58"/>
  <c r="Z38" i="58"/>
  <c r="X38" i="58"/>
  <c r="V38" i="58"/>
  <c r="L38" i="58"/>
  <c r="N38" i="58" s="1"/>
  <c r="B38" i="58"/>
  <c r="Z37" i="58"/>
  <c r="X37" i="58"/>
  <c r="V37" i="58"/>
  <c r="N37" i="58"/>
  <c r="L37" i="58"/>
  <c r="J37" i="58"/>
  <c r="B37" i="58"/>
  <c r="Z36" i="58"/>
  <c r="X36" i="58"/>
  <c r="R36" i="58"/>
  <c r="N36" i="58"/>
  <c r="L36" i="58"/>
  <c r="B36" i="58"/>
  <c r="Z35" i="58"/>
  <c r="X35" i="58"/>
  <c r="V35" i="58"/>
  <c r="N35" i="58"/>
  <c r="L35" i="58"/>
  <c r="B35" i="58"/>
  <c r="Z34" i="58"/>
  <c r="X34" i="58"/>
  <c r="N34" i="58"/>
  <c r="L34" i="58"/>
  <c r="J34" i="58"/>
  <c r="B34" i="58"/>
  <c r="Z33" i="58"/>
  <c r="X33" i="58"/>
  <c r="V33" i="58"/>
  <c r="L33" i="58"/>
  <c r="N33" i="58" s="1"/>
  <c r="J33" i="58"/>
  <c r="B33" i="58"/>
  <c r="X32" i="58"/>
  <c r="Z32" i="58" s="1"/>
  <c r="L32" i="58"/>
  <c r="N32" i="58" s="1"/>
  <c r="B32" i="58"/>
  <c r="T31" i="58"/>
  <c r="R31" i="58"/>
  <c r="P31" i="58"/>
  <c r="J31" i="58"/>
  <c r="H31" i="58"/>
  <c r="D31" i="58"/>
  <c r="L31" i="58" s="1"/>
  <c r="N31" i="58" s="1"/>
  <c r="B31" i="58"/>
  <c r="Z30" i="58"/>
  <c r="X30" i="58"/>
  <c r="N30" i="58"/>
  <c r="L30" i="58"/>
  <c r="J30" i="58"/>
  <c r="B30" i="58"/>
  <c r="Z29" i="58"/>
  <c r="X29" i="58"/>
  <c r="V29" i="58"/>
  <c r="L29" i="58"/>
  <c r="N29" i="58" s="1"/>
  <c r="J29" i="58"/>
  <c r="B29" i="58"/>
  <c r="X28" i="58"/>
  <c r="Z28" i="58" s="1"/>
  <c r="L28" i="58"/>
  <c r="N28" i="58" s="1"/>
  <c r="F28" i="58"/>
  <c r="B28" i="58"/>
  <c r="Z27" i="58"/>
  <c r="X27" i="58"/>
  <c r="N27" i="58"/>
  <c r="L27" i="58"/>
  <c r="J27" i="58"/>
  <c r="B27" i="58"/>
  <c r="Z26" i="58"/>
  <c r="X26" i="58"/>
  <c r="V26" i="58"/>
  <c r="N26" i="58"/>
  <c r="L26" i="58"/>
  <c r="B26" i="58"/>
  <c r="X25" i="58"/>
  <c r="Z25" i="58" s="1"/>
  <c r="V25" i="58"/>
  <c r="N25" i="58"/>
  <c r="L25" i="58"/>
  <c r="J25" i="58"/>
  <c r="B25" i="58"/>
  <c r="X24" i="58"/>
  <c r="Z24" i="58" s="1"/>
  <c r="L24" i="58"/>
  <c r="N24" i="58" s="1"/>
  <c r="B24" i="58"/>
  <c r="Z23" i="58"/>
  <c r="X23" i="58"/>
  <c r="V23" i="58"/>
  <c r="N23" i="58"/>
  <c r="L23" i="58"/>
  <c r="B23" i="58"/>
  <c r="X22" i="58"/>
  <c r="Z22" i="58" s="1"/>
  <c r="N22" i="58"/>
  <c r="L22" i="58"/>
  <c r="J22" i="58"/>
  <c r="F22" i="58"/>
  <c r="B22" i="58"/>
  <c r="Z21" i="58"/>
  <c r="X21" i="58"/>
  <c r="V21" i="58"/>
  <c r="L21" i="58"/>
  <c r="N21" i="58" s="1"/>
  <c r="J21" i="58"/>
  <c r="B21" i="58"/>
  <c r="X20" i="58"/>
  <c r="Z20" i="58" s="1"/>
  <c r="T20" i="58"/>
  <c r="P20" i="58"/>
  <c r="L20" i="58"/>
  <c r="H20" i="58"/>
  <c r="D20" i="58"/>
  <c r="B20" i="58"/>
  <c r="T19" i="58" a="1"/>
  <c r="T19" i="58" s="1"/>
  <c r="V19" i="58" s="1"/>
  <c r="P19" i="58" a="1"/>
  <c r="P19" i="58"/>
  <c r="H19" i="58" a="1"/>
  <c r="H19" i="58" s="1"/>
  <c r="D19" i="58" a="1"/>
  <c r="D19" i="58" s="1"/>
  <c r="J17" i="58"/>
  <c r="H17" i="58"/>
  <c r="T15" i="58"/>
  <c r="P15" i="58"/>
  <c r="N15" i="58"/>
  <c r="J15" i="58"/>
  <c r="H15" i="58"/>
  <c r="D15" i="58"/>
  <c r="P13" i="58"/>
  <c r="X13" i="58" s="1"/>
  <c r="Z13" i="58" s="1"/>
  <c r="N13" i="58"/>
  <c r="L13" i="58"/>
  <c r="D13" i="58"/>
  <c r="B13" i="58"/>
  <c r="X12" i="58"/>
  <c r="Z12" i="58" s="1"/>
  <c r="T12" i="58"/>
  <c r="P12" i="58"/>
  <c r="R70" i="58" s="1"/>
  <c r="N12" i="58"/>
  <c r="L12" i="58"/>
  <c r="H12" i="58"/>
  <c r="J77" i="58" s="1"/>
  <c r="D12" i="58"/>
  <c r="F66" i="58" s="1"/>
  <c r="D6" i="58"/>
  <c r="D4" i="58"/>
  <c r="X94" i="57"/>
  <c r="Z94" i="57" s="1"/>
  <c r="L94" i="57"/>
  <c r="N94" i="57" s="1"/>
  <c r="X90" i="57"/>
  <c r="T90" i="57"/>
  <c r="Z90" i="57" s="1"/>
  <c r="P90" i="57"/>
  <c r="H90" i="57"/>
  <c r="N90" i="57" s="1"/>
  <c r="D90" i="57"/>
  <c r="Z88" i="57"/>
  <c r="X88" i="57"/>
  <c r="N88" i="57"/>
  <c r="L88" i="57"/>
  <c r="B88" i="57"/>
  <c r="Z87" i="57"/>
  <c r="T87" i="57"/>
  <c r="P87" i="57"/>
  <c r="X87" i="57" s="1"/>
  <c r="N87" i="57"/>
  <c r="H87" i="57"/>
  <c r="L87" i="57" s="1"/>
  <c r="D87" i="57"/>
  <c r="B87" i="57"/>
  <c r="Z86" i="57"/>
  <c r="X86" i="57"/>
  <c r="L86" i="57"/>
  <c r="N86" i="57" s="1"/>
  <c r="B86" i="57"/>
  <c r="Z85" i="57"/>
  <c r="V85" i="57"/>
  <c r="T85" i="57"/>
  <c r="X85" i="57" s="1"/>
  <c r="P85" i="57"/>
  <c r="H85" i="57"/>
  <c r="D85" i="57"/>
  <c r="L85" i="57" s="1"/>
  <c r="N85" i="57" s="1"/>
  <c r="B85" i="57"/>
  <c r="X84" i="57"/>
  <c r="Z84" i="57" s="1"/>
  <c r="L84" i="57"/>
  <c r="N84" i="57" s="1"/>
  <c r="B84" i="57"/>
  <c r="T83" i="57"/>
  <c r="P83" i="57"/>
  <c r="X83" i="57" s="1"/>
  <c r="Z83" i="57" s="1"/>
  <c r="H83" i="57"/>
  <c r="D83" i="57"/>
  <c r="B83" i="57"/>
  <c r="X82" i="57"/>
  <c r="Z82" i="57" s="1"/>
  <c r="L82" i="57"/>
  <c r="N82" i="57" s="1"/>
  <c r="B82" i="57"/>
  <c r="Z81" i="57"/>
  <c r="X81" i="57"/>
  <c r="N81" i="57"/>
  <c r="L81" i="57"/>
  <c r="B81" i="57"/>
  <c r="X80" i="57"/>
  <c r="Z80" i="57" s="1"/>
  <c r="L80" i="57"/>
  <c r="N80" i="57" s="1"/>
  <c r="B80" i="57"/>
  <c r="X79" i="57"/>
  <c r="Z79" i="57" s="1"/>
  <c r="N79" i="57"/>
  <c r="L79" i="57"/>
  <c r="B79" i="57"/>
  <c r="Z78" i="57"/>
  <c r="X78" i="57"/>
  <c r="L78" i="57"/>
  <c r="N78" i="57" s="1"/>
  <c r="B78" i="57"/>
  <c r="Z77" i="57"/>
  <c r="X77" i="57"/>
  <c r="N77" i="57"/>
  <c r="L77" i="57"/>
  <c r="B77" i="57"/>
  <c r="X76" i="57"/>
  <c r="Z76" i="57" s="1"/>
  <c r="N76" i="57"/>
  <c r="L76" i="57"/>
  <c r="B76" i="57"/>
  <c r="Z75" i="57"/>
  <c r="X75" i="57"/>
  <c r="T75" i="57"/>
  <c r="P75" i="57"/>
  <c r="H75" i="57"/>
  <c r="D75" i="57"/>
  <c r="B75" i="57"/>
  <c r="Z74" i="57"/>
  <c r="X74" i="57"/>
  <c r="L74" i="57"/>
  <c r="N74" i="57" s="1"/>
  <c r="B74" i="57"/>
  <c r="Z73" i="57"/>
  <c r="X73" i="57"/>
  <c r="N73" i="57"/>
  <c r="L73" i="57"/>
  <c r="B73" i="57"/>
  <c r="X72" i="57"/>
  <c r="Z72" i="57" s="1"/>
  <c r="L72" i="57"/>
  <c r="N72" i="57" s="1"/>
  <c r="B72" i="57"/>
  <c r="X71" i="57"/>
  <c r="Z71" i="57" s="1"/>
  <c r="N71" i="57"/>
  <c r="L71" i="57"/>
  <c r="B71" i="57"/>
  <c r="T70" i="57"/>
  <c r="P70" i="57"/>
  <c r="L70" i="57"/>
  <c r="H70" i="57"/>
  <c r="D70" i="57"/>
  <c r="B70" i="57"/>
  <c r="Z69" i="57"/>
  <c r="X69" i="57"/>
  <c r="N69" i="57"/>
  <c r="L69" i="57"/>
  <c r="B69" i="57"/>
  <c r="X68" i="57"/>
  <c r="Z68" i="57" s="1"/>
  <c r="N68" i="57"/>
  <c r="L68" i="57"/>
  <c r="B68" i="57"/>
  <c r="Z67" i="57"/>
  <c r="X67" i="57"/>
  <c r="N67" i="57"/>
  <c r="L67" i="57"/>
  <c r="B67" i="57"/>
  <c r="Z66" i="57"/>
  <c r="T66" i="57"/>
  <c r="P66" i="57"/>
  <c r="X66" i="57" s="1"/>
  <c r="H66" i="57"/>
  <c r="D66" i="57"/>
  <c r="L66" i="57" s="1"/>
  <c r="B66" i="57"/>
  <c r="Z65" i="57"/>
  <c r="X65" i="57"/>
  <c r="N65" i="57"/>
  <c r="L65" i="57"/>
  <c r="J65" i="57"/>
  <c r="B65" i="57"/>
  <c r="T64" i="57"/>
  <c r="P64" i="57"/>
  <c r="X64" i="57" s="1"/>
  <c r="Z64" i="57" s="1"/>
  <c r="N64" i="57"/>
  <c r="H64" i="57"/>
  <c r="D64" i="57"/>
  <c r="L64" i="57" s="1"/>
  <c r="B64" i="57"/>
  <c r="X63" i="57"/>
  <c r="Z63" i="57" s="1"/>
  <c r="L63" i="57"/>
  <c r="N63" i="57" s="1"/>
  <c r="B63" i="57"/>
  <c r="X62" i="57"/>
  <c r="T62" i="57"/>
  <c r="Z62" i="57" s="1"/>
  <c r="P62" i="57"/>
  <c r="H62" i="57"/>
  <c r="D62" i="57"/>
  <c r="B62" i="57"/>
  <c r="X61" i="57"/>
  <c r="Z61" i="57" s="1"/>
  <c r="N61" i="57"/>
  <c r="L61" i="57"/>
  <c r="B61" i="57"/>
  <c r="T60" i="57"/>
  <c r="P60" i="57"/>
  <c r="N60" i="57"/>
  <c r="H60" i="57"/>
  <c r="D60" i="57"/>
  <c r="L60" i="57" s="1"/>
  <c r="B60" i="57"/>
  <c r="X59" i="57"/>
  <c r="Z59" i="57" s="1"/>
  <c r="L59" i="57"/>
  <c r="N59" i="57" s="1"/>
  <c r="B59" i="57"/>
  <c r="T58" i="57"/>
  <c r="P58" i="57"/>
  <c r="X58" i="57" s="1"/>
  <c r="Z58" i="57" s="1"/>
  <c r="H58" i="57"/>
  <c r="D58" i="57"/>
  <c r="L58" i="57" s="1"/>
  <c r="N58" i="57" s="1"/>
  <c r="B58" i="57"/>
  <c r="X57" i="57"/>
  <c r="Z57" i="57" s="1"/>
  <c r="N57" i="57"/>
  <c r="L57" i="57"/>
  <c r="B57" i="57"/>
  <c r="T56" i="57"/>
  <c r="P56" i="57"/>
  <c r="X56" i="57" s="1"/>
  <c r="Z56" i="57" s="1"/>
  <c r="N56" i="57"/>
  <c r="L56" i="57"/>
  <c r="J56" i="57"/>
  <c r="H56" i="57"/>
  <c r="D56" i="57"/>
  <c r="B56" i="57"/>
  <c r="X55" i="57"/>
  <c r="Z55" i="57" s="1"/>
  <c r="L55" i="57"/>
  <c r="N55" i="57" s="1"/>
  <c r="B55" i="57"/>
  <c r="X54" i="57"/>
  <c r="Z54" i="57" s="1"/>
  <c r="V54" i="57"/>
  <c r="T54" i="57"/>
  <c r="P54" i="57"/>
  <c r="H54" i="57"/>
  <c r="D54" i="57"/>
  <c r="B54" i="57"/>
  <c r="X53" i="57"/>
  <c r="Z53" i="57" s="1"/>
  <c r="N53" i="57"/>
  <c r="L53" i="57"/>
  <c r="B53" i="57"/>
  <c r="T52" i="57"/>
  <c r="P52" i="57"/>
  <c r="X52" i="57" s="1"/>
  <c r="N52" i="57"/>
  <c r="H52" i="57"/>
  <c r="D52" i="57"/>
  <c r="L52" i="57" s="1"/>
  <c r="B52" i="57"/>
  <c r="X51" i="57"/>
  <c r="Z51" i="57" s="1"/>
  <c r="N51" i="57"/>
  <c r="L51" i="57"/>
  <c r="B51" i="57"/>
  <c r="T50" i="57"/>
  <c r="P50" i="57"/>
  <c r="X50" i="57" s="1"/>
  <c r="Z50" i="57" s="1"/>
  <c r="N50" i="57"/>
  <c r="H50" i="57"/>
  <c r="L50" i="57" s="1"/>
  <c r="D50" i="57"/>
  <c r="B50" i="57"/>
  <c r="X49" i="57"/>
  <c r="Z49" i="57" s="1"/>
  <c r="N49" i="57"/>
  <c r="L49" i="57"/>
  <c r="B49" i="57"/>
  <c r="Z48" i="57"/>
  <c r="T48" i="57"/>
  <c r="X48" i="57" s="1"/>
  <c r="P48" i="57"/>
  <c r="L48" i="57"/>
  <c r="J48" i="57"/>
  <c r="H48" i="57"/>
  <c r="N48" i="57" s="1"/>
  <c r="D48" i="57"/>
  <c r="B48" i="57"/>
  <c r="Z47" i="57"/>
  <c r="X47" i="57"/>
  <c r="N47" i="57"/>
  <c r="L47" i="57"/>
  <c r="B47" i="57"/>
  <c r="Z46" i="57"/>
  <c r="X46" i="57"/>
  <c r="V46" i="57"/>
  <c r="N46" i="57"/>
  <c r="L46" i="57"/>
  <c r="B46" i="57"/>
  <c r="X45" i="57"/>
  <c r="Z45" i="57" s="1"/>
  <c r="N45" i="57"/>
  <c r="L45" i="57"/>
  <c r="B45" i="57"/>
  <c r="Z44" i="57"/>
  <c r="X44" i="57"/>
  <c r="N44" i="57"/>
  <c r="L44" i="57"/>
  <c r="B44" i="57"/>
  <c r="Z43" i="57"/>
  <c r="X43" i="57"/>
  <c r="N43" i="57"/>
  <c r="L43" i="57"/>
  <c r="B43" i="57"/>
  <c r="Z42" i="57"/>
  <c r="X42" i="57"/>
  <c r="N42" i="57"/>
  <c r="L42" i="57"/>
  <c r="B42" i="57"/>
  <c r="X41" i="57"/>
  <c r="Z41" i="57" s="1"/>
  <c r="L41" i="57"/>
  <c r="N41" i="57" s="1"/>
  <c r="B41" i="57"/>
  <c r="Z40" i="57"/>
  <c r="X40" i="57"/>
  <c r="N40" i="57"/>
  <c r="L40" i="57"/>
  <c r="B40" i="57"/>
  <c r="Z39" i="57"/>
  <c r="X39" i="57"/>
  <c r="L39" i="57"/>
  <c r="N39" i="57" s="1"/>
  <c r="B39" i="57"/>
  <c r="Z38" i="57"/>
  <c r="X38" i="57"/>
  <c r="V38" i="57"/>
  <c r="N38" i="57"/>
  <c r="L38" i="57"/>
  <c r="B38" i="57"/>
  <c r="X37" i="57"/>
  <c r="Z37" i="57" s="1"/>
  <c r="T37" i="57"/>
  <c r="P37" i="57"/>
  <c r="H37" i="57"/>
  <c r="D37" i="57"/>
  <c r="L37" i="57" s="1"/>
  <c r="B37" i="57"/>
  <c r="Z36" i="57"/>
  <c r="X36" i="57"/>
  <c r="N36" i="57"/>
  <c r="L36" i="57"/>
  <c r="B36" i="57"/>
  <c r="X35" i="57"/>
  <c r="Z35" i="57" s="1"/>
  <c r="L35" i="57"/>
  <c r="N35" i="57" s="1"/>
  <c r="B35" i="57"/>
  <c r="X34" i="57"/>
  <c r="Z34" i="57" s="1"/>
  <c r="V34" i="57"/>
  <c r="N34" i="57"/>
  <c r="L34" i="57"/>
  <c r="B34" i="57"/>
  <c r="Z33" i="57"/>
  <c r="X33" i="57"/>
  <c r="N33" i="57"/>
  <c r="L33" i="57"/>
  <c r="B33" i="57"/>
  <c r="Z32" i="57"/>
  <c r="X32" i="57"/>
  <c r="N32" i="57"/>
  <c r="L32" i="57"/>
  <c r="B32" i="57"/>
  <c r="X31" i="57"/>
  <c r="Z31" i="57" s="1"/>
  <c r="L31" i="57"/>
  <c r="N31" i="57" s="1"/>
  <c r="B31" i="57"/>
  <c r="Z30" i="57"/>
  <c r="X30" i="57"/>
  <c r="L30" i="57"/>
  <c r="N30" i="57" s="1"/>
  <c r="B30" i="57"/>
  <c r="X29" i="57"/>
  <c r="Z29" i="57" s="1"/>
  <c r="L29" i="57"/>
  <c r="N29" i="57" s="1"/>
  <c r="B29" i="57"/>
  <c r="Z28" i="57"/>
  <c r="X28" i="57"/>
  <c r="N28" i="57"/>
  <c r="L28" i="57"/>
  <c r="B28" i="57"/>
  <c r="X27" i="57"/>
  <c r="Z27" i="57" s="1"/>
  <c r="L27" i="57"/>
  <c r="N27" i="57" s="1"/>
  <c r="B27" i="57"/>
  <c r="X26" i="57"/>
  <c r="Z26" i="57" s="1"/>
  <c r="V26" i="57"/>
  <c r="T26" i="57"/>
  <c r="P26" i="57"/>
  <c r="H26" i="57"/>
  <c r="D26" i="57"/>
  <c r="B26" i="57"/>
  <c r="T25" i="57" a="1"/>
  <c r="T25" i="57"/>
  <c r="P25" i="57" a="1"/>
  <c r="P25" i="57" s="1"/>
  <c r="X25" i="57" s="1"/>
  <c r="H25" i="57" a="1"/>
  <c r="H25" i="57" s="1"/>
  <c r="D25" i="57" a="1"/>
  <c r="D25" i="57" s="1"/>
  <c r="T23" i="57"/>
  <c r="Z21" i="57"/>
  <c r="X21" i="57"/>
  <c r="V21" i="57"/>
  <c r="N21" i="57"/>
  <c r="L21" i="57"/>
  <c r="B21" i="57"/>
  <c r="Z20" i="57"/>
  <c r="X20" i="57"/>
  <c r="N20" i="57"/>
  <c r="L20" i="57"/>
  <c r="B20" i="57"/>
  <c r="Z19" i="57"/>
  <c r="X19" i="57"/>
  <c r="N19" i="57"/>
  <c r="L19" i="57"/>
  <c r="B19" i="57"/>
  <c r="T18" i="57"/>
  <c r="P18" i="57"/>
  <c r="X18" i="57" s="1"/>
  <c r="Z18" i="57" s="1"/>
  <c r="N18" i="57"/>
  <c r="L18" i="57"/>
  <c r="H18" i="57"/>
  <c r="D18" i="57"/>
  <c r="Z16" i="57"/>
  <c r="P16" i="57"/>
  <c r="X16" i="57" s="1"/>
  <c r="N16" i="57"/>
  <c r="L16" i="57"/>
  <c r="D16" i="57"/>
  <c r="B16" i="57"/>
  <c r="Z15" i="57"/>
  <c r="X15" i="57"/>
  <c r="P15" i="57"/>
  <c r="N15" i="57"/>
  <c r="L15" i="57"/>
  <c r="D15" i="57"/>
  <c r="B15" i="57"/>
  <c r="P14" i="57"/>
  <c r="X14" i="57" s="1"/>
  <c r="Z14" i="57" s="1"/>
  <c r="N14" i="57"/>
  <c r="L14" i="57"/>
  <c r="D14" i="57"/>
  <c r="B14" i="57"/>
  <c r="Z13" i="57"/>
  <c r="X13" i="57"/>
  <c r="P13" i="57"/>
  <c r="N13" i="57"/>
  <c r="D13" i="57"/>
  <c r="B13" i="57"/>
  <c r="T12" i="57"/>
  <c r="V88" i="57" s="1"/>
  <c r="H12" i="57"/>
  <c r="J30" i="57" s="1"/>
  <c r="D6" i="57"/>
  <c r="D4" i="57"/>
  <c r="Z95" i="56"/>
  <c r="X95" i="56"/>
  <c r="N95" i="56"/>
  <c r="L95" i="56"/>
  <c r="Z91" i="56"/>
  <c r="X91" i="56"/>
  <c r="T91" i="56"/>
  <c r="P91" i="56"/>
  <c r="H91" i="56"/>
  <c r="N91" i="56" s="1"/>
  <c r="D91" i="56"/>
  <c r="L91" i="56" s="1"/>
  <c r="Z89" i="56"/>
  <c r="X89" i="56"/>
  <c r="L89" i="56"/>
  <c r="N89" i="56" s="1"/>
  <c r="B89" i="56"/>
  <c r="T88" i="56"/>
  <c r="P88" i="56"/>
  <c r="H88" i="56"/>
  <c r="D88" i="56"/>
  <c r="L88" i="56" s="1"/>
  <c r="B88" i="56"/>
  <c r="X87" i="56"/>
  <c r="Z87" i="56" s="1"/>
  <c r="N87" i="56"/>
  <c r="L87" i="56"/>
  <c r="B87" i="56"/>
  <c r="T86" i="56"/>
  <c r="Z86" i="56" s="1"/>
  <c r="P86" i="56"/>
  <c r="X86" i="56" s="1"/>
  <c r="N86" i="56"/>
  <c r="H86" i="56"/>
  <c r="D86" i="56"/>
  <c r="L86" i="56" s="1"/>
  <c r="B86" i="56"/>
  <c r="Z85" i="56"/>
  <c r="X85" i="56"/>
  <c r="N85" i="56"/>
  <c r="L85" i="56"/>
  <c r="B85" i="56"/>
  <c r="Z84" i="56"/>
  <c r="X84" i="56"/>
  <c r="N84" i="56"/>
  <c r="L84" i="56"/>
  <c r="B84" i="56"/>
  <c r="X83" i="56"/>
  <c r="Z83" i="56" s="1"/>
  <c r="N83" i="56"/>
  <c r="L83" i="56"/>
  <c r="B83" i="56"/>
  <c r="X82" i="56"/>
  <c r="Z82" i="56" s="1"/>
  <c r="L82" i="56"/>
  <c r="N82" i="56" s="1"/>
  <c r="B82" i="56"/>
  <c r="Z81" i="56"/>
  <c r="X81" i="56"/>
  <c r="L81" i="56"/>
  <c r="N81" i="56" s="1"/>
  <c r="B81" i="56"/>
  <c r="X80" i="56"/>
  <c r="Z80" i="56" s="1"/>
  <c r="N80" i="56"/>
  <c r="L80" i="56"/>
  <c r="B80" i="56"/>
  <c r="Z79" i="56"/>
  <c r="X79" i="56"/>
  <c r="L79" i="56"/>
  <c r="N79" i="56" s="1"/>
  <c r="B79" i="56"/>
  <c r="Z78" i="56"/>
  <c r="X78" i="56"/>
  <c r="N78" i="56"/>
  <c r="L78" i="56"/>
  <c r="F78" i="56"/>
  <c r="B78" i="56"/>
  <c r="Z77" i="56"/>
  <c r="X77" i="56"/>
  <c r="N77" i="56"/>
  <c r="L77" i="56"/>
  <c r="B77" i="56"/>
  <c r="Z76" i="56"/>
  <c r="T76" i="56"/>
  <c r="P76" i="56"/>
  <c r="X76" i="56" s="1"/>
  <c r="H76" i="56"/>
  <c r="D76" i="56"/>
  <c r="B76" i="56"/>
  <c r="Z75" i="56"/>
  <c r="X75" i="56"/>
  <c r="N75" i="56"/>
  <c r="L75" i="56"/>
  <c r="J75" i="56"/>
  <c r="B75" i="56"/>
  <c r="T74" i="56"/>
  <c r="P74" i="56"/>
  <c r="X74" i="56" s="1"/>
  <c r="H74" i="56"/>
  <c r="N74" i="56" s="1"/>
  <c r="D74" i="56"/>
  <c r="L74" i="56" s="1"/>
  <c r="B74" i="56"/>
  <c r="Z73" i="56"/>
  <c r="X73" i="56"/>
  <c r="N73" i="56"/>
  <c r="L73" i="56"/>
  <c r="J73" i="56"/>
  <c r="B73" i="56"/>
  <c r="X72" i="56"/>
  <c r="Z72" i="56" s="1"/>
  <c r="L72" i="56"/>
  <c r="N72" i="56" s="1"/>
  <c r="B72" i="56"/>
  <c r="Z71" i="56"/>
  <c r="X71" i="56"/>
  <c r="N71" i="56"/>
  <c r="L71" i="56"/>
  <c r="J71" i="56"/>
  <c r="B71" i="56"/>
  <c r="X70" i="56"/>
  <c r="Z70" i="56" s="1"/>
  <c r="L70" i="56"/>
  <c r="N70" i="56" s="1"/>
  <c r="B70" i="56"/>
  <c r="V69" i="56"/>
  <c r="T69" i="56"/>
  <c r="X69" i="56" s="1"/>
  <c r="Z69" i="56" s="1"/>
  <c r="P69" i="56"/>
  <c r="H69" i="56"/>
  <c r="F69" i="56"/>
  <c r="D69" i="56"/>
  <c r="L69" i="56" s="1"/>
  <c r="N69" i="56" s="1"/>
  <c r="B69" i="56"/>
  <c r="X68" i="56"/>
  <c r="Z68" i="56" s="1"/>
  <c r="L68" i="56"/>
  <c r="N68" i="56" s="1"/>
  <c r="B68" i="56"/>
  <c r="Z67" i="56"/>
  <c r="X67" i="56"/>
  <c r="N67" i="56"/>
  <c r="L67" i="56"/>
  <c r="J67" i="56"/>
  <c r="B67" i="56"/>
  <c r="T66" i="56"/>
  <c r="P66" i="56"/>
  <c r="X66" i="56" s="1"/>
  <c r="H66" i="56"/>
  <c r="D66" i="56"/>
  <c r="L66" i="56" s="1"/>
  <c r="B66" i="56"/>
  <c r="Z65" i="56"/>
  <c r="X65" i="56"/>
  <c r="N65" i="56"/>
  <c r="L65" i="56"/>
  <c r="J65" i="56"/>
  <c r="B65" i="56"/>
  <c r="T64" i="56"/>
  <c r="Z64" i="56" s="1"/>
  <c r="P64" i="56"/>
  <c r="X64" i="56" s="1"/>
  <c r="L64" i="56"/>
  <c r="H64" i="56"/>
  <c r="N64" i="56" s="1"/>
  <c r="D64" i="56"/>
  <c r="B64" i="56"/>
  <c r="Z63" i="56"/>
  <c r="X63" i="56"/>
  <c r="V63" i="56"/>
  <c r="N63" i="56"/>
  <c r="L63" i="56"/>
  <c r="B63" i="56"/>
  <c r="X62" i="56"/>
  <c r="T62" i="56"/>
  <c r="Z62" i="56" s="1"/>
  <c r="P62" i="56"/>
  <c r="L62" i="56"/>
  <c r="H62" i="56"/>
  <c r="N62" i="56" s="1"/>
  <c r="D62" i="56"/>
  <c r="B62" i="56"/>
  <c r="Z61" i="56"/>
  <c r="X61" i="56"/>
  <c r="V61" i="56"/>
  <c r="N61" i="56"/>
  <c r="L61" i="56"/>
  <c r="B61" i="56"/>
  <c r="X60" i="56"/>
  <c r="T60" i="56"/>
  <c r="P60" i="56"/>
  <c r="H60" i="56"/>
  <c r="D60" i="56"/>
  <c r="B60" i="56"/>
  <c r="Z59" i="56"/>
  <c r="X59" i="56"/>
  <c r="N59" i="56"/>
  <c r="L59" i="56"/>
  <c r="J59" i="56"/>
  <c r="B59" i="56"/>
  <c r="T58" i="56"/>
  <c r="P58" i="56"/>
  <c r="X58" i="56" s="1"/>
  <c r="H58" i="56"/>
  <c r="D58" i="56"/>
  <c r="L58" i="56" s="1"/>
  <c r="B58" i="56"/>
  <c r="Z57" i="56"/>
  <c r="X57" i="56"/>
  <c r="N57" i="56"/>
  <c r="L57" i="56"/>
  <c r="J57" i="56"/>
  <c r="B57" i="56"/>
  <c r="T56" i="56"/>
  <c r="Z56" i="56" s="1"/>
  <c r="P56" i="56"/>
  <c r="X56" i="56" s="1"/>
  <c r="L56" i="56"/>
  <c r="H56" i="56"/>
  <c r="N56" i="56" s="1"/>
  <c r="D56" i="56"/>
  <c r="B56" i="56"/>
  <c r="Z55" i="56"/>
  <c r="X55" i="56"/>
  <c r="V55" i="56"/>
  <c r="N55" i="56"/>
  <c r="L55" i="56"/>
  <c r="B55" i="56"/>
  <c r="X54" i="56"/>
  <c r="T54" i="56"/>
  <c r="Z54" i="56" s="1"/>
  <c r="P54" i="56"/>
  <c r="L54" i="56"/>
  <c r="H54" i="56"/>
  <c r="N54" i="56" s="1"/>
  <c r="D54" i="56"/>
  <c r="B54" i="56"/>
  <c r="Z53" i="56"/>
  <c r="X53" i="56"/>
  <c r="V53" i="56"/>
  <c r="N53" i="56"/>
  <c r="L53" i="56"/>
  <c r="B53" i="56"/>
  <c r="X52" i="56"/>
  <c r="T52" i="56"/>
  <c r="P52" i="56"/>
  <c r="H52" i="56"/>
  <c r="D52" i="56"/>
  <c r="B52" i="56"/>
  <c r="Z51" i="56"/>
  <c r="X51" i="56"/>
  <c r="N51" i="56"/>
  <c r="L51" i="56"/>
  <c r="J51" i="56"/>
  <c r="B51" i="56"/>
  <c r="T50" i="56"/>
  <c r="P50" i="56"/>
  <c r="X50" i="56" s="1"/>
  <c r="H50" i="56"/>
  <c r="N50" i="56" s="1"/>
  <c r="D50" i="56"/>
  <c r="L50" i="56" s="1"/>
  <c r="B50" i="56"/>
  <c r="Z49" i="56"/>
  <c r="X49" i="56"/>
  <c r="N49" i="56"/>
  <c r="L49" i="56"/>
  <c r="J49" i="56"/>
  <c r="B49" i="56"/>
  <c r="T48" i="56"/>
  <c r="Z48" i="56" s="1"/>
  <c r="P48" i="56"/>
  <c r="X48" i="56" s="1"/>
  <c r="L48" i="56"/>
  <c r="H48" i="56"/>
  <c r="N48" i="56" s="1"/>
  <c r="D48" i="56"/>
  <c r="B48" i="56"/>
  <c r="Z47" i="56"/>
  <c r="X47" i="56"/>
  <c r="V47" i="56"/>
  <c r="N47" i="56"/>
  <c r="L47" i="56"/>
  <c r="B47" i="56"/>
  <c r="Z46" i="56"/>
  <c r="X46" i="56"/>
  <c r="N46" i="56"/>
  <c r="L46" i="56"/>
  <c r="F46" i="56"/>
  <c r="B46" i="56"/>
  <c r="Z45" i="56"/>
  <c r="X45" i="56"/>
  <c r="N45" i="56"/>
  <c r="L45" i="56"/>
  <c r="J45" i="56"/>
  <c r="B45" i="56"/>
  <c r="X44" i="56"/>
  <c r="Z44" i="56" s="1"/>
  <c r="N44" i="56"/>
  <c r="L44" i="56"/>
  <c r="F44" i="56"/>
  <c r="B44" i="56"/>
  <c r="Z43" i="56"/>
  <c r="X43" i="56"/>
  <c r="N43" i="56"/>
  <c r="L43" i="56"/>
  <c r="J43" i="56"/>
  <c r="B43" i="56"/>
  <c r="X42" i="56"/>
  <c r="Z42" i="56" s="1"/>
  <c r="L42" i="56"/>
  <c r="N42" i="56" s="1"/>
  <c r="B42" i="56"/>
  <c r="Z41" i="56"/>
  <c r="X41" i="56"/>
  <c r="V41" i="56"/>
  <c r="N41" i="56"/>
  <c r="L41" i="56"/>
  <c r="B41" i="56"/>
  <c r="Z40" i="56"/>
  <c r="X40" i="56"/>
  <c r="N40" i="56"/>
  <c r="L40" i="56"/>
  <c r="B40" i="56"/>
  <c r="Z39" i="56"/>
  <c r="X39" i="56"/>
  <c r="V39" i="56"/>
  <c r="N39" i="56"/>
  <c r="L39" i="56"/>
  <c r="B39" i="56"/>
  <c r="Z38" i="56"/>
  <c r="X38" i="56"/>
  <c r="N38" i="56"/>
  <c r="L38" i="56"/>
  <c r="F38" i="56"/>
  <c r="B38" i="56"/>
  <c r="Z37" i="56"/>
  <c r="T37" i="56"/>
  <c r="P37" i="56"/>
  <c r="X37" i="56" s="1"/>
  <c r="N37" i="56"/>
  <c r="L37" i="56"/>
  <c r="J37" i="56"/>
  <c r="H37" i="56"/>
  <c r="D37" i="56"/>
  <c r="B37" i="56"/>
  <c r="X36" i="56"/>
  <c r="Z36" i="56" s="1"/>
  <c r="L36" i="56"/>
  <c r="N36" i="56" s="1"/>
  <c r="B36" i="56"/>
  <c r="Z35" i="56"/>
  <c r="X35" i="56"/>
  <c r="V35" i="56"/>
  <c r="N35" i="56"/>
  <c r="L35" i="56"/>
  <c r="J35" i="56"/>
  <c r="B35" i="56"/>
  <c r="X34" i="56"/>
  <c r="Z34" i="56" s="1"/>
  <c r="L34" i="56"/>
  <c r="N34" i="56" s="1"/>
  <c r="F34" i="56"/>
  <c r="B34" i="56"/>
  <c r="Z33" i="56"/>
  <c r="X33" i="56"/>
  <c r="N33" i="56"/>
  <c r="L33" i="56"/>
  <c r="J33" i="56"/>
  <c r="B33" i="56"/>
  <c r="Z32" i="56"/>
  <c r="X32" i="56"/>
  <c r="N32" i="56"/>
  <c r="L32" i="56"/>
  <c r="F32" i="56"/>
  <c r="B32" i="56"/>
  <c r="Z31" i="56"/>
  <c r="X31" i="56"/>
  <c r="N31" i="56"/>
  <c r="L31" i="56"/>
  <c r="J31" i="56"/>
  <c r="B31" i="56"/>
  <c r="X30" i="56"/>
  <c r="Z30" i="56" s="1"/>
  <c r="L30" i="56"/>
  <c r="N30" i="56" s="1"/>
  <c r="B30" i="56"/>
  <c r="Z29" i="56"/>
  <c r="X29" i="56"/>
  <c r="V29" i="56"/>
  <c r="N29" i="56"/>
  <c r="L29" i="56"/>
  <c r="B29" i="56"/>
  <c r="X28" i="56"/>
  <c r="Z28" i="56" s="1"/>
  <c r="L28" i="56"/>
  <c r="N28" i="56" s="1"/>
  <c r="B28" i="56"/>
  <c r="Z27" i="56"/>
  <c r="X27" i="56"/>
  <c r="V27" i="56"/>
  <c r="N27" i="56"/>
  <c r="L27" i="56"/>
  <c r="J27" i="56"/>
  <c r="B27" i="56"/>
  <c r="X26" i="56"/>
  <c r="T26" i="56"/>
  <c r="P26" i="56"/>
  <c r="L26" i="56"/>
  <c r="H26" i="56"/>
  <c r="D26" i="56"/>
  <c r="B26" i="56"/>
  <c r="V25" i="56"/>
  <c r="T25" i="56" a="1"/>
  <c r="T25" i="56"/>
  <c r="P25" i="56" a="1"/>
  <c r="P25" i="56" s="1"/>
  <c r="J25" i="56"/>
  <c r="H25" i="56" a="1"/>
  <c r="H25" i="56"/>
  <c r="D25" i="56" a="1"/>
  <c r="D25" i="56" s="1"/>
  <c r="J23" i="56"/>
  <c r="Z21" i="56"/>
  <c r="X21" i="56"/>
  <c r="V21" i="56"/>
  <c r="N21" i="56"/>
  <c r="L21" i="56"/>
  <c r="J21" i="56"/>
  <c r="B21" i="56"/>
  <c r="Z20" i="56"/>
  <c r="X20" i="56"/>
  <c r="N20" i="56"/>
  <c r="L20" i="56"/>
  <c r="J20" i="56"/>
  <c r="F20" i="56"/>
  <c r="B20" i="56"/>
  <c r="Z19" i="56"/>
  <c r="X19" i="56"/>
  <c r="V19" i="56"/>
  <c r="N19" i="56"/>
  <c r="L19" i="56"/>
  <c r="J19" i="56"/>
  <c r="B19" i="56"/>
  <c r="T18" i="56"/>
  <c r="P18" i="56"/>
  <c r="H18" i="56"/>
  <c r="N18" i="56" s="1"/>
  <c r="D18" i="56"/>
  <c r="L18" i="56" s="1"/>
  <c r="Z16" i="56"/>
  <c r="X16" i="56"/>
  <c r="P16" i="56"/>
  <c r="N16" i="56"/>
  <c r="D16" i="56"/>
  <c r="L16" i="56" s="1"/>
  <c r="B16" i="56"/>
  <c r="Z15" i="56"/>
  <c r="P15" i="56"/>
  <c r="X15" i="56" s="1"/>
  <c r="N15" i="56"/>
  <c r="L15" i="56"/>
  <c r="D15" i="56"/>
  <c r="B15" i="56"/>
  <c r="X14" i="56"/>
  <c r="Z14" i="56" s="1"/>
  <c r="P14" i="56"/>
  <c r="N14" i="56"/>
  <c r="D14" i="56"/>
  <c r="L14" i="56" s="1"/>
  <c r="B14" i="56"/>
  <c r="Z13" i="56"/>
  <c r="P13" i="56"/>
  <c r="X13" i="56" s="1"/>
  <c r="N13" i="56"/>
  <c r="L13" i="56"/>
  <c r="D13" i="56"/>
  <c r="B13" i="56"/>
  <c r="T12" i="56"/>
  <c r="V60" i="56" s="1"/>
  <c r="N12" i="56"/>
  <c r="L12" i="56"/>
  <c r="H12" i="56"/>
  <c r="J91" i="56" s="1"/>
  <c r="D12" i="56"/>
  <c r="F83" i="56" s="1"/>
  <c r="D6" i="56"/>
  <c r="D4" i="56"/>
  <c r="Z38" i="55"/>
  <c r="X38" i="55"/>
  <c r="N38" i="55"/>
  <c r="L38" i="55"/>
  <c r="X34" i="55"/>
  <c r="T34" i="55"/>
  <c r="Z34" i="55" s="1"/>
  <c r="P34" i="55"/>
  <c r="L34" i="55"/>
  <c r="H34" i="55"/>
  <c r="N34" i="55" s="1"/>
  <c r="D34" i="55"/>
  <c r="Z32" i="55"/>
  <c r="X32" i="55"/>
  <c r="N32" i="55"/>
  <c r="L32" i="55"/>
  <c r="B32" i="55"/>
  <c r="Z31" i="55"/>
  <c r="X31" i="55"/>
  <c r="V31" i="55"/>
  <c r="T31" i="55"/>
  <c r="P31" i="55"/>
  <c r="J31" i="55"/>
  <c r="H31" i="55"/>
  <c r="N31" i="55" s="1"/>
  <c r="D31" i="55"/>
  <c r="B31" i="55"/>
  <c r="Z30" i="55"/>
  <c r="X30" i="55"/>
  <c r="N30" i="55"/>
  <c r="L30" i="55"/>
  <c r="B30" i="55"/>
  <c r="V29" i="55"/>
  <c r="T29" i="55"/>
  <c r="Z29" i="55" s="1"/>
  <c r="P29" i="55"/>
  <c r="N29" i="55"/>
  <c r="J29" i="55"/>
  <c r="H29" i="55"/>
  <c r="D29" i="55"/>
  <c r="L29" i="55" s="1"/>
  <c r="B29" i="55"/>
  <c r="Z28" i="55"/>
  <c r="X28" i="55"/>
  <c r="N28" i="55"/>
  <c r="L28" i="55"/>
  <c r="J28" i="55"/>
  <c r="B28" i="55"/>
  <c r="Z27" i="55"/>
  <c r="T27" i="55"/>
  <c r="P27" i="55"/>
  <c r="X27" i="55" s="1"/>
  <c r="N27" i="55"/>
  <c r="J27" i="55"/>
  <c r="H27" i="55"/>
  <c r="D27" i="55"/>
  <c r="L27" i="55" s="1"/>
  <c r="B27" i="55"/>
  <c r="Z26" i="55"/>
  <c r="X26" i="55"/>
  <c r="N26" i="55"/>
  <c r="L26" i="55"/>
  <c r="B26" i="55"/>
  <c r="Z25" i="55"/>
  <c r="V25" i="55"/>
  <c r="T25" i="55"/>
  <c r="P25" i="55"/>
  <c r="X25" i="55" s="1"/>
  <c r="N25" i="55"/>
  <c r="L25" i="55"/>
  <c r="J25" i="55"/>
  <c r="H25" i="55"/>
  <c r="D25" i="55"/>
  <c r="B25" i="55"/>
  <c r="Z24" i="55"/>
  <c r="X24" i="55"/>
  <c r="V24" i="55"/>
  <c r="N24" i="55"/>
  <c r="L24" i="55"/>
  <c r="B24" i="55"/>
  <c r="Z23" i="55"/>
  <c r="X23" i="55"/>
  <c r="V23" i="55"/>
  <c r="N23" i="55"/>
  <c r="L23" i="55"/>
  <c r="J23" i="55"/>
  <c r="B23" i="55"/>
  <c r="T22" i="55"/>
  <c r="Z22" i="55" s="1"/>
  <c r="P22" i="55"/>
  <c r="X22" i="55" s="1"/>
  <c r="J22" i="55"/>
  <c r="H22" i="55"/>
  <c r="N22" i="55" s="1"/>
  <c r="D22" i="55"/>
  <c r="L22" i="55" s="1"/>
  <c r="B22" i="55"/>
  <c r="V21" i="55"/>
  <c r="T21" i="55" a="1"/>
  <c r="T21" i="55" s="1"/>
  <c r="Z21" i="55" s="1"/>
  <c r="P21" i="55" a="1"/>
  <c r="P21" i="55" s="1"/>
  <c r="X21" i="55" s="1"/>
  <c r="J21" i="55"/>
  <c r="H21" i="55" a="1"/>
  <c r="H21" i="55" s="1"/>
  <c r="N21" i="55" s="1"/>
  <c r="D21" i="55" a="1"/>
  <c r="D21" i="55" s="1"/>
  <c r="V19" i="55"/>
  <c r="T19" i="55"/>
  <c r="J19" i="55"/>
  <c r="Z17" i="55"/>
  <c r="X17" i="55"/>
  <c r="V17" i="55"/>
  <c r="N17" i="55"/>
  <c r="L17" i="55"/>
  <c r="J17" i="55"/>
  <c r="B17" i="55"/>
  <c r="T16" i="55"/>
  <c r="Z16" i="55" s="1"/>
  <c r="P16" i="55"/>
  <c r="X16" i="55" s="1"/>
  <c r="N16" i="55"/>
  <c r="H16" i="55"/>
  <c r="L16" i="55" s="1"/>
  <c r="D16" i="55"/>
  <c r="Z14" i="55"/>
  <c r="X14" i="55"/>
  <c r="P14" i="55"/>
  <c r="N14" i="55"/>
  <c r="D14" i="55"/>
  <c r="L14" i="55" s="1"/>
  <c r="B14" i="55"/>
  <c r="Z13" i="55"/>
  <c r="P13" i="55"/>
  <c r="X13" i="55" s="1"/>
  <c r="N13" i="55"/>
  <c r="L13" i="55"/>
  <c r="D13" i="55"/>
  <c r="B13" i="55"/>
  <c r="X12" i="55"/>
  <c r="T12" i="55"/>
  <c r="V26" i="55" s="1"/>
  <c r="P12" i="55"/>
  <c r="R26" i="55" s="1"/>
  <c r="N12" i="55"/>
  <c r="H12" i="55"/>
  <c r="J40" i="55" s="1"/>
  <c r="D6" i="55"/>
  <c r="D4" i="55"/>
  <c r="X93" i="54"/>
  <c r="Z93" i="54" s="1"/>
  <c r="L93" i="54"/>
  <c r="N93" i="54" s="1"/>
  <c r="T89" i="54"/>
  <c r="P89" i="54"/>
  <c r="H89" i="54"/>
  <c r="N89" i="54" s="1"/>
  <c r="D89" i="54"/>
  <c r="L89" i="54" s="1"/>
  <c r="Z87" i="54"/>
  <c r="X87" i="54"/>
  <c r="L87" i="54"/>
  <c r="N87" i="54" s="1"/>
  <c r="B87" i="54"/>
  <c r="T86" i="54"/>
  <c r="X86" i="54" s="1"/>
  <c r="P86" i="54"/>
  <c r="N86" i="54"/>
  <c r="L86" i="54"/>
  <c r="H86" i="54"/>
  <c r="D86" i="54"/>
  <c r="B86" i="54"/>
  <c r="X85" i="54"/>
  <c r="Z85" i="54" s="1"/>
  <c r="N85" i="54"/>
  <c r="L85" i="54"/>
  <c r="B85" i="54"/>
  <c r="Z84" i="54"/>
  <c r="X84" i="54"/>
  <c r="T84" i="54"/>
  <c r="P84" i="54"/>
  <c r="J84" i="54"/>
  <c r="H84" i="54"/>
  <c r="D84" i="54"/>
  <c r="L84" i="54" s="1"/>
  <c r="B84" i="54"/>
  <c r="X83" i="54"/>
  <c r="Z83" i="54" s="1"/>
  <c r="N83" i="54"/>
  <c r="L83" i="54"/>
  <c r="B83" i="54"/>
  <c r="Z82" i="54"/>
  <c r="X82" i="54"/>
  <c r="N82" i="54"/>
  <c r="L82" i="54"/>
  <c r="B82" i="54"/>
  <c r="X81" i="54"/>
  <c r="Z81" i="54" s="1"/>
  <c r="N81" i="54"/>
  <c r="L81" i="54"/>
  <c r="B81" i="54"/>
  <c r="Z80" i="54"/>
  <c r="X80" i="54"/>
  <c r="L80" i="54"/>
  <c r="N80" i="54" s="1"/>
  <c r="B80" i="54"/>
  <c r="Z79" i="54"/>
  <c r="X79" i="54"/>
  <c r="L79" i="54"/>
  <c r="N79" i="54" s="1"/>
  <c r="F79" i="54"/>
  <c r="B79" i="54"/>
  <c r="X78" i="54"/>
  <c r="Z78" i="54" s="1"/>
  <c r="N78" i="54"/>
  <c r="L78" i="54"/>
  <c r="J78" i="54"/>
  <c r="B78" i="54"/>
  <c r="Z77" i="54"/>
  <c r="X77" i="54"/>
  <c r="L77" i="54"/>
  <c r="N77" i="54" s="1"/>
  <c r="B77" i="54"/>
  <c r="Z76" i="54"/>
  <c r="X76" i="54"/>
  <c r="N76" i="54"/>
  <c r="L76" i="54"/>
  <c r="B76" i="54"/>
  <c r="T75" i="54"/>
  <c r="P75" i="54"/>
  <c r="H75" i="54"/>
  <c r="N75" i="54" s="1"/>
  <c r="D75" i="54"/>
  <c r="L75" i="54" s="1"/>
  <c r="B75" i="54"/>
  <c r="X74" i="54"/>
  <c r="Z74" i="54" s="1"/>
  <c r="N74" i="54"/>
  <c r="L74" i="54"/>
  <c r="J74" i="54"/>
  <c r="B74" i="54"/>
  <c r="Z73" i="54"/>
  <c r="X73" i="54"/>
  <c r="L73" i="54"/>
  <c r="N73" i="54" s="1"/>
  <c r="B73" i="54"/>
  <c r="X72" i="54"/>
  <c r="Z72" i="54" s="1"/>
  <c r="N72" i="54"/>
  <c r="L72" i="54"/>
  <c r="B72" i="54"/>
  <c r="X71" i="54"/>
  <c r="Z71" i="54" s="1"/>
  <c r="N71" i="54"/>
  <c r="L71" i="54"/>
  <c r="B71" i="54"/>
  <c r="T70" i="54"/>
  <c r="Z70" i="54" s="1"/>
  <c r="P70" i="54"/>
  <c r="X70" i="54" s="1"/>
  <c r="H70" i="54"/>
  <c r="D70" i="54"/>
  <c r="L70" i="54" s="1"/>
  <c r="N70" i="54" s="1"/>
  <c r="B70" i="54"/>
  <c r="Z69" i="54"/>
  <c r="X69" i="54"/>
  <c r="L69" i="54"/>
  <c r="N69" i="54" s="1"/>
  <c r="B69" i="54"/>
  <c r="X68" i="54"/>
  <c r="Z68" i="54" s="1"/>
  <c r="N68" i="54"/>
  <c r="L68" i="54"/>
  <c r="B68" i="54"/>
  <c r="Z67" i="54"/>
  <c r="X67" i="54"/>
  <c r="N67" i="54"/>
  <c r="L67" i="54"/>
  <c r="B67" i="54"/>
  <c r="T66" i="54"/>
  <c r="P66" i="54"/>
  <c r="X66" i="54" s="1"/>
  <c r="H66" i="54"/>
  <c r="N66" i="54" s="1"/>
  <c r="F66" i="54"/>
  <c r="D66" i="54"/>
  <c r="L66" i="54" s="1"/>
  <c r="B66" i="54"/>
  <c r="Z65" i="54"/>
  <c r="X65" i="54"/>
  <c r="N65" i="54"/>
  <c r="L65" i="54"/>
  <c r="B65" i="54"/>
  <c r="T64" i="54"/>
  <c r="Z64" i="54" s="1"/>
  <c r="P64" i="54"/>
  <c r="X64" i="54" s="1"/>
  <c r="H64" i="54"/>
  <c r="L64" i="54" s="1"/>
  <c r="D64" i="54"/>
  <c r="B64" i="54"/>
  <c r="Z63" i="54"/>
  <c r="X63" i="54"/>
  <c r="N63" i="54"/>
  <c r="L63" i="54"/>
  <c r="B63" i="54"/>
  <c r="T62" i="54"/>
  <c r="Z62" i="54" s="1"/>
  <c r="P62" i="54"/>
  <c r="X62" i="54" s="1"/>
  <c r="N62" i="54"/>
  <c r="L62" i="54"/>
  <c r="H62" i="54"/>
  <c r="D62" i="54"/>
  <c r="B62" i="54"/>
  <c r="X61" i="54"/>
  <c r="Z61" i="54" s="1"/>
  <c r="N61" i="54"/>
  <c r="L61" i="54"/>
  <c r="B61" i="54"/>
  <c r="Z60" i="54"/>
  <c r="X60" i="54"/>
  <c r="T60" i="54"/>
  <c r="P60" i="54"/>
  <c r="J60" i="54"/>
  <c r="H60" i="54"/>
  <c r="N60" i="54" s="1"/>
  <c r="D60" i="54"/>
  <c r="L60" i="54" s="1"/>
  <c r="B60" i="54"/>
  <c r="Z59" i="54"/>
  <c r="X59" i="54"/>
  <c r="N59" i="54"/>
  <c r="L59" i="54"/>
  <c r="B59" i="54"/>
  <c r="T58" i="54"/>
  <c r="P58" i="54"/>
  <c r="X58" i="54" s="1"/>
  <c r="H58" i="54"/>
  <c r="N58" i="54" s="1"/>
  <c r="D58" i="54"/>
  <c r="L58" i="54" s="1"/>
  <c r="B58" i="54"/>
  <c r="Z57" i="54"/>
  <c r="X57" i="54"/>
  <c r="N57" i="54"/>
  <c r="L57" i="54"/>
  <c r="B57" i="54"/>
  <c r="T56" i="54"/>
  <c r="Z56" i="54" s="1"/>
  <c r="P56" i="54"/>
  <c r="X56" i="54" s="1"/>
  <c r="H56" i="54"/>
  <c r="L56" i="54" s="1"/>
  <c r="D56" i="54"/>
  <c r="B56" i="54"/>
  <c r="Z55" i="54"/>
  <c r="X55" i="54"/>
  <c r="N55" i="54"/>
  <c r="L55" i="54"/>
  <c r="B55" i="54"/>
  <c r="T54" i="54"/>
  <c r="Z54" i="54" s="1"/>
  <c r="P54" i="54"/>
  <c r="X54" i="54" s="1"/>
  <c r="N54" i="54"/>
  <c r="L54" i="54"/>
  <c r="H54" i="54"/>
  <c r="D54" i="54"/>
  <c r="B54" i="54"/>
  <c r="X53" i="54"/>
  <c r="Z53" i="54" s="1"/>
  <c r="N53" i="54"/>
  <c r="L53" i="54"/>
  <c r="B53" i="54"/>
  <c r="Z52" i="54"/>
  <c r="X52" i="54"/>
  <c r="T52" i="54"/>
  <c r="P52" i="54"/>
  <c r="J52" i="54"/>
  <c r="H52" i="54"/>
  <c r="D52" i="54"/>
  <c r="L52" i="54" s="1"/>
  <c r="B52" i="54"/>
  <c r="Z51" i="54"/>
  <c r="X51" i="54"/>
  <c r="N51" i="54"/>
  <c r="L51" i="54"/>
  <c r="B51" i="54"/>
  <c r="T50" i="54"/>
  <c r="P50" i="54"/>
  <c r="X50" i="54" s="1"/>
  <c r="H50" i="54"/>
  <c r="D50" i="54"/>
  <c r="L50" i="54" s="1"/>
  <c r="B50" i="54"/>
  <c r="Z49" i="54"/>
  <c r="X49" i="54"/>
  <c r="L49" i="54"/>
  <c r="N49" i="54" s="1"/>
  <c r="B49" i="54"/>
  <c r="T48" i="54"/>
  <c r="Z48" i="54" s="1"/>
  <c r="P48" i="54"/>
  <c r="X48" i="54" s="1"/>
  <c r="H48" i="54"/>
  <c r="L48" i="54" s="1"/>
  <c r="D48" i="54"/>
  <c r="B48" i="54"/>
  <c r="Z47" i="54"/>
  <c r="X47" i="54"/>
  <c r="N47" i="54"/>
  <c r="L47" i="54"/>
  <c r="B47" i="54"/>
  <c r="Z46" i="54"/>
  <c r="X46" i="54"/>
  <c r="N46" i="54"/>
  <c r="L46" i="54"/>
  <c r="J46" i="54"/>
  <c r="B46" i="54"/>
  <c r="Z45" i="54"/>
  <c r="X45" i="54"/>
  <c r="N45" i="54"/>
  <c r="L45" i="54"/>
  <c r="B45" i="54"/>
  <c r="Z44" i="54"/>
  <c r="X44" i="54"/>
  <c r="N44" i="54"/>
  <c r="L44" i="54"/>
  <c r="B44" i="54"/>
  <c r="Z43" i="54"/>
  <c r="X43" i="54"/>
  <c r="N43" i="54"/>
  <c r="L43" i="54"/>
  <c r="B43" i="54"/>
  <c r="Z42" i="54"/>
  <c r="X42" i="54"/>
  <c r="N42" i="54"/>
  <c r="L42" i="54"/>
  <c r="B42" i="54"/>
  <c r="X41" i="54"/>
  <c r="Z41" i="54" s="1"/>
  <c r="N41" i="54"/>
  <c r="L41" i="54"/>
  <c r="B41" i="54"/>
  <c r="Z40" i="54"/>
  <c r="X40" i="54"/>
  <c r="N40" i="54"/>
  <c r="L40" i="54"/>
  <c r="B40" i="54"/>
  <c r="Z39" i="54"/>
  <c r="X39" i="54"/>
  <c r="N39" i="54"/>
  <c r="L39" i="54"/>
  <c r="B39" i="54"/>
  <c r="Z38" i="54"/>
  <c r="X38" i="54"/>
  <c r="N38" i="54"/>
  <c r="L38" i="54"/>
  <c r="J38" i="54"/>
  <c r="B38" i="54"/>
  <c r="T37" i="54"/>
  <c r="Z37" i="54" s="1"/>
  <c r="P37" i="54"/>
  <c r="X37" i="54" s="1"/>
  <c r="H37" i="54"/>
  <c r="D37" i="54"/>
  <c r="L37" i="54" s="1"/>
  <c r="N37" i="54" s="1"/>
  <c r="B37" i="54"/>
  <c r="Z36" i="54"/>
  <c r="X36" i="54"/>
  <c r="N36" i="54"/>
  <c r="L36" i="54"/>
  <c r="B36" i="54"/>
  <c r="Z35" i="54"/>
  <c r="X35" i="54"/>
  <c r="L35" i="54"/>
  <c r="N35" i="54" s="1"/>
  <c r="B35" i="54"/>
  <c r="Z34" i="54"/>
  <c r="X34" i="54"/>
  <c r="L34" i="54"/>
  <c r="N34" i="54" s="1"/>
  <c r="J34" i="54"/>
  <c r="B34" i="54"/>
  <c r="Z33" i="54"/>
  <c r="X33" i="54"/>
  <c r="N33" i="54"/>
  <c r="L33" i="54"/>
  <c r="B33" i="54"/>
  <c r="Z32" i="54"/>
  <c r="X32" i="54"/>
  <c r="N32" i="54"/>
  <c r="L32" i="54"/>
  <c r="B32" i="54"/>
  <c r="X31" i="54"/>
  <c r="Z31" i="54" s="1"/>
  <c r="N31" i="54"/>
  <c r="L31" i="54"/>
  <c r="B31" i="54"/>
  <c r="Z30" i="54"/>
  <c r="X30" i="54"/>
  <c r="N30" i="54"/>
  <c r="L30" i="54"/>
  <c r="B30" i="54"/>
  <c r="X29" i="54"/>
  <c r="Z29" i="54" s="1"/>
  <c r="N29" i="54"/>
  <c r="L29" i="54"/>
  <c r="B29" i="54"/>
  <c r="Z28" i="54"/>
  <c r="X28" i="54"/>
  <c r="L28" i="54"/>
  <c r="N28" i="54" s="1"/>
  <c r="B28" i="54"/>
  <c r="Z27" i="54"/>
  <c r="X27" i="54"/>
  <c r="L27" i="54"/>
  <c r="N27" i="54" s="1"/>
  <c r="B27" i="54"/>
  <c r="T26" i="54"/>
  <c r="Z26" i="54" s="1"/>
  <c r="P26" i="54"/>
  <c r="X26" i="54" s="1"/>
  <c r="N26" i="54"/>
  <c r="L26" i="54"/>
  <c r="H26" i="54"/>
  <c r="D26" i="54"/>
  <c r="B26" i="54"/>
  <c r="T25" i="54" a="1"/>
  <c r="T25" i="54" s="1"/>
  <c r="P25" i="54" a="1"/>
  <c r="P25" i="54" s="1"/>
  <c r="X25" i="54" s="1"/>
  <c r="H25" i="54" a="1"/>
  <c r="H25" i="54" s="1"/>
  <c r="D25" i="54" a="1"/>
  <c r="D25" i="54" s="1"/>
  <c r="L25" i="54" s="1"/>
  <c r="H23" i="54"/>
  <c r="Z21" i="54"/>
  <c r="X21" i="54"/>
  <c r="N21" i="54"/>
  <c r="L21" i="54"/>
  <c r="B21" i="54"/>
  <c r="Z20" i="54"/>
  <c r="X20" i="54"/>
  <c r="N20" i="54"/>
  <c r="L20" i="54"/>
  <c r="J20" i="54"/>
  <c r="B20" i="54"/>
  <c r="Z19" i="54"/>
  <c r="X19" i="54"/>
  <c r="N19" i="54"/>
  <c r="L19" i="54"/>
  <c r="B19" i="54"/>
  <c r="T18" i="54"/>
  <c r="P18" i="54"/>
  <c r="L18" i="54"/>
  <c r="H18" i="54"/>
  <c r="N18" i="54" s="1"/>
  <c r="D18" i="54"/>
  <c r="Z16" i="54"/>
  <c r="X16" i="54"/>
  <c r="P16" i="54"/>
  <c r="N16" i="54"/>
  <c r="D16" i="54"/>
  <c r="L16" i="54" s="1"/>
  <c r="B16" i="54"/>
  <c r="Z15" i="54"/>
  <c r="X15" i="54"/>
  <c r="P15" i="54"/>
  <c r="N15" i="54"/>
  <c r="L15" i="54"/>
  <c r="D15" i="54"/>
  <c r="B15" i="54"/>
  <c r="P14" i="54"/>
  <c r="N14" i="54"/>
  <c r="D14" i="54"/>
  <c r="L14" i="54" s="1"/>
  <c r="B14" i="54"/>
  <c r="Z13" i="54"/>
  <c r="X13" i="54"/>
  <c r="P13" i="54"/>
  <c r="N13" i="54"/>
  <c r="L13" i="54"/>
  <c r="D13" i="54"/>
  <c r="B13" i="54"/>
  <c r="T12" i="54"/>
  <c r="V58" i="54" s="1"/>
  <c r="N12" i="54"/>
  <c r="H12" i="54"/>
  <c r="J89" i="54" s="1"/>
  <c r="D12" i="54"/>
  <c r="D6" i="54"/>
  <c r="D4" i="54"/>
  <c r="R64" i="53"/>
  <c r="Z62" i="53"/>
  <c r="X62" i="53"/>
  <c r="N62" i="53"/>
  <c r="L62" i="53"/>
  <c r="X58" i="53"/>
  <c r="T58" i="53"/>
  <c r="Z58" i="53" s="1"/>
  <c r="P58" i="53"/>
  <c r="H58" i="53"/>
  <c r="N58" i="53" s="1"/>
  <c r="D58" i="53"/>
  <c r="Z56" i="53"/>
  <c r="X56" i="53"/>
  <c r="N56" i="53"/>
  <c r="L56" i="53"/>
  <c r="B56" i="53"/>
  <c r="Z55" i="53"/>
  <c r="X55" i="53"/>
  <c r="T55" i="53"/>
  <c r="P55" i="53"/>
  <c r="H55" i="53"/>
  <c r="D55" i="53"/>
  <c r="B55" i="53"/>
  <c r="X54" i="53"/>
  <c r="Z54" i="53" s="1"/>
  <c r="N54" i="53"/>
  <c r="L54" i="53"/>
  <c r="B54" i="53"/>
  <c r="T53" i="53"/>
  <c r="P53" i="53"/>
  <c r="H53" i="53"/>
  <c r="D53" i="53"/>
  <c r="L53" i="53" s="1"/>
  <c r="N53" i="53" s="1"/>
  <c r="B53" i="53"/>
  <c r="X52" i="53"/>
  <c r="Z52" i="53" s="1"/>
  <c r="N52" i="53"/>
  <c r="L52" i="53"/>
  <c r="B52" i="53"/>
  <c r="Z51" i="53"/>
  <c r="X51" i="53"/>
  <c r="L51" i="53"/>
  <c r="N51" i="53" s="1"/>
  <c r="B51" i="53"/>
  <c r="T50" i="53"/>
  <c r="Z50" i="53" s="1"/>
  <c r="P50" i="53"/>
  <c r="X50" i="53" s="1"/>
  <c r="N50" i="53"/>
  <c r="L50" i="53"/>
  <c r="J50" i="53"/>
  <c r="H50" i="53"/>
  <c r="D50" i="53"/>
  <c r="B50" i="53"/>
  <c r="Z49" i="53"/>
  <c r="X49" i="53"/>
  <c r="R49" i="53"/>
  <c r="N49" i="53"/>
  <c r="L49" i="53"/>
  <c r="B49" i="53"/>
  <c r="Z48" i="53"/>
  <c r="X48" i="53"/>
  <c r="N48" i="53"/>
  <c r="L48" i="53"/>
  <c r="B48" i="53"/>
  <c r="X47" i="53"/>
  <c r="Z47" i="53" s="1"/>
  <c r="N47" i="53"/>
  <c r="L47" i="53"/>
  <c r="F47" i="53"/>
  <c r="B47" i="53"/>
  <c r="T46" i="53"/>
  <c r="X46" i="53" s="1"/>
  <c r="Z46" i="53" s="1"/>
  <c r="P46" i="53"/>
  <c r="N46" i="53"/>
  <c r="L46" i="53"/>
  <c r="J46" i="53"/>
  <c r="H46" i="53"/>
  <c r="D46" i="53"/>
  <c r="B46" i="53"/>
  <c r="X45" i="53"/>
  <c r="Z45" i="53" s="1"/>
  <c r="R45" i="53"/>
  <c r="L45" i="53"/>
  <c r="N45" i="53" s="1"/>
  <c r="B45" i="53"/>
  <c r="Z44" i="53"/>
  <c r="X44" i="53"/>
  <c r="T44" i="53"/>
  <c r="P44" i="53"/>
  <c r="J44" i="53"/>
  <c r="H44" i="53"/>
  <c r="F44" i="53"/>
  <c r="D44" i="53"/>
  <c r="L44" i="53" s="1"/>
  <c r="B44" i="53"/>
  <c r="Z43" i="53"/>
  <c r="X43" i="53"/>
  <c r="R43" i="53"/>
  <c r="L43" i="53"/>
  <c r="N43" i="53" s="1"/>
  <c r="B43" i="53"/>
  <c r="T42" i="53"/>
  <c r="Z42" i="53" s="1"/>
  <c r="R42" i="53"/>
  <c r="P42" i="53"/>
  <c r="X42" i="53" s="1"/>
  <c r="H42" i="53"/>
  <c r="F42" i="53"/>
  <c r="D42" i="53"/>
  <c r="L42" i="53" s="1"/>
  <c r="N42" i="53" s="1"/>
  <c r="B42" i="53"/>
  <c r="Z41" i="53"/>
  <c r="X41" i="53"/>
  <c r="N41" i="53"/>
  <c r="L41" i="53"/>
  <c r="F41" i="53"/>
  <c r="B41" i="53"/>
  <c r="Z40" i="53"/>
  <c r="T40" i="53"/>
  <c r="R40" i="53"/>
  <c r="P40" i="53"/>
  <c r="X40" i="53" s="1"/>
  <c r="N40" i="53"/>
  <c r="H40" i="53"/>
  <c r="L40" i="53" s="1"/>
  <c r="D40" i="53"/>
  <c r="B40" i="53"/>
  <c r="Z39" i="53"/>
  <c r="X39" i="53"/>
  <c r="N39" i="53"/>
  <c r="L39" i="53"/>
  <c r="F39" i="53"/>
  <c r="B39" i="53"/>
  <c r="Z38" i="53"/>
  <c r="X38" i="53"/>
  <c r="N38" i="53"/>
  <c r="L38" i="53"/>
  <c r="J38" i="53"/>
  <c r="B38" i="53"/>
  <c r="Z37" i="53"/>
  <c r="X37" i="53"/>
  <c r="N37" i="53"/>
  <c r="L37" i="53"/>
  <c r="F37" i="53"/>
  <c r="B37" i="53"/>
  <c r="Z36" i="53"/>
  <c r="X36" i="53"/>
  <c r="N36" i="53"/>
  <c r="L36" i="53"/>
  <c r="J36" i="53"/>
  <c r="B36" i="53"/>
  <c r="Z35" i="53"/>
  <c r="X35" i="53"/>
  <c r="R35" i="53"/>
  <c r="N35" i="53"/>
  <c r="L35" i="53"/>
  <c r="B35" i="53"/>
  <c r="Z34" i="53"/>
  <c r="X34" i="53"/>
  <c r="N34" i="53"/>
  <c r="L34" i="53"/>
  <c r="B34" i="53"/>
  <c r="Z33" i="53"/>
  <c r="X33" i="53"/>
  <c r="R33" i="53"/>
  <c r="N33" i="53"/>
  <c r="L33" i="53"/>
  <c r="B33" i="53"/>
  <c r="Z32" i="53"/>
  <c r="X32" i="53"/>
  <c r="N32" i="53"/>
  <c r="L32" i="53"/>
  <c r="B32" i="53"/>
  <c r="X31" i="53"/>
  <c r="Z31" i="53" s="1"/>
  <c r="N31" i="53"/>
  <c r="L31" i="53"/>
  <c r="F31" i="53"/>
  <c r="B31" i="53"/>
  <c r="Z30" i="53"/>
  <c r="X30" i="53"/>
  <c r="N30" i="53"/>
  <c r="L30" i="53"/>
  <c r="J30" i="53"/>
  <c r="B30" i="53"/>
  <c r="T29" i="53"/>
  <c r="P29" i="53"/>
  <c r="X29" i="53" s="1"/>
  <c r="Z29" i="53" s="1"/>
  <c r="L29" i="53"/>
  <c r="N29" i="53" s="1"/>
  <c r="H29" i="53"/>
  <c r="D29" i="53"/>
  <c r="B29" i="53"/>
  <c r="Z28" i="53"/>
  <c r="X28" i="53"/>
  <c r="N28" i="53"/>
  <c r="L28" i="53"/>
  <c r="B28" i="53"/>
  <c r="X27" i="53"/>
  <c r="Z27" i="53" s="1"/>
  <c r="N27" i="53"/>
  <c r="L27" i="53"/>
  <c r="F27" i="53"/>
  <c r="B27" i="53"/>
  <c r="Z26" i="53"/>
  <c r="X26" i="53"/>
  <c r="N26" i="53"/>
  <c r="L26" i="53"/>
  <c r="J26" i="53"/>
  <c r="B26" i="53"/>
  <c r="Z25" i="53"/>
  <c r="X25" i="53"/>
  <c r="N25" i="53"/>
  <c r="L25" i="53"/>
  <c r="F25" i="53"/>
  <c r="B25" i="53"/>
  <c r="X24" i="53"/>
  <c r="Z24" i="53" s="1"/>
  <c r="N24" i="53"/>
  <c r="L24" i="53"/>
  <c r="J24" i="53"/>
  <c r="B24" i="53"/>
  <c r="Z23" i="53"/>
  <c r="X23" i="53"/>
  <c r="R23" i="53"/>
  <c r="L23" i="53"/>
  <c r="N23" i="53" s="1"/>
  <c r="B23" i="53"/>
  <c r="Z22" i="53"/>
  <c r="X22" i="53"/>
  <c r="N22" i="53"/>
  <c r="L22" i="53"/>
  <c r="B22" i="53"/>
  <c r="X21" i="53"/>
  <c r="Z21" i="53" s="1"/>
  <c r="R21" i="53"/>
  <c r="L21" i="53"/>
  <c r="N21" i="53" s="1"/>
  <c r="B21" i="53"/>
  <c r="Z20" i="53"/>
  <c r="X20" i="53"/>
  <c r="L20" i="53"/>
  <c r="N20" i="53" s="1"/>
  <c r="B20" i="53"/>
  <c r="X19" i="53"/>
  <c r="Z19" i="53" s="1"/>
  <c r="T19" i="53"/>
  <c r="P19" i="53"/>
  <c r="L19" i="53"/>
  <c r="H19" i="53"/>
  <c r="D19" i="53"/>
  <c r="B19" i="53"/>
  <c r="T18" i="53" a="1"/>
  <c r="T18" i="53" s="1"/>
  <c r="P18" i="53" a="1"/>
  <c r="P18" i="53"/>
  <c r="J18" i="53"/>
  <c r="H18" i="53" a="1"/>
  <c r="H18" i="53" s="1"/>
  <c r="D18" i="53" a="1"/>
  <c r="D18" i="53" s="1"/>
  <c r="R16" i="53"/>
  <c r="F16" i="53"/>
  <c r="D16" i="53"/>
  <c r="Z14" i="53"/>
  <c r="T14" i="53"/>
  <c r="X14" i="53" s="1"/>
  <c r="P14" i="53"/>
  <c r="N14" i="53"/>
  <c r="L14" i="53"/>
  <c r="J14" i="53"/>
  <c r="H14" i="53"/>
  <c r="F14" i="53"/>
  <c r="D14" i="53"/>
  <c r="T12" i="53"/>
  <c r="V34" i="53" s="1"/>
  <c r="P12" i="53"/>
  <c r="R48" i="53" s="1"/>
  <c r="N12" i="53"/>
  <c r="H12" i="53"/>
  <c r="D12" i="53"/>
  <c r="F60" i="53" s="1"/>
  <c r="D6" i="53"/>
  <c r="D4" i="53"/>
  <c r="V45" i="52"/>
  <c r="J45" i="52"/>
  <c r="Z40" i="52"/>
  <c r="X40" i="52"/>
  <c r="N40" i="52"/>
  <c r="L40" i="52"/>
  <c r="J38" i="52"/>
  <c r="Z36" i="52"/>
  <c r="T36" i="52"/>
  <c r="P36" i="52"/>
  <c r="X36" i="52" s="1"/>
  <c r="N36" i="52"/>
  <c r="H36" i="52"/>
  <c r="D36" i="52"/>
  <c r="L36" i="52" s="1"/>
  <c r="Z34" i="52"/>
  <c r="X34" i="52"/>
  <c r="N34" i="52"/>
  <c r="L34" i="52"/>
  <c r="B34" i="52"/>
  <c r="Z33" i="52"/>
  <c r="X33" i="52"/>
  <c r="N33" i="52"/>
  <c r="L33" i="52"/>
  <c r="B33" i="52"/>
  <c r="Z32" i="52"/>
  <c r="X32" i="52"/>
  <c r="N32" i="52"/>
  <c r="L32" i="52"/>
  <c r="J32" i="52"/>
  <c r="B32" i="52"/>
  <c r="T31" i="52"/>
  <c r="Z31" i="52" s="1"/>
  <c r="P31" i="52"/>
  <c r="X31" i="52" s="1"/>
  <c r="N31" i="52"/>
  <c r="L31" i="52"/>
  <c r="H31" i="52"/>
  <c r="D31" i="52"/>
  <c r="B31" i="52"/>
  <c r="Z30" i="52"/>
  <c r="X30" i="52"/>
  <c r="V30" i="52"/>
  <c r="N30" i="52"/>
  <c r="L30" i="52"/>
  <c r="B30" i="52"/>
  <c r="Z29" i="52"/>
  <c r="X29" i="52"/>
  <c r="T29" i="52"/>
  <c r="P29" i="52"/>
  <c r="H29" i="52"/>
  <c r="D29" i="52"/>
  <c r="B29" i="52"/>
  <c r="Z28" i="52"/>
  <c r="X28" i="52"/>
  <c r="N28" i="52"/>
  <c r="L28" i="52"/>
  <c r="B28" i="52"/>
  <c r="X27" i="52"/>
  <c r="T27" i="52"/>
  <c r="Z27" i="52" s="1"/>
  <c r="P27" i="52"/>
  <c r="H27" i="52"/>
  <c r="N27" i="52" s="1"/>
  <c r="D27" i="52"/>
  <c r="B27" i="52"/>
  <c r="Z26" i="52"/>
  <c r="X26" i="52"/>
  <c r="N26" i="52"/>
  <c r="L26" i="52"/>
  <c r="J26" i="52"/>
  <c r="B26" i="52"/>
  <c r="T25" i="52"/>
  <c r="Z25" i="52" s="1"/>
  <c r="P25" i="52"/>
  <c r="H25" i="52"/>
  <c r="N25" i="52" s="1"/>
  <c r="D25" i="52"/>
  <c r="L25" i="52" s="1"/>
  <c r="B25" i="52"/>
  <c r="Z24" i="52"/>
  <c r="X24" i="52"/>
  <c r="N24" i="52"/>
  <c r="L24" i="52"/>
  <c r="J24" i="52"/>
  <c r="B24" i="52"/>
  <c r="T23" i="52"/>
  <c r="Z23" i="52" s="1"/>
  <c r="P23" i="52"/>
  <c r="X23" i="52" s="1"/>
  <c r="L23" i="52"/>
  <c r="N23" i="52" s="1"/>
  <c r="H23" i="52"/>
  <c r="D23" i="52"/>
  <c r="B23" i="52"/>
  <c r="Z22" i="52"/>
  <c r="X22" i="52"/>
  <c r="V22" i="52"/>
  <c r="N22" i="52"/>
  <c r="L22" i="52"/>
  <c r="B22" i="52"/>
  <c r="Z21" i="52"/>
  <c r="X21" i="52"/>
  <c r="T21" i="52"/>
  <c r="P21" i="52"/>
  <c r="L21" i="52"/>
  <c r="H21" i="52"/>
  <c r="N21" i="52" s="1"/>
  <c r="D21" i="52"/>
  <c r="B21" i="52"/>
  <c r="T20" i="52" a="1"/>
  <c r="T20" i="52"/>
  <c r="P20" i="52" a="1"/>
  <c r="P20" i="52" s="1"/>
  <c r="J20" i="52"/>
  <c r="H20" i="52" a="1"/>
  <c r="H20" i="52" s="1"/>
  <c r="D20" i="52" a="1"/>
  <c r="D20" i="52" s="1"/>
  <c r="D18" i="52"/>
  <c r="Z16" i="52"/>
  <c r="X16" i="52"/>
  <c r="N16" i="52"/>
  <c r="L16" i="52"/>
  <c r="J16" i="52"/>
  <c r="B16" i="52"/>
  <c r="T15" i="52"/>
  <c r="Z15" i="52" s="1"/>
  <c r="P15" i="52"/>
  <c r="X15" i="52" s="1"/>
  <c r="N15" i="52"/>
  <c r="L15" i="52"/>
  <c r="H15" i="52"/>
  <c r="D15" i="52"/>
  <c r="Z13" i="52"/>
  <c r="P13" i="52"/>
  <c r="P12" i="52" s="1"/>
  <c r="N13" i="52"/>
  <c r="D13" i="52"/>
  <c r="D12" i="52" s="1"/>
  <c r="B13" i="52"/>
  <c r="T12" i="52"/>
  <c r="V20" i="52" s="1"/>
  <c r="N12" i="52"/>
  <c r="H12" i="52"/>
  <c r="J25" i="52" s="1"/>
  <c r="D6" i="52"/>
  <c r="D4" i="52"/>
  <c r="Z31" i="51"/>
  <c r="X31" i="51"/>
  <c r="N31" i="51"/>
  <c r="L31" i="51"/>
  <c r="Z27" i="51"/>
  <c r="T27" i="51"/>
  <c r="R27" i="51"/>
  <c r="P27" i="51"/>
  <c r="X27" i="51" s="1"/>
  <c r="N27" i="51"/>
  <c r="H27" i="51"/>
  <c r="L27" i="51" s="1"/>
  <c r="D27" i="51"/>
  <c r="Z25" i="51"/>
  <c r="X25" i="51"/>
  <c r="V25" i="51"/>
  <c r="N25" i="51"/>
  <c r="L25" i="51"/>
  <c r="B25" i="51"/>
  <c r="Z24" i="51"/>
  <c r="T24" i="51"/>
  <c r="X24" i="51" s="1"/>
  <c r="P24" i="51"/>
  <c r="L24" i="51"/>
  <c r="H24" i="51"/>
  <c r="N24" i="51" s="1"/>
  <c r="D24" i="51"/>
  <c r="B24" i="51"/>
  <c r="Z23" i="51"/>
  <c r="X23" i="51"/>
  <c r="V23" i="51"/>
  <c r="R23" i="51"/>
  <c r="N23" i="51"/>
  <c r="L23" i="51"/>
  <c r="B23" i="51"/>
  <c r="T22" i="51"/>
  <c r="Z22" i="51" s="1"/>
  <c r="P22" i="51"/>
  <c r="X22" i="51" s="1"/>
  <c r="H22" i="51"/>
  <c r="N22" i="51" s="1"/>
  <c r="D22" i="51"/>
  <c r="B22" i="51"/>
  <c r="Z21" i="51"/>
  <c r="X21" i="51"/>
  <c r="L21" i="51"/>
  <c r="N21" i="51" s="1"/>
  <c r="B21" i="51"/>
  <c r="T20" i="51"/>
  <c r="P20" i="51"/>
  <c r="H20" i="51"/>
  <c r="D20" i="51"/>
  <c r="L20" i="51" s="1"/>
  <c r="B20" i="51"/>
  <c r="V19" i="51"/>
  <c r="T19" i="51" a="1"/>
  <c r="T19" i="51" s="1"/>
  <c r="P19" i="51" a="1"/>
  <c r="P19" i="51"/>
  <c r="H19" i="51" a="1"/>
  <c r="H19" i="51" s="1"/>
  <c r="D19" i="51" a="1"/>
  <c r="D19" i="51" s="1"/>
  <c r="V17" i="51"/>
  <c r="T17" i="51"/>
  <c r="Z15" i="51"/>
  <c r="X15" i="51"/>
  <c r="V15" i="51"/>
  <c r="N15" i="51"/>
  <c r="L15" i="51"/>
  <c r="B15" i="51"/>
  <c r="Z14" i="51"/>
  <c r="X14" i="51"/>
  <c r="V14" i="51"/>
  <c r="T14" i="51"/>
  <c r="P14" i="51"/>
  <c r="L14" i="51"/>
  <c r="J14" i="51"/>
  <c r="H14" i="51"/>
  <c r="N14" i="51" s="1"/>
  <c r="F14" i="51"/>
  <c r="D14" i="51"/>
  <c r="Z12" i="51"/>
  <c r="T12" i="51"/>
  <c r="V29" i="51" s="1"/>
  <c r="P12" i="51"/>
  <c r="R17" i="51" s="1"/>
  <c r="N12" i="51"/>
  <c r="L12" i="51"/>
  <c r="H12" i="51"/>
  <c r="D12" i="51"/>
  <c r="F29" i="51" s="1"/>
  <c r="D6" i="51"/>
  <c r="D4" i="51"/>
  <c r="V60" i="50"/>
  <c r="F60" i="50"/>
  <c r="Z55" i="50"/>
  <c r="X55" i="50"/>
  <c r="V55" i="50"/>
  <c r="N55" i="50"/>
  <c r="L55" i="50"/>
  <c r="V53" i="50"/>
  <c r="F53" i="50"/>
  <c r="X51" i="50"/>
  <c r="Z51" i="50" s="1"/>
  <c r="P51" i="50"/>
  <c r="N51" i="50"/>
  <c r="L51" i="50"/>
  <c r="D51" i="50"/>
  <c r="B51" i="50"/>
  <c r="V50" i="50"/>
  <c r="R50" i="50"/>
  <c r="P50" i="50"/>
  <c r="X50" i="50" s="1"/>
  <c r="Z50" i="50" s="1"/>
  <c r="L50" i="50"/>
  <c r="N50" i="50" s="1"/>
  <c r="D50" i="50"/>
  <c r="B50" i="50"/>
  <c r="Z49" i="50"/>
  <c r="P49" i="50"/>
  <c r="X49" i="50" s="1"/>
  <c r="N49" i="50"/>
  <c r="J49" i="50"/>
  <c r="F49" i="50"/>
  <c r="D49" i="50"/>
  <c r="L49" i="50" s="1"/>
  <c r="B49" i="50"/>
  <c r="T48" i="50"/>
  <c r="R48" i="50"/>
  <c r="P48" i="50"/>
  <c r="X48" i="50" s="1"/>
  <c r="Z48" i="50" s="1"/>
  <c r="H48" i="50"/>
  <c r="Z46" i="50"/>
  <c r="X46" i="50"/>
  <c r="N46" i="50"/>
  <c r="L46" i="50"/>
  <c r="B46" i="50"/>
  <c r="Z45" i="50"/>
  <c r="T45" i="50"/>
  <c r="X45" i="50" s="1"/>
  <c r="P45" i="50"/>
  <c r="L45" i="50"/>
  <c r="J45" i="50"/>
  <c r="H45" i="50"/>
  <c r="N45" i="50" s="1"/>
  <c r="D45" i="50"/>
  <c r="B45" i="50"/>
  <c r="Z44" i="50"/>
  <c r="X44" i="50"/>
  <c r="V44" i="50"/>
  <c r="R44" i="50"/>
  <c r="N44" i="50"/>
  <c r="L44" i="50"/>
  <c r="B44" i="50"/>
  <c r="X43" i="50"/>
  <c r="V43" i="50"/>
  <c r="T43" i="50"/>
  <c r="Z43" i="50" s="1"/>
  <c r="P43" i="50"/>
  <c r="H43" i="50"/>
  <c r="N43" i="50" s="1"/>
  <c r="F43" i="50"/>
  <c r="D43" i="50"/>
  <c r="L43" i="50" s="1"/>
  <c r="B43" i="50"/>
  <c r="Z42" i="50"/>
  <c r="X42" i="50"/>
  <c r="N42" i="50"/>
  <c r="L42" i="50"/>
  <c r="B42" i="50"/>
  <c r="T41" i="50"/>
  <c r="Z41" i="50" s="1"/>
  <c r="R41" i="50"/>
  <c r="P41" i="50"/>
  <c r="X41" i="50" s="1"/>
  <c r="N41" i="50"/>
  <c r="H41" i="50"/>
  <c r="D41" i="50"/>
  <c r="L41" i="50" s="1"/>
  <c r="B41" i="50"/>
  <c r="Z40" i="50"/>
  <c r="X40" i="50"/>
  <c r="N40" i="50"/>
  <c r="L40" i="50"/>
  <c r="J40" i="50"/>
  <c r="F40" i="50"/>
  <c r="B40" i="50"/>
  <c r="Z39" i="50"/>
  <c r="T39" i="50"/>
  <c r="P39" i="50"/>
  <c r="X39" i="50" s="1"/>
  <c r="N39" i="50"/>
  <c r="L39" i="50"/>
  <c r="H39" i="50"/>
  <c r="D39" i="50"/>
  <c r="B39" i="50"/>
  <c r="Z38" i="50"/>
  <c r="X38" i="50"/>
  <c r="N38" i="50"/>
  <c r="L38" i="50"/>
  <c r="B38" i="50"/>
  <c r="Z37" i="50"/>
  <c r="X37" i="50"/>
  <c r="N37" i="50"/>
  <c r="L37" i="50"/>
  <c r="F37" i="50"/>
  <c r="B37" i="50"/>
  <c r="Z36" i="50"/>
  <c r="X36" i="50"/>
  <c r="N36" i="50"/>
  <c r="L36" i="50"/>
  <c r="J36" i="50"/>
  <c r="F36" i="50"/>
  <c r="B36" i="50"/>
  <c r="Z35" i="50"/>
  <c r="X35" i="50"/>
  <c r="N35" i="50"/>
  <c r="L35" i="50"/>
  <c r="J35" i="50"/>
  <c r="B35" i="50"/>
  <c r="Z34" i="50"/>
  <c r="X34" i="50"/>
  <c r="N34" i="50"/>
  <c r="L34" i="50"/>
  <c r="B34" i="50"/>
  <c r="Z33" i="50"/>
  <c r="X33" i="50"/>
  <c r="R33" i="50"/>
  <c r="N33" i="50"/>
  <c r="L33" i="50"/>
  <c r="B33" i="50"/>
  <c r="Z32" i="50"/>
  <c r="X32" i="50"/>
  <c r="V32" i="50"/>
  <c r="R32" i="50"/>
  <c r="N32" i="50"/>
  <c r="L32" i="50"/>
  <c r="B32" i="50"/>
  <c r="Z31" i="50"/>
  <c r="X31" i="50"/>
  <c r="V31" i="50"/>
  <c r="N31" i="50"/>
  <c r="L31" i="50"/>
  <c r="B31" i="50"/>
  <c r="Z30" i="50"/>
  <c r="X30" i="50"/>
  <c r="N30" i="50"/>
  <c r="L30" i="50"/>
  <c r="B30" i="50"/>
  <c r="Z29" i="50"/>
  <c r="X29" i="50"/>
  <c r="N29" i="50"/>
  <c r="L29" i="50"/>
  <c r="F29" i="50"/>
  <c r="B29" i="50"/>
  <c r="T28" i="50"/>
  <c r="Z28" i="50" s="1"/>
  <c r="P28" i="50"/>
  <c r="N28" i="50"/>
  <c r="L28" i="50"/>
  <c r="H28" i="50"/>
  <c r="D28" i="50"/>
  <c r="B28" i="50"/>
  <c r="Z27" i="50"/>
  <c r="X27" i="50"/>
  <c r="V27" i="50"/>
  <c r="N27" i="50"/>
  <c r="L27" i="50"/>
  <c r="B27" i="50"/>
  <c r="Z26" i="50"/>
  <c r="X26" i="50"/>
  <c r="N26" i="50"/>
  <c r="L26" i="50"/>
  <c r="B26" i="50"/>
  <c r="Z25" i="50"/>
  <c r="X25" i="50"/>
  <c r="N25" i="50"/>
  <c r="L25" i="50"/>
  <c r="F25" i="50"/>
  <c r="B25" i="50"/>
  <c r="Z24" i="50"/>
  <c r="X24" i="50"/>
  <c r="N24" i="50"/>
  <c r="L24" i="50"/>
  <c r="J24" i="50"/>
  <c r="F24" i="50"/>
  <c r="B24" i="50"/>
  <c r="Z23" i="50"/>
  <c r="X23" i="50"/>
  <c r="N23" i="50"/>
  <c r="L23" i="50"/>
  <c r="J23" i="50"/>
  <c r="B23" i="50"/>
  <c r="Z22" i="50"/>
  <c r="X22" i="50"/>
  <c r="N22" i="50"/>
  <c r="L22" i="50"/>
  <c r="B22" i="50"/>
  <c r="Z21" i="50"/>
  <c r="X21" i="50"/>
  <c r="R21" i="50"/>
  <c r="N21" i="50"/>
  <c r="L21" i="50"/>
  <c r="B21" i="50"/>
  <c r="Z20" i="50"/>
  <c r="X20" i="50"/>
  <c r="V20" i="50"/>
  <c r="R20" i="50"/>
  <c r="N20" i="50"/>
  <c r="L20" i="50"/>
  <c r="B20" i="50"/>
  <c r="X19" i="50"/>
  <c r="V19" i="50"/>
  <c r="T19" i="50"/>
  <c r="Z19" i="50" s="1"/>
  <c r="P19" i="50"/>
  <c r="H19" i="50"/>
  <c r="N19" i="50" s="1"/>
  <c r="F19" i="50"/>
  <c r="D19" i="50"/>
  <c r="L19" i="50" s="1"/>
  <c r="B19" i="50"/>
  <c r="T18" i="50" a="1"/>
  <c r="T18" i="50"/>
  <c r="Z18" i="50" s="1"/>
  <c r="R18" i="50"/>
  <c r="P18" i="50" a="1"/>
  <c r="P18" i="50" s="1"/>
  <c r="H18" i="50" a="1"/>
  <c r="H18" i="50" s="1"/>
  <c r="N18" i="50" s="1"/>
  <c r="F18" i="50"/>
  <c r="D18" i="50" a="1"/>
  <c r="D18" i="50" s="1"/>
  <c r="T16" i="50"/>
  <c r="Z16" i="50" s="1"/>
  <c r="R16" i="50"/>
  <c r="P16" i="50"/>
  <c r="D16" i="50"/>
  <c r="Z14" i="50"/>
  <c r="X14" i="50"/>
  <c r="V14" i="50"/>
  <c r="T14" i="50"/>
  <c r="P14" i="50"/>
  <c r="J14" i="50"/>
  <c r="H14" i="50"/>
  <c r="F14" i="50"/>
  <c r="D14" i="50"/>
  <c r="T12" i="50"/>
  <c r="V40" i="50" s="1"/>
  <c r="P12" i="50"/>
  <c r="R49" i="50" s="1"/>
  <c r="N12" i="50"/>
  <c r="L12" i="50"/>
  <c r="H12" i="50"/>
  <c r="J48" i="50" s="1"/>
  <c r="D12" i="50"/>
  <c r="F33" i="50" s="1"/>
  <c r="D6" i="50"/>
  <c r="D4" i="50"/>
  <c r="X93" i="49"/>
  <c r="Z93" i="49" s="1"/>
  <c r="N93" i="49"/>
  <c r="L93" i="49"/>
  <c r="Z89" i="49"/>
  <c r="X89" i="49"/>
  <c r="P89" i="49"/>
  <c r="N89" i="49"/>
  <c r="L89" i="49"/>
  <c r="J89" i="49"/>
  <c r="D89" i="49"/>
  <c r="B89" i="49"/>
  <c r="T88" i="49"/>
  <c r="Z88" i="49" s="1"/>
  <c r="P88" i="49"/>
  <c r="X88" i="49" s="1"/>
  <c r="H88" i="49"/>
  <c r="N88" i="49" s="1"/>
  <c r="D88" i="49"/>
  <c r="L88" i="49" s="1"/>
  <c r="Z86" i="49"/>
  <c r="X86" i="49"/>
  <c r="N86" i="49"/>
  <c r="L86" i="49"/>
  <c r="B86" i="49"/>
  <c r="T85" i="49"/>
  <c r="P85" i="49"/>
  <c r="X85" i="49" s="1"/>
  <c r="Z85" i="49" s="1"/>
  <c r="N85" i="49"/>
  <c r="L85" i="49"/>
  <c r="H85" i="49"/>
  <c r="D85" i="49"/>
  <c r="B85" i="49"/>
  <c r="X84" i="49"/>
  <c r="Z84" i="49" s="1"/>
  <c r="N84" i="49"/>
  <c r="L84" i="49"/>
  <c r="B84" i="49"/>
  <c r="X83" i="49"/>
  <c r="Z83" i="49" s="1"/>
  <c r="T83" i="49"/>
  <c r="P83" i="49"/>
  <c r="H83" i="49"/>
  <c r="D83" i="49"/>
  <c r="B83" i="49"/>
  <c r="Z82" i="49"/>
  <c r="X82" i="49"/>
  <c r="N82" i="49"/>
  <c r="L82" i="49"/>
  <c r="B82" i="49"/>
  <c r="T81" i="49"/>
  <c r="P81" i="49"/>
  <c r="H81" i="49"/>
  <c r="N81" i="49" s="1"/>
  <c r="D81" i="49"/>
  <c r="L81" i="49" s="1"/>
  <c r="B81" i="49"/>
  <c r="Z80" i="49"/>
  <c r="X80" i="49"/>
  <c r="N80" i="49"/>
  <c r="L80" i="49"/>
  <c r="B80" i="49"/>
  <c r="X79" i="49"/>
  <c r="Z79" i="49" s="1"/>
  <c r="L79" i="49"/>
  <c r="N79" i="49" s="1"/>
  <c r="B79" i="49"/>
  <c r="T78" i="49"/>
  <c r="P78" i="49"/>
  <c r="H78" i="49"/>
  <c r="D78" i="49"/>
  <c r="L78" i="49" s="1"/>
  <c r="N78" i="49" s="1"/>
  <c r="B78" i="49"/>
  <c r="Z77" i="49"/>
  <c r="X77" i="49"/>
  <c r="N77" i="49"/>
  <c r="L77" i="49"/>
  <c r="B77" i="49"/>
  <c r="Z76" i="49"/>
  <c r="X76" i="49"/>
  <c r="N76" i="49"/>
  <c r="L76" i="49"/>
  <c r="B76" i="49"/>
  <c r="X75" i="49"/>
  <c r="Z75" i="49" s="1"/>
  <c r="N75" i="49"/>
  <c r="L75" i="49"/>
  <c r="B75" i="49"/>
  <c r="Z74" i="49"/>
  <c r="X74" i="49"/>
  <c r="N74" i="49"/>
  <c r="L74" i="49"/>
  <c r="B74" i="49"/>
  <c r="X73" i="49"/>
  <c r="Z73" i="49" s="1"/>
  <c r="V73" i="49"/>
  <c r="N73" i="49"/>
  <c r="L73" i="49"/>
  <c r="B73" i="49"/>
  <c r="X72" i="49"/>
  <c r="Z72" i="49" s="1"/>
  <c r="N72" i="49"/>
  <c r="L72" i="49"/>
  <c r="B72" i="49"/>
  <c r="Z71" i="49"/>
  <c r="X71" i="49"/>
  <c r="N71" i="49"/>
  <c r="L71" i="49"/>
  <c r="B71" i="49"/>
  <c r="Z70" i="49"/>
  <c r="X70" i="49"/>
  <c r="N70" i="49"/>
  <c r="L70" i="49"/>
  <c r="B70" i="49"/>
  <c r="Z69" i="49"/>
  <c r="X69" i="49"/>
  <c r="L69" i="49"/>
  <c r="N69" i="49" s="1"/>
  <c r="J69" i="49"/>
  <c r="F69" i="49"/>
  <c r="B69" i="49"/>
  <c r="T68" i="49"/>
  <c r="P68" i="49"/>
  <c r="X68" i="49" s="1"/>
  <c r="N68" i="49"/>
  <c r="L68" i="49"/>
  <c r="H68" i="49"/>
  <c r="D68" i="49"/>
  <c r="B68" i="49"/>
  <c r="Z67" i="49"/>
  <c r="X67" i="49"/>
  <c r="L67" i="49"/>
  <c r="N67" i="49" s="1"/>
  <c r="B67" i="49"/>
  <c r="Z66" i="49"/>
  <c r="X66" i="49"/>
  <c r="T66" i="49"/>
  <c r="P66" i="49"/>
  <c r="L66" i="49"/>
  <c r="H66" i="49"/>
  <c r="D66" i="49"/>
  <c r="B66" i="49"/>
  <c r="X65" i="49"/>
  <c r="Z65" i="49" s="1"/>
  <c r="N65" i="49"/>
  <c r="L65" i="49"/>
  <c r="B65" i="49"/>
  <c r="X64" i="49"/>
  <c r="Z64" i="49" s="1"/>
  <c r="L64" i="49"/>
  <c r="N64" i="49" s="1"/>
  <c r="B64" i="49"/>
  <c r="Z63" i="49"/>
  <c r="X63" i="49"/>
  <c r="N63" i="49"/>
  <c r="L63" i="49"/>
  <c r="B63" i="49"/>
  <c r="Z62" i="49"/>
  <c r="X62" i="49"/>
  <c r="L62" i="49"/>
  <c r="N62" i="49" s="1"/>
  <c r="B62" i="49"/>
  <c r="T61" i="49"/>
  <c r="P61" i="49"/>
  <c r="X61" i="49" s="1"/>
  <c r="L61" i="49"/>
  <c r="N61" i="49" s="1"/>
  <c r="H61" i="49"/>
  <c r="D61" i="49"/>
  <c r="B61" i="49"/>
  <c r="X60" i="49"/>
  <c r="Z60" i="49" s="1"/>
  <c r="L60" i="49"/>
  <c r="N60" i="49" s="1"/>
  <c r="B60" i="49"/>
  <c r="Z59" i="49"/>
  <c r="X59" i="49"/>
  <c r="N59" i="49"/>
  <c r="L59" i="49"/>
  <c r="B59" i="49"/>
  <c r="T58" i="49"/>
  <c r="P58" i="49"/>
  <c r="X58" i="49" s="1"/>
  <c r="Z58" i="49" s="1"/>
  <c r="L58" i="49"/>
  <c r="N58" i="49" s="1"/>
  <c r="H58" i="49"/>
  <c r="D58" i="49"/>
  <c r="B58" i="49"/>
  <c r="X57" i="49"/>
  <c r="Z57" i="49" s="1"/>
  <c r="N57" i="49"/>
  <c r="L57" i="49"/>
  <c r="B57" i="49"/>
  <c r="X56" i="49"/>
  <c r="Z56" i="49" s="1"/>
  <c r="N56" i="49"/>
  <c r="L56" i="49"/>
  <c r="B56" i="49"/>
  <c r="Z55" i="49"/>
  <c r="X55" i="49"/>
  <c r="T55" i="49"/>
  <c r="P55" i="49"/>
  <c r="H55" i="49"/>
  <c r="D55" i="49"/>
  <c r="B55" i="49"/>
  <c r="X54" i="49"/>
  <c r="Z54" i="49" s="1"/>
  <c r="N54" i="49"/>
  <c r="L54" i="49"/>
  <c r="B54" i="49"/>
  <c r="T53" i="49"/>
  <c r="P53" i="49"/>
  <c r="H53" i="49"/>
  <c r="D53" i="49"/>
  <c r="L53" i="49" s="1"/>
  <c r="B53" i="49"/>
  <c r="X52" i="49"/>
  <c r="Z52" i="49" s="1"/>
  <c r="N52" i="49"/>
  <c r="L52" i="49"/>
  <c r="B52" i="49"/>
  <c r="T51" i="49"/>
  <c r="P51" i="49"/>
  <c r="X51" i="49" s="1"/>
  <c r="H51" i="49"/>
  <c r="N51" i="49" s="1"/>
  <c r="D51" i="49"/>
  <c r="L51" i="49" s="1"/>
  <c r="B51" i="49"/>
  <c r="Z50" i="49"/>
  <c r="X50" i="49"/>
  <c r="N50" i="49"/>
  <c r="L50" i="49"/>
  <c r="B50" i="49"/>
  <c r="Z49" i="49"/>
  <c r="X49" i="49"/>
  <c r="N49" i="49"/>
  <c r="L49" i="49"/>
  <c r="B49" i="49"/>
  <c r="T48" i="49"/>
  <c r="Z48" i="49" s="1"/>
  <c r="P48" i="49"/>
  <c r="X48" i="49" s="1"/>
  <c r="H48" i="49"/>
  <c r="D48" i="49"/>
  <c r="L48" i="49" s="1"/>
  <c r="N48" i="49" s="1"/>
  <c r="B48" i="49"/>
  <c r="X47" i="49"/>
  <c r="Z47" i="49" s="1"/>
  <c r="L47" i="49"/>
  <c r="N47" i="49" s="1"/>
  <c r="B47" i="49"/>
  <c r="T46" i="49"/>
  <c r="P46" i="49"/>
  <c r="X46" i="49" s="1"/>
  <c r="Z46" i="49" s="1"/>
  <c r="L46" i="49"/>
  <c r="N46" i="49" s="1"/>
  <c r="J46" i="49"/>
  <c r="H46" i="49"/>
  <c r="D46" i="49"/>
  <c r="B46" i="49"/>
  <c r="Z45" i="49"/>
  <c r="X45" i="49"/>
  <c r="N45" i="49"/>
  <c r="L45" i="49"/>
  <c r="B45" i="49"/>
  <c r="Z44" i="49"/>
  <c r="X44" i="49"/>
  <c r="T44" i="49"/>
  <c r="P44" i="49"/>
  <c r="H44" i="49"/>
  <c r="D44" i="49"/>
  <c r="B44" i="49"/>
  <c r="Z43" i="49"/>
  <c r="X43" i="49"/>
  <c r="N43" i="49"/>
  <c r="L43" i="49"/>
  <c r="B43" i="49"/>
  <c r="Z42" i="49"/>
  <c r="X42" i="49"/>
  <c r="N42" i="49"/>
  <c r="L42" i="49"/>
  <c r="B42" i="49"/>
  <c r="X41" i="49"/>
  <c r="Z41" i="49" s="1"/>
  <c r="N41" i="49"/>
  <c r="L41" i="49"/>
  <c r="B41" i="49"/>
  <c r="X40" i="49"/>
  <c r="Z40" i="49" s="1"/>
  <c r="N40" i="49"/>
  <c r="L40" i="49"/>
  <c r="B40" i="49"/>
  <c r="Z39" i="49"/>
  <c r="X39" i="49"/>
  <c r="N39" i="49"/>
  <c r="L39" i="49"/>
  <c r="B39" i="49"/>
  <c r="Z38" i="49"/>
  <c r="X38" i="49"/>
  <c r="N38" i="49"/>
  <c r="L38" i="49"/>
  <c r="B38" i="49"/>
  <c r="X37" i="49"/>
  <c r="Z37" i="49" s="1"/>
  <c r="V37" i="49"/>
  <c r="L37" i="49"/>
  <c r="N37" i="49" s="1"/>
  <c r="B37" i="49"/>
  <c r="Z36" i="49"/>
  <c r="X36" i="49"/>
  <c r="N36" i="49"/>
  <c r="L36" i="49"/>
  <c r="J36" i="49"/>
  <c r="B36" i="49"/>
  <c r="Z35" i="49"/>
  <c r="X35" i="49"/>
  <c r="L35" i="49"/>
  <c r="N35" i="49" s="1"/>
  <c r="B35" i="49"/>
  <c r="Z34" i="49"/>
  <c r="X34" i="49"/>
  <c r="N34" i="49"/>
  <c r="L34" i="49"/>
  <c r="J34" i="49"/>
  <c r="B34" i="49"/>
  <c r="T33" i="49"/>
  <c r="P33" i="49"/>
  <c r="X33" i="49" s="1"/>
  <c r="H33" i="49"/>
  <c r="D33" i="49"/>
  <c r="L33" i="49" s="1"/>
  <c r="N33" i="49" s="1"/>
  <c r="B33" i="49"/>
  <c r="Z32" i="49"/>
  <c r="X32" i="49"/>
  <c r="N32" i="49"/>
  <c r="L32" i="49"/>
  <c r="J32" i="49"/>
  <c r="B32" i="49"/>
  <c r="Z31" i="49"/>
  <c r="X31" i="49"/>
  <c r="L31" i="49"/>
  <c r="N31" i="49" s="1"/>
  <c r="B31" i="49"/>
  <c r="Z30" i="49"/>
  <c r="X30" i="49"/>
  <c r="N30" i="49"/>
  <c r="L30" i="49"/>
  <c r="J30" i="49"/>
  <c r="B30" i="49"/>
  <c r="Z29" i="49"/>
  <c r="X29" i="49"/>
  <c r="N29" i="49"/>
  <c r="L29" i="49"/>
  <c r="J29" i="49"/>
  <c r="B29" i="49"/>
  <c r="Z28" i="49"/>
  <c r="X28" i="49"/>
  <c r="N28" i="49"/>
  <c r="L28" i="49"/>
  <c r="B28" i="49"/>
  <c r="X27" i="49"/>
  <c r="Z27" i="49" s="1"/>
  <c r="N27" i="49"/>
  <c r="L27" i="49"/>
  <c r="B27" i="49"/>
  <c r="Z26" i="49"/>
  <c r="X26" i="49"/>
  <c r="N26" i="49"/>
  <c r="L26" i="49"/>
  <c r="B26" i="49"/>
  <c r="X25" i="49"/>
  <c r="Z25" i="49" s="1"/>
  <c r="L25" i="49"/>
  <c r="N25" i="49" s="1"/>
  <c r="B25" i="49"/>
  <c r="X24" i="49"/>
  <c r="Z24" i="49" s="1"/>
  <c r="N24" i="49"/>
  <c r="L24" i="49"/>
  <c r="J24" i="49"/>
  <c r="B24" i="49"/>
  <c r="T23" i="49"/>
  <c r="P23" i="49"/>
  <c r="X23" i="49" s="1"/>
  <c r="Z23" i="49" s="1"/>
  <c r="L23" i="49"/>
  <c r="J23" i="49"/>
  <c r="H23" i="49"/>
  <c r="D23" i="49"/>
  <c r="B23" i="49"/>
  <c r="T22" i="49" a="1"/>
  <c r="T22" i="49" s="1"/>
  <c r="P22" i="49" a="1"/>
  <c r="P22" i="49" s="1"/>
  <c r="X22" i="49" s="1"/>
  <c r="H22" i="49" a="1"/>
  <c r="H22" i="49" s="1"/>
  <c r="J22" i="49" s="1"/>
  <c r="D22" i="49" a="1"/>
  <c r="D22" i="49" s="1"/>
  <c r="Z18" i="49"/>
  <c r="X18" i="49"/>
  <c r="N18" i="49"/>
  <c r="L18" i="49"/>
  <c r="J18" i="49"/>
  <c r="B18" i="49"/>
  <c r="X17" i="49"/>
  <c r="Z17" i="49" s="1"/>
  <c r="L17" i="49"/>
  <c r="N17" i="49" s="1"/>
  <c r="J17" i="49"/>
  <c r="B17" i="49"/>
  <c r="T16" i="49"/>
  <c r="P16" i="49"/>
  <c r="X16" i="49" s="1"/>
  <c r="Z16" i="49" s="1"/>
  <c r="H16" i="49"/>
  <c r="D16" i="49"/>
  <c r="L16" i="49" s="1"/>
  <c r="N16" i="49" s="1"/>
  <c r="X14" i="49"/>
  <c r="Z14" i="49" s="1"/>
  <c r="P14" i="49"/>
  <c r="L14" i="49"/>
  <c r="N14" i="49" s="1"/>
  <c r="D14" i="49"/>
  <c r="B14" i="49"/>
  <c r="P13" i="49"/>
  <c r="X13" i="49" s="1"/>
  <c r="Z13" i="49" s="1"/>
  <c r="D13" i="49"/>
  <c r="D12" i="49" s="1"/>
  <c r="B13" i="49"/>
  <c r="T12" i="49"/>
  <c r="H12" i="49"/>
  <c r="J52" i="49" s="1"/>
  <c r="D6" i="49"/>
  <c r="D4" i="49"/>
  <c r="Z99" i="48"/>
  <c r="X99" i="48"/>
  <c r="N99" i="48"/>
  <c r="L99" i="48"/>
  <c r="Z95" i="48"/>
  <c r="P95" i="48"/>
  <c r="N95" i="48"/>
  <c r="L95" i="48"/>
  <c r="D95" i="48"/>
  <c r="B95" i="48"/>
  <c r="V94" i="48"/>
  <c r="T94" i="48"/>
  <c r="Z94" i="48" s="1"/>
  <c r="H94" i="48"/>
  <c r="D94" i="48"/>
  <c r="X92" i="48"/>
  <c r="Z92" i="48" s="1"/>
  <c r="L92" i="48"/>
  <c r="N92" i="48" s="1"/>
  <c r="J92" i="48"/>
  <c r="B92" i="48"/>
  <c r="T91" i="48"/>
  <c r="P91" i="48"/>
  <c r="X91" i="48" s="1"/>
  <c r="Z91" i="48" s="1"/>
  <c r="N91" i="48"/>
  <c r="L91" i="48"/>
  <c r="H91" i="48"/>
  <c r="D91" i="48"/>
  <c r="B91" i="48"/>
  <c r="Z90" i="48"/>
  <c r="X90" i="48"/>
  <c r="N90" i="48"/>
  <c r="L90" i="48"/>
  <c r="B90" i="48"/>
  <c r="T89" i="48"/>
  <c r="P89" i="48"/>
  <c r="X89" i="48" s="1"/>
  <c r="Z89" i="48" s="1"/>
  <c r="N89" i="48"/>
  <c r="L89" i="48"/>
  <c r="H89" i="48"/>
  <c r="D89" i="48"/>
  <c r="B89" i="48"/>
  <c r="X88" i="48"/>
  <c r="Z88" i="48" s="1"/>
  <c r="V88" i="48"/>
  <c r="L88" i="48"/>
  <c r="N88" i="48" s="1"/>
  <c r="B88" i="48"/>
  <c r="X87" i="48"/>
  <c r="Z87" i="48" s="1"/>
  <c r="N87" i="48"/>
  <c r="L87" i="48"/>
  <c r="B87" i="48"/>
  <c r="T86" i="48"/>
  <c r="P86" i="48"/>
  <c r="X86" i="48" s="1"/>
  <c r="Z86" i="48" s="1"/>
  <c r="L86" i="48"/>
  <c r="N86" i="48" s="1"/>
  <c r="J86" i="48"/>
  <c r="H86" i="48"/>
  <c r="D86" i="48"/>
  <c r="B86" i="48"/>
  <c r="Z85" i="48"/>
  <c r="X85" i="48"/>
  <c r="V85" i="48"/>
  <c r="N85" i="48"/>
  <c r="L85" i="48"/>
  <c r="B85" i="48"/>
  <c r="X84" i="48"/>
  <c r="Z84" i="48" s="1"/>
  <c r="V84" i="48"/>
  <c r="N84" i="48"/>
  <c r="L84" i="48"/>
  <c r="B84" i="48"/>
  <c r="X83" i="48"/>
  <c r="Z83" i="48" s="1"/>
  <c r="N83" i="48"/>
  <c r="L83" i="48"/>
  <c r="B83" i="48"/>
  <c r="Z82" i="48"/>
  <c r="X82" i="48"/>
  <c r="N82" i="48"/>
  <c r="L82" i="48"/>
  <c r="F82" i="48"/>
  <c r="B82" i="48"/>
  <c r="Z81" i="48"/>
  <c r="X81" i="48"/>
  <c r="N81" i="48"/>
  <c r="L81" i="48"/>
  <c r="J81" i="48"/>
  <c r="B81" i="48"/>
  <c r="X80" i="48"/>
  <c r="Z80" i="48" s="1"/>
  <c r="N80" i="48"/>
  <c r="L80" i="48"/>
  <c r="J80" i="48"/>
  <c r="B80" i="48"/>
  <c r="Z79" i="48"/>
  <c r="X79" i="48"/>
  <c r="N79" i="48"/>
  <c r="L79" i="48"/>
  <c r="B79" i="48"/>
  <c r="Z78" i="48"/>
  <c r="X78" i="48"/>
  <c r="N78" i="48"/>
  <c r="L78" i="48"/>
  <c r="B78" i="48"/>
  <c r="V77" i="48"/>
  <c r="T77" i="48"/>
  <c r="P77" i="48"/>
  <c r="H77" i="48"/>
  <c r="D77" i="48"/>
  <c r="L77" i="48" s="1"/>
  <c r="N77" i="48" s="1"/>
  <c r="B77" i="48"/>
  <c r="X76" i="48"/>
  <c r="Z76" i="48" s="1"/>
  <c r="L76" i="48"/>
  <c r="N76" i="48" s="1"/>
  <c r="J76" i="48"/>
  <c r="B76" i="48"/>
  <c r="T75" i="48"/>
  <c r="P75" i="48"/>
  <c r="X75" i="48" s="1"/>
  <c r="Z75" i="48" s="1"/>
  <c r="H75" i="48"/>
  <c r="D75" i="48"/>
  <c r="L75" i="48" s="1"/>
  <c r="N75" i="48" s="1"/>
  <c r="B75" i="48"/>
  <c r="Z74" i="48"/>
  <c r="X74" i="48"/>
  <c r="L74" i="48"/>
  <c r="N74" i="48" s="1"/>
  <c r="B74" i="48"/>
  <c r="X73" i="48"/>
  <c r="Z73" i="48" s="1"/>
  <c r="N73" i="48"/>
  <c r="L73" i="48"/>
  <c r="J73" i="48"/>
  <c r="B73" i="48"/>
  <c r="X72" i="48"/>
  <c r="Z72" i="48" s="1"/>
  <c r="L72" i="48"/>
  <c r="N72" i="48" s="1"/>
  <c r="J72" i="48"/>
  <c r="B72" i="48"/>
  <c r="Z71" i="48"/>
  <c r="X71" i="48"/>
  <c r="N71" i="48"/>
  <c r="L71" i="48"/>
  <c r="B71" i="48"/>
  <c r="T70" i="48"/>
  <c r="P70" i="48"/>
  <c r="H70" i="48"/>
  <c r="N70" i="48" s="1"/>
  <c r="D70" i="48"/>
  <c r="L70" i="48" s="1"/>
  <c r="B70" i="48"/>
  <c r="Z69" i="48"/>
  <c r="X69" i="48"/>
  <c r="N69" i="48"/>
  <c r="L69" i="48"/>
  <c r="J69" i="48"/>
  <c r="B69" i="48"/>
  <c r="X68" i="48"/>
  <c r="Z68" i="48" s="1"/>
  <c r="N68" i="48"/>
  <c r="L68" i="48"/>
  <c r="J68" i="48"/>
  <c r="B68" i="48"/>
  <c r="T67" i="48"/>
  <c r="P67" i="48"/>
  <c r="X67" i="48" s="1"/>
  <c r="Z67" i="48" s="1"/>
  <c r="N67" i="48"/>
  <c r="L67" i="48"/>
  <c r="H67" i="48"/>
  <c r="D67" i="48"/>
  <c r="B67" i="48"/>
  <c r="Z66" i="48"/>
  <c r="X66" i="48"/>
  <c r="L66" i="48"/>
  <c r="N66" i="48" s="1"/>
  <c r="B66" i="48"/>
  <c r="T65" i="48"/>
  <c r="P65" i="48"/>
  <c r="X65" i="48" s="1"/>
  <c r="Z65" i="48" s="1"/>
  <c r="L65" i="48"/>
  <c r="N65" i="48" s="1"/>
  <c r="H65" i="48"/>
  <c r="D65" i="48"/>
  <c r="B65" i="48"/>
  <c r="X64" i="48"/>
  <c r="Z64" i="48" s="1"/>
  <c r="V64" i="48"/>
  <c r="L64" i="48"/>
  <c r="N64" i="48" s="1"/>
  <c r="B64" i="48"/>
  <c r="X63" i="48"/>
  <c r="Z63" i="48" s="1"/>
  <c r="T63" i="48"/>
  <c r="P63" i="48"/>
  <c r="H63" i="48"/>
  <c r="D63" i="48"/>
  <c r="B63" i="48"/>
  <c r="X62" i="48"/>
  <c r="Z62" i="48" s="1"/>
  <c r="N62" i="48"/>
  <c r="L62" i="48"/>
  <c r="B62" i="48"/>
  <c r="V61" i="48"/>
  <c r="T61" i="48"/>
  <c r="P61" i="48"/>
  <c r="X61" i="48" s="1"/>
  <c r="N61" i="48"/>
  <c r="H61" i="48"/>
  <c r="D61" i="48"/>
  <c r="L61" i="48" s="1"/>
  <c r="B61" i="48"/>
  <c r="X60" i="48"/>
  <c r="Z60" i="48" s="1"/>
  <c r="L60" i="48"/>
  <c r="N60" i="48" s="1"/>
  <c r="J60" i="48"/>
  <c r="B60" i="48"/>
  <c r="T59" i="48"/>
  <c r="P59" i="48"/>
  <c r="X59" i="48" s="1"/>
  <c r="Z59" i="48" s="1"/>
  <c r="H59" i="48"/>
  <c r="D59" i="48"/>
  <c r="L59" i="48" s="1"/>
  <c r="N59" i="48" s="1"/>
  <c r="B59" i="48"/>
  <c r="Z58" i="48"/>
  <c r="X58" i="48"/>
  <c r="N58" i="48"/>
  <c r="L58" i="48"/>
  <c r="B58" i="48"/>
  <c r="T57" i="48"/>
  <c r="P57" i="48"/>
  <c r="X57" i="48" s="1"/>
  <c r="Z57" i="48" s="1"/>
  <c r="N57" i="48"/>
  <c r="L57" i="48"/>
  <c r="H57" i="48"/>
  <c r="D57" i="48"/>
  <c r="B57" i="48"/>
  <c r="X56" i="48"/>
  <c r="Z56" i="48" s="1"/>
  <c r="V56" i="48"/>
  <c r="L56" i="48"/>
  <c r="N56" i="48" s="1"/>
  <c r="B56" i="48"/>
  <c r="Z55" i="48"/>
  <c r="X55" i="48"/>
  <c r="N55" i="48"/>
  <c r="L55" i="48"/>
  <c r="J55" i="48"/>
  <c r="B55" i="48"/>
  <c r="T54" i="48"/>
  <c r="P54" i="48"/>
  <c r="X54" i="48" s="1"/>
  <c r="Z54" i="48" s="1"/>
  <c r="L54" i="48"/>
  <c r="N54" i="48" s="1"/>
  <c r="J54" i="48"/>
  <c r="H54" i="48"/>
  <c r="D54" i="48"/>
  <c r="B54" i="48"/>
  <c r="Z53" i="48"/>
  <c r="X53" i="48"/>
  <c r="V53" i="48"/>
  <c r="L53" i="48"/>
  <c r="N53" i="48" s="1"/>
  <c r="B53" i="48"/>
  <c r="X52" i="48"/>
  <c r="Z52" i="48" s="1"/>
  <c r="V52" i="48"/>
  <c r="T52" i="48"/>
  <c r="P52" i="48"/>
  <c r="H52" i="48"/>
  <c r="D52" i="48"/>
  <c r="B52" i="48"/>
  <c r="Z51" i="48"/>
  <c r="X51" i="48"/>
  <c r="V51" i="48"/>
  <c r="L51" i="48"/>
  <c r="N51" i="48" s="1"/>
  <c r="B51" i="48"/>
  <c r="T50" i="48"/>
  <c r="P50" i="48"/>
  <c r="H50" i="48"/>
  <c r="D50" i="48"/>
  <c r="L50" i="48" s="1"/>
  <c r="B50" i="48"/>
  <c r="Z49" i="48"/>
  <c r="X49" i="48"/>
  <c r="N49" i="48"/>
  <c r="L49" i="48"/>
  <c r="J49" i="48"/>
  <c r="B49" i="48"/>
  <c r="T48" i="48"/>
  <c r="Z48" i="48" s="1"/>
  <c r="P48" i="48"/>
  <c r="X48" i="48" s="1"/>
  <c r="N48" i="48"/>
  <c r="H48" i="48"/>
  <c r="D48" i="48"/>
  <c r="L48" i="48" s="1"/>
  <c r="B48" i="48"/>
  <c r="Z47" i="48"/>
  <c r="X47" i="48"/>
  <c r="N47" i="48"/>
  <c r="L47" i="48"/>
  <c r="J47" i="48"/>
  <c r="B47" i="48"/>
  <c r="Z46" i="48"/>
  <c r="X46" i="48"/>
  <c r="N46" i="48"/>
  <c r="L46" i="48"/>
  <c r="B46" i="48"/>
  <c r="Z45" i="48"/>
  <c r="X45" i="48"/>
  <c r="N45" i="48"/>
  <c r="L45" i="48"/>
  <c r="J45" i="48"/>
  <c r="B45" i="48"/>
  <c r="X44" i="48"/>
  <c r="Z44" i="48" s="1"/>
  <c r="N44" i="48"/>
  <c r="L44" i="48"/>
  <c r="J44" i="48"/>
  <c r="B44" i="48"/>
  <c r="Z43" i="48"/>
  <c r="X43" i="48"/>
  <c r="V43" i="48"/>
  <c r="N43" i="48"/>
  <c r="L43" i="48"/>
  <c r="B43" i="48"/>
  <c r="Z42" i="48"/>
  <c r="X42" i="48"/>
  <c r="N42" i="48"/>
  <c r="L42" i="48"/>
  <c r="B42" i="48"/>
  <c r="Z41" i="48"/>
  <c r="X41" i="48"/>
  <c r="V41" i="48"/>
  <c r="N41" i="48"/>
  <c r="L41" i="48"/>
  <c r="B41" i="48"/>
  <c r="Z40" i="48"/>
  <c r="X40" i="48"/>
  <c r="V40" i="48"/>
  <c r="N40" i="48"/>
  <c r="L40" i="48"/>
  <c r="B40" i="48"/>
  <c r="X39" i="48"/>
  <c r="Z39" i="48" s="1"/>
  <c r="N39" i="48"/>
  <c r="L39" i="48"/>
  <c r="J39" i="48"/>
  <c r="B39" i="48"/>
  <c r="Z38" i="48"/>
  <c r="X38" i="48"/>
  <c r="N38" i="48"/>
  <c r="L38" i="48"/>
  <c r="B38" i="48"/>
  <c r="T37" i="48"/>
  <c r="P37" i="48"/>
  <c r="X37" i="48" s="1"/>
  <c r="Z37" i="48" s="1"/>
  <c r="L37" i="48"/>
  <c r="N37" i="48" s="1"/>
  <c r="H37" i="48"/>
  <c r="D37" i="48"/>
  <c r="B37" i="48"/>
  <c r="X36" i="48"/>
  <c r="Z36" i="48" s="1"/>
  <c r="V36" i="48"/>
  <c r="L36" i="48"/>
  <c r="N36" i="48" s="1"/>
  <c r="B36" i="48"/>
  <c r="Z35" i="48"/>
  <c r="X35" i="48"/>
  <c r="N35" i="48"/>
  <c r="L35" i="48"/>
  <c r="J35" i="48"/>
  <c r="B35" i="48"/>
  <c r="Z34" i="48"/>
  <c r="X34" i="48"/>
  <c r="L34" i="48"/>
  <c r="N34" i="48" s="1"/>
  <c r="B34" i="48"/>
  <c r="Z33" i="48"/>
  <c r="X33" i="48"/>
  <c r="N33" i="48"/>
  <c r="L33" i="48"/>
  <c r="J33" i="48"/>
  <c r="B33" i="48"/>
  <c r="Z32" i="48"/>
  <c r="X32" i="48"/>
  <c r="N32" i="48"/>
  <c r="L32" i="48"/>
  <c r="J32" i="48"/>
  <c r="B32" i="48"/>
  <c r="Z31" i="48"/>
  <c r="X31" i="48"/>
  <c r="V31" i="48"/>
  <c r="L31" i="48"/>
  <c r="N31" i="48" s="1"/>
  <c r="B31" i="48"/>
  <c r="X30" i="48"/>
  <c r="Z30" i="48" s="1"/>
  <c r="N30" i="48"/>
  <c r="L30" i="48"/>
  <c r="B30" i="48"/>
  <c r="Z29" i="48"/>
  <c r="X29" i="48"/>
  <c r="V29" i="48"/>
  <c r="N29" i="48"/>
  <c r="L29" i="48"/>
  <c r="B29" i="48"/>
  <c r="X28" i="48"/>
  <c r="Z28" i="48" s="1"/>
  <c r="V28" i="48"/>
  <c r="L28" i="48"/>
  <c r="N28" i="48" s="1"/>
  <c r="B28" i="48"/>
  <c r="Z27" i="48"/>
  <c r="X27" i="48"/>
  <c r="N27" i="48"/>
  <c r="L27" i="48"/>
  <c r="J27" i="48"/>
  <c r="B27" i="48"/>
  <c r="Z26" i="48"/>
  <c r="T26" i="48"/>
  <c r="P26" i="48"/>
  <c r="X26" i="48" s="1"/>
  <c r="L26" i="48"/>
  <c r="N26" i="48" s="1"/>
  <c r="J26" i="48"/>
  <c r="H26" i="48"/>
  <c r="D26" i="48"/>
  <c r="B26" i="48"/>
  <c r="T25" i="48" a="1"/>
  <c r="T25" i="48" s="1"/>
  <c r="V25" i="48" s="1"/>
  <c r="P25" i="48" a="1"/>
  <c r="P25" i="48" s="1"/>
  <c r="H25" i="48" a="1"/>
  <c r="H25" i="48" s="1"/>
  <c r="D25" i="48" a="1"/>
  <c r="D25" i="48" s="1"/>
  <c r="T23" i="48"/>
  <c r="Z21" i="48"/>
  <c r="X21" i="48"/>
  <c r="V21" i="48"/>
  <c r="N21" i="48"/>
  <c r="L21" i="48"/>
  <c r="J21" i="48"/>
  <c r="B21" i="48"/>
  <c r="Z20" i="48"/>
  <c r="X20" i="48"/>
  <c r="N20" i="48"/>
  <c r="L20" i="48"/>
  <c r="J20" i="48"/>
  <c r="B20" i="48"/>
  <c r="Z19" i="48"/>
  <c r="X19" i="48"/>
  <c r="V19" i="48"/>
  <c r="L19" i="48"/>
  <c r="N19" i="48" s="1"/>
  <c r="B19" i="48"/>
  <c r="T18" i="48"/>
  <c r="P18" i="48"/>
  <c r="H18" i="48"/>
  <c r="N18" i="48" s="1"/>
  <c r="D18" i="48"/>
  <c r="L18" i="48" s="1"/>
  <c r="Z16" i="48"/>
  <c r="X16" i="48"/>
  <c r="P16" i="48"/>
  <c r="N16" i="48"/>
  <c r="D16" i="48"/>
  <c r="D12" i="48" s="1"/>
  <c r="B16" i="48"/>
  <c r="Z15" i="48"/>
  <c r="X15" i="48"/>
  <c r="P15" i="48"/>
  <c r="L15" i="48"/>
  <c r="N15" i="48" s="1"/>
  <c r="D15" i="48"/>
  <c r="B15" i="48"/>
  <c r="Z14" i="48"/>
  <c r="X14" i="48"/>
  <c r="P14" i="48"/>
  <c r="N14" i="48"/>
  <c r="D14" i="48"/>
  <c r="L14" i="48" s="1"/>
  <c r="B14" i="48"/>
  <c r="P13" i="48"/>
  <c r="X13" i="48" s="1"/>
  <c r="Z13" i="48" s="1"/>
  <c r="N13" i="48"/>
  <c r="L13" i="48"/>
  <c r="D13" i="48"/>
  <c r="B13" i="48"/>
  <c r="T12" i="48"/>
  <c r="V89" i="48" s="1"/>
  <c r="H12" i="48"/>
  <c r="D6" i="48"/>
  <c r="D4" i="48"/>
  <c r="V35" i="47"/>
  <c r="Z30" i="47"/>
  <c r="X30" i="47"/>
  <c r="V30" i="47"/>
  <c r="N30" i="47"/>
  <c r="L30" i="47"/>
  <c r="F30" i="47"/>
  <c r="V28" i="47"/>
  <c r="T26" i="47"/>
  <c r="Z26" i="47" s="1"/>
  <c r="P26" i="47"/>
  <c r="X26" i="47" s="1"/>
  <c r="N26" i="47"/>
  <c r="H26" i="47"/>
  <c r="D26" i="47"/>
  <c r="L26" i="47" s="1"/>
  <c r="Z24" i="47"/>
  <c r="X24" i="47"/>
  <c r="V24" i="47"/>
  <c r="N24" i="47"/>
  <c r="L24" i="47"/>
  <c r="B24" i="47"/>
  <c r="Z23" i="47"/>
  <c r="X23" i="47"/>
  <c r="T23" i="47"/>
  <c r="P23" i="47"/>
  <c r="J23" i="47"/>
  <c r="H23" i="47"/>
  <c r="N23" i="47" s="1"/>
  <c r="D23" i="47"/>
  <c r="B23" i="47"/>
  <c r="Z22" i="47"/>
  <c r="X22" i="47"/>
  <c r="N22" i="47"/>
  <c r="L22" i="47"/>
  <c r="B22" i="47"/>
  <c r="Z21" i="47"/>
  <c r="V21" i="47"/>
  <c r="T21" i="47"/>
  <c r="P21" i="47"/>
  <c r="X21" i="47" s="1"/>
  <c r="N21" i="47"/>
  <c r="J21" i="47"/>
  <c r="H21" i="47"/>
  <c r="D21" i="47"/>
  <c r="L21" i="47" s="1"/>
  <c r="B21" i="47"/>
  <c r="Z20" i="47"/>
  <c r="X20" i="47"/>
  <c r="N20" i="47"/>
  <c r="L20" i="47"/>
  <c r="J20" i="47"/>
  <c r="B20" i="47"/>
  <c r="Z19" i="47"/>
  <c r="V19" i="47"/>
  <c r="T19" i="47"/>
  <c r="P19" i="47"/>
  <c r="X19" i="47" s="1"/>
  <c r="H19" i="47"/>
  <c r="N19" i="47" s="1"/>
  <c r="F19" i="47"/>
  <c r="D19" i="47"/>
  <c r="L19" i="47" s="1"/>
  <c r="B19" i="47"/>
  <c r="T18" i="47" a="1"/>
  <c r="T18" i="47" s="1"/>
  <c r="Z18" i="47" s="1"/>
  <c r="P18" i="47" a="1"/>
  <c r="P18" i="47" s="1"/>
  <c r="X18" i="47" s="1"/>
  <c r="H18" i="47" a="1"/>
  <c r="H18" i="47" s="1"/>
  <c r="N18" i="47" s="1"/>
  <c r="D18" i="47" a="1"/>
  <c r="D18" i="47"/>
  <c r="P16" i="47"/>
  <c r="J16" i="47"/>
  <c r="V14" i="47"/>
  <c r="T14" i="47"/>
  <c r="X14" i="47" s="1"/>
  <c r="P14" i="47"/>
  <c r="H14" i="47"/>
  <c r="D14" i="47"/>
  <c r="Z12" i="47"/>
  <c r="T12" i="47"/>
  <c r="V32" i="47" s="1"/>
  <c r="P12" i="47"/>
  <c r="R22" i="47" s="1"/>
  <c r="H12" i="47"/>
  <c r="J19" i="47" s="1"/>
  <c r="D12" i="47"/>
  <c r="F21" i="47" s="1"/>
  <c r="D6" i="47"/>
  <c r="D4" i="47"/>
  <c r="V32" i="46"/>
  <c r="Z30" i="46"/>
  <c r="X30" i="46"/>
  <c r="R30" i="46"/>
  <c r="N30" i="46"/>
  <c r="L30" i="46"/>
  <c r="Z26" i="46"/>
  <c r="V26" i="46"/>
  <c r="T26" i="46"/>
  <c r="P26" i="46"/>
  <c r="X26" i="46" s="1"/>
  <c r="L26" i="46"/>
  <c r="H26" i="46"/>
  <c r="D26" i="46"/>
  <c r="Z24" i="46"/>
  <c r="X24" i="46"/>
  <c r="N24" i="46"/>
  <c r="L24" i="46"/>
  <c r="J24" i="46"/>
  <c r="B24" i="46"/>
  <c r="Z23" i="46"/>
  <c r="T23" i="46"/>
  <c r="P23" i="46"/>
  <c r="X23" i="46" s="1"/>
  <c r="N23" i="46"/>
  <c r="J23" i="46"/>
  <c r="H23" i="46"/>
  <c r="D23" i="46"/>
  <c r="L23" i="46" s="1"/>
  <c r="B23" i="46"/>
  <c r="Z22" i="46"/>
  <c r="X22" i="46"/>
  <c r="R22" i="46"/>
  <c r="N22" i="46"/>
  <c r="L22" i="46"/>
  <c r="B22" i="46"/>
  <c r="Z21" i="46"/>
  <c r="V21" i="46"/>
  <c r="T21" i="46"/>
  <c r="R21" i="46"/>
  <c r="P21" i="46"/>
  <c r="X21" i="46" s="1"/>
  <c r="N21" i="46"/>
  <c r="L21" i="46"/>
  <c r="H21" i="46"/>
  <c r="D21" i="46"/>
  <c r="B21" i="46"/>
  <c r="Z20" i="46"/>
  <c r="X20" i="46"/>
  <c r="L20" i="46"/>
  <c r="N20" i="46" s="1"/>
  <c r="B20" i="46"/>
  <c r="X19" i="46"/>
  <c r="Z19" i="46" s="1"/>
  <c r="T19" i="46"/>
  <c r="R19" i="46"/>
  <c r="P19" i="46"/>
  <c r="H19" i="46"/>
  <c r="N19" i="46" s="1"/>
  <c r="D19" i="46"/>
  <c r="L19" i="46" s="1"/>
  <c r="B19" i="46"/>
  <c r="T18" i="46" a="1"/>
  <c r="T18" i="46"/>
  <c r="P18" i="46" a="1"/>
  <c r="P18" i="46"/>
  <c r="X18" i="46" s="1"/>
  <c r="H18" i="46" a="1"/>
  <c r="H18" i="46" s="1"/>
  <c r="D18" i="46" a="1"/>
  <c r="D18" i="46" s="1"/>
  <c r="L18" i="46" s="1"/>
  <c r="R16" i="46"/>
  <c r="J16" i="46"/>
  <c r="H16" i="46"/>
  <c r="N16" i="46" s="1"/>
  <c r="V14" i="46"/>
  <c r="T14" i="46"/>
  <c r="R14" i="46"/>
  <c r="P14" i="46"/>
  <c r="N14" i="46"/>
  <c r="H14" i="46"/>
  <c r="D14" i="46"/>
  <c r="L14" i="46" s="1"/>
  <c r="Z12" i="46"/>
  <c r="X12" i="46"/>
  <c r="T12" i="46"/>
  <c r="P12" i="46"/>
  <c r="R24" i="46" s="1"/>
  <c r="H12" i="46"/>
  <c r="J22" i="46" s="1"/>
  <c r="D12" i="46"/>
  <c r="D6" i="46"/>
  <c r="D4" i="46"/>
  <c r="V37" i="45"/>
  <c r="Z35" i="45"/>
  <c r="X35" i="45"/>
  <c r="N35" i="45"/>
  <c r="L35" i="45"/>
  <c r="X31" i="45"/>
  <c r="V31" i="45"/>
  <c r="T31" i="45"/>
  <c r="Z31" i="45" s="1"/>
  <c r="P31" i="45"/>
  <c r="H31" i="45"/>
  <c r="N31" i="45" s="1"/>
  <c r="D31" i="45"/>
  <c r="Z29" i="45"/>
  <c r="X29" i="45"/>
  <c r="N29" i="45"/>
  <c r="L29" i="45"/>
  <c r="B29" i="45"/>
  <c r="T28" i="45"/>
  <c r="Z28" i="45" s="1"/>
  <c r="R28" i="45"/>
  <c r="P28" i="45"/>
  <c r="X28" i="45" s="1"/>
  <c r="N28" i="45"/>
  <c r="H28" i="45"/>
  <c r="D28" i="45"/>
  <c r="L28" i="45" s="1"/>
  <c r="B28" i="45"/>
  <c r="Z27" i="45"/>
  <c r="X27" i="45"/>
  <c r="N27" i="45"/>
  <c r="L27" i="45"/>
  <c r="B27" i="45"/>
  <c r="Z26" i="45"/>
  <c r="T26" i="45"/>
  <c r="P26" i="45"/>
  <c r="X26" i="45" s="1"/>
  <c r="N26" i="45"/>
  <c r="L26" i="45"/>
  <c r="H26" i="45"/>
  <c r="D26" i="45"/>
  <c r="B26" i="45"/>
  <c r="Z25" i="45"/>
  <c r="X25" i="45"/>
  <c r="V25" i="45"/>
  <c r="N25" i="45"/>
  <c r="L25" i="45"/>
  <c r="B25" i="45"/>
  <c r="Z24" i="45"/>
  <c r="X24" i="45"/>
  <c r="V24" i="45"/>
  <c r="T24" i="45"/>
  <c r="P24" i="45"/>
  <c r="H24" i="45"/>
  <c r="D24" i="45"/>
  <c r="B24" i="45"/>
  <c r="Z23" i="45"/>
  <c r="X23" i="45"/>
  <c r="V23" i="45"/>
  <c r="R23" i="45"/>
  <c r="N23" i="45"/>
  <c r="L23" i="45"/>
  <c r="B23" i="45"/>
  <c r="V22" i="45"/>
  <c r="T22" i="45"/>
  <c r="R22" i="45"/>
  <c r="P22" i="45"/>
  <c r="H22" i="45"/>
  <c r="N22" i="45" s="1"/>
  <c r="D22" i="45"/>
  <c r="L22" i="45" s="1"/>
  <c r="B22" i="45"/>
  <c r="Z21" i="45"/>
  <c r="X21" i="45"/>
  <c r="N21" i="45"/>
  <c r="L21" i="45"/>
  <c r="B21" i="45"/>
  <c r="T20" i="45"/>
  <c r="Z20" i="45" s="1"/>
  <c r="R20" i="45"/>
  <c r="P20" i="45"/>
  <c r="X20" i="45" s="1"/>
  <c r="N20" i="45"/>
  <c r="H20" i="45"/>
  <c r="D20" i="45"/>
  <c r="L20" i="45" s="1"/>
  <c r="B20" i="45"/>
  <c r="T19" i="45" a="1"/>
  <c r="T19" i="45" s="1"/>
  <c r="P19" i="45" a="1"/>
  <c r="P19" i="45"/>
  <c r="H19" i="45" a="1"/>
  <c r="H19" i="45" s="1"/>
  <c r="D19" i="45" a="1"/>
  <c r="D19" i="45"/>
  <c r="Z15" i="45"/>
  <c r="X15" i="45"/>
  <c r="V15" i="45"/>
  <c r="R15" i="45"/>
  <c r="N15" i="45"/>
  <c r="L15" i="45"/>
  <c r="B15" i="45"/>
  <c r="V14" i="45"/>
  <c r="T14" i="45"/>
  <c r="R14" i="45"/>
  <c r="P14" i="45"/>
  <c r="H14" i="45"/>
  <c r="N14" i="45" s="1"/>
  <c r="D14" i="45"/>
  <c r="L14" i="45" s="1"/>
  <c r="Z12" i="45"/>
  <c r="T12" i="45"/>
  <c r="V26" i="45" s="1"/>
  <c r="P12" i="45"/>
  <c r="R27" i="45" s="1"/>
  <c r="H12" i="45"/>
  <c r="J29" i="45" s="1"/>
  <c r="D12" i="45"/>
  <c r="F31" i="45" s="1"/>
  <c r="D6" i="45"/>
  <c r="D4" i="45"/>
  <c r="J86" i="44"/>
  <c r="Z84" i="44"/>
  <c r="X84" i="44"/>
  <c r="N84" i="44"/>
  <c r="L84" i="44"/>
  <c r="Z80" i="44"/>
  <c r="X80" i="44"/>
  <c r="P80" i="44"/>
  <c r="N80" i="44"/>
  <c r="J80" i="44"/>
  <c r="F80" i="44"/>
  <c r="D80" i="44"/>
  <c r="B80" i="44"/>
  <c r="Z79" i="44"/>
  <c r="T79" i="44"/>
  <c r="P79" i="44"/>
  <c r="X79" i="44" s="1"/>
  <c r="N79" i="44"/>
  <c r="H79" i="44"/>
  <c r="X77" i="44"/>
  <c r="Z77" i="44" s="1"/>
  <c r="L77" i="44"/>
  <c r="N77" i="44" s="1"/>
  <c r="B77" i="44"/>
  <c r="X76" i="44"/>
  <c r="Z76" i="44" s="1"/>
  <c r="T76" i="44"/>
  <c r="P76" i="44"/>
  <c r="J76" i="44"/>
  <c r="H76" i="44"/>
  <c r="D76" i="44"/>
  <c r="B76" i="44"/>
  <c r="Z75" i="44"/>
  <c r="X75" i="44"/>
  <c r="N75" i="44"/>
  <c r="L75" i="44"/>
  <c r="B75" i="44"/>
  <c r="Z74" i="44"/>
  <c r="X74" i="44"/>
  <c r="N74" i="44"/>
  <c r="L74" i="44"/>
  <c r="B74" i="44"/>
  <c r="Z73" i="44"/>
  <c r="X73" i="44"/>
  <c r="V73" i="44"/>
  <c r="T73" i="44"/>
  <c r="P73" i="44"/>
  <c r="J73" i="44"/>
  <c r="H73" i="44"/>
  <c r="N73" i="44" s="1"/>
  <c r="F73" i="44"/>
  <c r="D73" i="44"/>
  <c r="L73" i="44" s="1"/>
  <c r="B73" i="44"/>
  <c r="X72" i="44"/>
  <c r="Z72" i="44" s="1"/>
  <c r="N72" i="44"/>
  <c r="L72" i="44"/>
  <c r="B72" i="44"/>
  <c r="T71" i="44"/>
  <c r="P71" i="44"/>
  <c r="X71" i="44" s="1"/>
  <c r="N71" i="44"/>
  <c r="H71" i="44"/>
  <c r="F71" i="44"/>
  <c r="D71" i="44"/>
  <c r="L71" i="44" s="1"/>
  <c r="B71" i="44"/>
  <c r="Z70" i="44"/>
  <c r="X70" i="44"/>
  <c r="N70" i="44"/>
  <c r="L70" i="44"/>
  <c r="J70" i="44"/>
  <c r="F70" i="44"/>
  <c r="B70" i="44"/>
  <c r="Z69" i="44"/>
  <c r="T69" i="44"/>
  <c r="P69" i="44"/>
  <c r="X69" i="44" s="1"/>
  <c r="N69" i="44"/>
  <c r="L69" i="44"/>
  <c r="H69" i="44"/>
  <c r="D69" i="44"/>
  <c r="B69" i="44"/>
  <c r="Z68" i="44"/>
  <c r="X68" i="44"/>
  <c r="N68" i="44"/>
  <c r="L68" i="44"/>
  <c r="F68" i="44"/>
  <c r="B68" i="44"/>
  <c r="Z67" i="44"/>
  <c r="X67" i="44"/>
  <c r="N67" i="44"/>
  <c r="L67" i="44"/>
  <c r="J67" i="44"/>
  <c r="F67" i="44"/>
  <c r="B67" i="44"/>
  <c r="Z66" i="44"/>
  <c r="T66" i="44"/>
  <c r="P66" i="44"/>
  <c r="X66" i="44" s="1"/>
  <c r="N66" i="44"/>
  <c r="L66" i="44"/>
  <c r="H66" i="44"/>
  <c r="D66" i="44"/>
  <c r="B66" i="44"/>
  <c r="Z65" i="44"/>
  <c r="X65" i="44"/>
  <c r="N65" i="44"/>
  <c r="L65" i="44"/>
  <c r="B65" i="44"/>
  <c r="Z64" i="44"/>
  <c r="X64" i="44"/>
  <c r="T64" i="44"/>
  <c r="P64" i="44"/>
  <c r="J64" i="44"/>
  <c r="H64" i="44"/>
  <c r="D64" i="44"/>
  <c r="B64" i="44"/>
  <c r="Z63" i="44"/>
  <c r="X63" i="44"/>
  <c r="R63" i="44"/>
  <c r="N63" i="44"/>
  <c r="L63" i="44"/>
  <c r="B63" i="44"/>
  <c r="Z62" i="44"/>
  <c r="X62" i="44"/>
  <c r="R62" i="44"/>
  <c r="N62" i="44"/>
  <c r="L62" i="44"/>
  <c r="B62" i="44"/>
  <c r="X61" i="44"/>
  <c r="Z61" i="44" s="1"/>
  <c r="L61" i="44"/>
  <c r="N61" i="44" s="1"/>
  <c r="B61" i="44"/>
  <c r="X60" i="44"/>
  <c r="Z60" i="44" s="1"/>
  <c r="T60" i="44"/>
  <c r="P60" i="44"/>
  <c r="J60" i="44"/>
  <c r="H60" i="44"/>
  <c r="D60" i="44"/>
  <c r="B60" i="44"/>
  <c r="Z59" i="44"/>
  <c r="X59" i="44"/>
  <c r="N59" i="44"/>
  <c r="L59" i="44"/>
  <c r="B59" i="44"/>
  <c r="Z58" i="44"/>
  <c r="X58" i="44"/>
  <c r="V58" i="44"/>
  <c r="R58" i="44"/>
  <c r="N58" i="44"/>
  <c r="L58" i="44"/>
  <c r="B58" i="44"/>
  <c r="X57" i="44"/>
  <c r="Z57" i="44" s="1"/>
  <c r="N57" i="44"/>
  <c r="L57" i="44"/>
  <c r="B57" i="44"/>
  <c r="Z56" i="44"/>
  <c r="X56" i="44"/>
  <c r="N56" i="44"/>
  <c r="L56" i="44"/>
  <c r="F56" i="44"/>
  <c r="B56" i="44"/>
  <c r="Z55" i="44"/>
  <c r="X55" i="44"/>
  <c r="T55" i="44"/>
  <c r="P55" i="44"/>
  <c r="N55" i="44"/>
  <c r="L55" i="44"/>
  <c r="J55" i="44"/>
  <c r="H55" i="44"/>
  <c r="D55" i="44"/>
  <c r="B55" i="44"/>
  <c r="Z54" i="44"/>
  <c r="X54" i="44"/>
  <c r="N54" i="44"/>
  <c r="L54" i="44"/>
  <c r="B54" i="44"/>
  <c r="Z53" i="44"/>
  <c r="X53" i="44"/>
  <c r="T53" i="44"/>
  <c r="P53" i="44"/>
  <c r="J53" i="44"/>
  <c r="H53" i="44"/>
  <c r="N53" i="44" s="1"/>
  <c r="F53" i="44"/>
  <c r="D53" i="44"/>
  <c r="L53" i="44" s="1"/>
  <c r="B53" i="44"/>
  <c r="X52" i="44"/>
  <c r="Z52" i="44" s="1"/>
  <c r="L52" i="44"/>
  <c r="N52" i="44" s="1"/>
  <c r="B52" i="44"/>
  <c r="V51" i="44"/>
  <c r="T51" i="44"/>
  <c r="P51" i="44"/>
  <c r="H51" i="44"/>
  <c r="F51" i="44"/>
  <c r="D51" i="44"/>
  <c r="L51" i="44" s="1"/>
  <c r="B51" i="44"/>
  <c r="Z50" i="44"/>
  <c r="X50" i="44"/>
  <c r="N50" i="44"/>
  <c r="L50" i="44"/>
  <c r="J50" i="44"/>
  <c r="F50" i="44"/>
  <c r="B50" i="44"/>
  <c r="T49" i="44"/>
  <c r="R49" i="44"/>
  <c r="P49" i="44"/>
  <c r="X49" i="44" s="1"/>
  <c r="N49" i="44"/>
  <c r="L49" i="44"/>
  <c r="H49" i="44"/>
  <c r="D49" i="44"/>
  <c r="B49" i="44"/>
  <c r="X48" i="44"/>
  <c r="Z48" i="44" s="1"/>
  <c r="N48" i="44"/>
  <c r="L48" i="44"/>
  <c r="F48" i="44"/>
  <c r="B48" i="44"/>
  <c r="Z47" i="44"/>
  <c r="X47" i="44"/>
  <c r="T47" i="44"/>
  <c r="P47" i="44"/>
  <c r="N47" i="44"/>
  <c r="L47" i="44"/>
  <c r="J47" i="44"/>
  <c r="H47" i="44"/>
  <c r="D47" i="44"/>
  <c r="B47" i="44"/>
  <c r="Z46" i="44"/>
  <c r="X46" i="44"/>
  <c r="V46" i="44"/>
  <c r="N46" i="44"/>
  <c r="L46" i="44"/>
  <c r="B46" i="44"/>
  <c r="Z45" i="44"/>
  <c r="X45" i="44"/>
  <c r="V45" i="44"/>
  <c r="T45" i="44"/>
  <c r="P45" i="44"/>
  <c r="J45" i="44"/>
  <c r="H45" i="44"/>
  <c r="N45" i="44" s="1"/>
  <c r="F45" i="44"/>
  <c r="D45" i="44"/>
  <c r="L45" i="44" s="1"/>
  <c r="B45" i="44"/>
  <c r="Z44" i="44"/>
  <c r="X44" i="44"/>
  <c r="N44" i="44"/>
  <c r="L44" i="44"/>
  <c r="B44" i="44"/>
  <c r="Z43" i="44"/>
  <c r="X43" i="44"/>
  <c r="V43" i="44"/>
  <c r="R43" i="44"/>
  <c r="N43" i="44"/>
  <c r="L43" i="44"/>
  <c r="B43" i="44"/>
  <c r="T42" i="44"/>
  <c r="P42" i="44"/>
  <c r="H42" i="44"/>
  <c r="F42" i="44"/>
  <c r="D42" i="44"/>
  <c r="B42" i="44"/>
  <c r="X41" i="44"/>
  <c r="Z41" i="44" s="1"/>
  <c r="L41" i="44"/>
  <c r="N41" i="44" s="1"/>
  <c r="J41" i="44"/>
  <c r="B41" i="44"/>
  <c r="T40" i="44"/>
  <c r="P40" i="44"/>
  <c r="H40" i="44"/>
  <c r="D40" i="44"/>
  <c r="L40" i="44" s="1"/>
  <c r="N40" i="44" s="1"/>
  <c r="B40" i="44"/>
  <c r="Z39" i="44"/>
  <c r="X39" i="44"/>
  <c r="N39" i="44"/>
  <c r="L39" i="44"/>
  <c r="J39" i="44"/>
  <c r="F39" i="44"/>
  <c r="B39" i="44"/>
  <c r="Z38" i="44"/>
  <c r="X38" i="44"/>
  <c r="N38" i="44"/>
  <c r="L38" i="44"/>
  <c r="J38" i="44"/>
  <c r="F38" i="44"/>
  <c r="B38" i="44"/>
  <c r="Z37" i="44"/>
  <c r="X37" i="44"/>
  <c r="N37" i="44"/>
  <c r="L37" i="44"/>
  <c r="J37" i="44"/>
  <c r="B37" i="44"/>
  <c r="Z36" i="44"/>
  <c r="X36" i="44"/>
  <c r="N36" i="44"/>
  <c r="L36" i="44"/>
  <c r="B36" i="44"/>
  <c r="Z35" i="44"/>
  <c r="X35" i="44"/>
  <c r="N35" i="44"/>
  <c r="L35" i="44"/>
  <c r="B35" i="44"/>
  <c r="Z34" i="44"/>
  <c r="X34" i="44"/>
  <c r="N34" i="44"/>
  <c r="L34" i="44"/>
  <c r="B34" i="44"/>
  <c r="Z33" i="44"/>
  <c r="X33" i="44"/>
  <c r="N33" i="44"/>
  <c r="L33" i="44"/>
  <c r="B33" i="44"/>
  <c r="Z32" i="44"/>
  <c r="X32" i="44"/>
  <c r="N32" i="44"/>
  <c r="L32" i="44"/>
  <c r="F32" i="44"/>
  <c r="B32" i="44"/>
  <c r="Z31" i="44"/>
  <c r="X31" i="44"/>
  <c r="N31" i="44"/>
  <c r="L31" i="44"/>
  <c r="J31" i="44"/>
  <c r="F31" i="44"/>
  <c r="B31" i="44"/>
  <c r="Z30" i="44"/>
  <c r="X30" i="44"/>
  <c r="L30" i="44"/>
  <c r="N30" i="44" s="1"/>
  <c r="J30" i="44"/>
  <c r="F30" i="44"/>
  <c r="B30" i="44"/>
  <c r="T29" i="44"/>
  <c r="Z29" i="44" s="1"/>
  <c r="P29" i="44"/>
  <c r="X29" i="44" s="1"/>
  <c r="N29" i="44"/>
  <c r="L29" i="44"/>
  <c r="H29" i="44"/>
  <c r="D29" i="44"/>
  <c r="B29" i="44"/>
  <c r="Z28" i="44"/>
  <c r="X28" i="44"/>
  <c r="N28" i="44"/>
  <c r="L28" i="44"/>
  <c r="F28" i="44"/>
  <c r="B28" i="44"/>
  <c r="Z27" i="44"/>
  <c r="X27" i="44"/>
  <c r="L27" i="44"/>
  <c r="N27" i="44" s="1"/>
  <c r="J27" i="44"/>
  <c r="F27" i="44"/>
  <c r="B27" i="44"/>
  <c r="Z26" i="44"/>
  <c r="X26" i="44"/>
  <c r="L26" i="44"/>
  <c r="N26" i="44" s="1"/>
  <c r="J26" i="44"/>
  <c r="F26" i="44"/>
  <c r="B26" i="44"/>
  <c r="Z25" i="44"/>
  <c r="X25" i="44"/>
  <c r="N25" i="44"/>
  <c r="L25" i="44"/>
  <c r="J25" i="44"/>
  <c r="B25" i="44"/>
  <c r="Z24" i="44"/>
  <c r="X24" i="44"/>
  <c r="N24" i="44"/>
  <c r="L24" i="44"/>
  <c r="B24" i="44"/>
  <c r="X23" i="44"/>
  <c r="Z23" i="44" s="1"/>
  <c r="V23" i="44"/>
  <c r="R23" i="44"/>
  <c r="N23" i="44"/>
  <c r="L23" i="44"/>
  <c r="B23" i="44"/>
  <c r="X22" i="44"/>
  <c r="Z22" i="44" s="1"/>
  <c r="N22" i="44"/>
  <c r="L22" i="44"/>
  <c r="B22" i="44"/>
  <c r="Z21" i="44"/>
  <c r="X21" i="44"/>
  <c r="L21" i="44"/>
  <c r="N21" i="44" s="1"/>
  <c r="B21" i="44"/>
  <c r="Z20" i="44"/>
  <c r="X20" i="44"/>
  <c r="L20" i="44"/>
  <c r="N20" i="44" s="1"/>
  <c r="F20" i="44"/>
  <c r="B20" i="44"/>
  <c r="Z19" i="44"/>
  <c r="X19" i="44"/>
  <c r="T19" i="44"/>
  <c r="P19" i="44"/>
  <c r="N19" i="44"/>
  <c r="L19" i="44"/>
  <c r="J19" i="44"/>
  <c r="H19" i="44"/>
  <c r="D19" i="44"/>
  <c r="B19" i="44"/>
  <c r="V18" i="44"/>
  <c r="T18" i="44" a="1"/>
  <c r="T18" i="44" s="1"/>
  <c r="P18" i="44" a="1"/>
  <c r="P18" i="44" s="1"/>
  <c r="J18" i="44"/>
  <c r="H18" i="44" a="1"/>
  <c r="H18" i="44" s="1"/>
  <c r="D18" i="44" a="1"/>
  <c r="D18" i="44" s="1"/>
  <c r="L18" i="44" s="1"/>
  <c r="V16" i="44"/>
  <c r="T16" i="44"/>
  <c r="H16" i="44"/>
  <c r="F16" i="44"/>
  <c r="D16" i="44"/>
  <c r="Z14" i="44"/>
  <c r="T14" i="44"/>
  <c r="P14" i="44"/>
  <c r="X14" i="44" s="1"/>
  <c r="N14" i="44"/>
  <c r="L14" i="44"/>
  <c r="H14" i="44"/>
  <c r="F14" i="44"/>
  <c r="D14" i="44"/>
  <c r="T12" i="44"/>
  <c r="V77" i="44" s="1"/>
  <c r="P12" i="44"/>
  <c r="R59" i="44" s="1"/>
  <c r="H12" i="44"/>
  <c r="J89" i="44" s="1"/>
  <c r="D12" i="44"/>
  <c r="F75" i="44" s="1"/>
  <c r="D6" i="44"/>
  <c r="D4" i="44"/>
  <c r="J33" i="43"/>
  <c r="Z28" i="43"/>
  <c r="X28" i="43"/>
  <c r="N28" i="43"/>
  <c r="L28" i="43"/>
  <c r="F28" i="43"/>
  <c r="J26" i="43"/>
  <c r="T24" i="43"/>
  <c r="Z24" i="43" s="1"/>
  <c r="R24" i="43"/>
  <c r="P24" i="43"/>
  <c r="X24" i="43" s="1"/>
  <c r="H24" i="43"/>
  <c r="N24" i="43" s="1"/>
  <c r="D24" i="43"/>
  <c r="L24" i="43" s="1"/>
  <c r="Z22" i="43"/>
  <c r="X22" i="43"/>
  <c r="N22" i="43"/>
  <c r="L22" i="43"/>
  <c r="F22" i="43"/>
  <c r="B22" i="43"/>
  <c r="Z21" i="43"/>
  <c r="T21" i="43"/>
  <c r="P21" i="43"/>
  <c r="X21" i="43" s="1"/>
  <c r="N21" i="43"/>
  <c r="L21" i="43"/>
  <c r="J21" i="43"/>
  <c r="H21" i="43"/>
  <c r="D21" i="43"/>
  <c r="B21" i="43"/>
  <c r="Z20" i="43"/>
  <c r="X20" i="43"/>
  <c r="V20" i="43"/>
  <c r="N20" i="43"/>
  <c r="L20" i="43"/>
  <c r="B20" i="43"/>
  <c r="Z19" i="43"/>
  <c r="X19" i="43"/>
  <c r="V19" i="43"/>
  <c r="T19" i="43"/>
  <c r="P19" i="43"/>
  <c r="J19" i="43"/>
  <c r="H19" i="43"/>
  <c r="F19" i="43"/>
  <c r="D19" i="43"/>
  <c r="B19" i="43"/>
  <c r="T18" i="43" a="1"/>
  <c r="T18" i="43" s="1"/>
  <c r="Z18" i="43" s="1"/>
  <c r="P18" i="43" a="1"/>
  <c r="P18" i="43" s="1"/>
  <c r="H18" i="43" a="1"/>
  <c r="H18" i="43" s="1"/>
  <c r="N18" i="43" s="1"/>
  <c r="F18" i="43"/>
  <c r="D18" i="43" a="1"/>
  <c r="D18" i="43" s="1"/>
  <c r="T16" i="43"/>
  <c r="R16" i="43"/>
  <c r="J16" i="43"/>
  <c r="F16" i="43"/>
  <c r="D16" i="43"/>
  <c r="Z14" i="43"/>
  <c r="X14" i="43"/>
  <c r="V14" i="43"/>
  <c r="T14" i="43"/>
  <c r="P14" i="43"/>
  <c r="J14" i="43"/>
  <c r="H14" i="43"/>
  <c r="F14" i="43"/>
  <c r="D14" i="43"/>
  <c r="Z12" i="43"/>
  <c r="T12" i="43"/>
  <c r="V30" i="43" s="1"/>
  <c r="P12" i="43"/>
  <c r="R30" i="43" s="1"/>
  <c r="N12" i="43"/>
  <c r="L12" i="43"/>
  <c r="H12" i="43"/>
  <c r="J30" i="43" s="1"/>
  <c r="D12" i="43"/>
  <c r="F20" i="43" s="1"/>
  <c r="D6" i="43"/>
  <c r="D4" i="43"/>
  <c r="X96" i="42"/>
  <c r="Z96" i="42" s="1"/>
  <c r="N96" i="42"/>
  <c r="L96" i="42"/>
  <c r="Z92" i="42"/>
  <c r="P92" i="42"/>
  <c r="X92" i="42" s="1"/>
  <c r="N92" i="42"/>
  <c r="L92" i="42"/>
  <c r="D92" i="42"/>
  <c r="B92" i="42"/>
  <c r="V91" i="42"/>
  <c r="T91" i="42"/>
  <c r="Z91" i="42" s="1"/>
  <c r="P91" i="42"/>
  <c r="H91" i="42"/>
  <c r="N91" i="42" s="1"/>
  <c r="D91" i="42"/>
  <c r="L91" i="42" s="1"/>
  <c r="Z89" i="42"/>
  <c r="X89" i="42"/>
  <c r="L89" i="42"/>
  <c r="N89" i="42" s="1"/>
  <c r="B89" i="42"/>
  <c r="T88" i="42"/>
  <c r="Z88" i="42" s="1"/>
  <c r="P88" i="42"/>
  <c r="X88" i="42" s="1"/>
  <c r="L88" i="42"/>
  <c r="N88" i="42" s="1"/>
  <c r="H88" i="42"/>
  <c r="D88" i="42"/>
  <c r="B88" i="42"/>
  <c r="X87" i="42"/>
  <c r="Z87" i="42" s="1"/>
  <c r="N87" i="42"/>
  <c r="L87" i="42"/>
  <c r="B87" i="42"/>
  <c r="Z86" i="42"/>
  <c r="X86" i="42"/>
  <c r="T86" i="42"/>
  <c r="P86" i="42"/>
  <c r="H86" i="42"/>
  <c r="D86" i="42"/>
  <c r="B86" i="42"/>
  <c r="X85" i="42"/>
  <c r="Z85" i="42" s="1"/>
  <c r="N85" i="42"/>
  <c r="L85" i="42"/>
  <c r="B85" i="42"/>
  <c r="X84" i="42"/>
  <c r="T84" i="42"/>
  <c r="P84" i="42"/>
  <c r="H84" i="42"/>
  <c r="N84" i="42" s="1"/>
  <c r="D84" i="42"/>
  <c r="L84" i="42" s="1"/>
  <c r="B84" i="42"/>
  <c r="X83" i="42"/>
  <c r="Z83" i="42" s="1"/>
  <c r="L83" i="42"/>
  <c r="N83" i="42" s="1"/>
  <c r="B83" i="42"/>
  <c r="T82" i="42"/>
  <c r="P82" i="42"/>
  <c r="X82" i="42" s="1"/>
  <c r="H82" i="42"/>
  <c r="N82" i="42" s="1"/>
  <c r="D82" i="42"/>
  <c r="L82" i="42" s="1"/>
  <c r="B82" i="42"/>
  <c r="Z81" i="42"/>
  <c r="X81" i="42"/>
  <c r="N81" i="42"/>
  <c r="L81" i="42"/>
  <c r="J81" i="42"/>
  <c r="B81" i="42"/>
  <c r="Z80" i="42"/>
  <c r="X80" i="42"/>
  <c r="N80" i="42"/>
  <c r="L80" i="42"/>
  <c r="B80" i="42"/>
  <c r="X79" i="42"/>
  <c r="Z79" i="42" s="1"/>
  <c r="L79" i="42"/>
  <c r="N79" i="42" s="1"/>
  <c r="B79" i="42"/>
  <c r="X78" i="42"/>
  <c r="Z78" i="42" s="1"/>
  <c r="N78" i="42"/>
  <c r="L78" i="42"/>
  <c r="B78" i="42"/>
  <c r="X77" i="42"/>
  <c r="Z77" i="42" s="1"/>
  <c r="N77" i="42"/>
  <c r="L77" i="42"/>
  <c r="B77" i="42"/>
  <c r="X76" i="42"/>
  <c r="Z76" i="42" s="1"/>
  <c r="N76" i="42"/>
  <c r="L76" i="42"/>
  <c r="B76" i="42"/>
  <c r="X75" i="42"/>
  <c r="Z75" i="42" s="1"/>
  <c r="L75" i="42"/>
  <c r="N75" i="42" s="1"/>
  <c r="B75" i="42"/>
  <c r="Z74" i="42"/>
  <c r="X74" i="42"/>
  <c r="L74" i="42"/>
  <c r="N74" i="42" s="1"/>
  <c r="B74" i="42"/>
  <c r="Z73" i="42"/>
  <c r="X73" i="42"/>
  <c r="N73" i="42"/>
  <c r="L73" i="42"/>
  <c r="B73" i="42"/>
  <c r="T72" i="42"/>
  <c r="Z72" i="42" s="1"/>
  <c r="P72" i="42"/>
  <c r="X72" i="42" s="1"/>
  <c r="L72" i="42"/>
  <c r="N72" i="42" s="1"/>
  <c r="H72" i="42"/>
  <c r="D72" i="42"/>
  <c r="B72" i="42"/>
  <c r="X71" i="42"/>
  <c r="Z71" i="42" s="1"/>
  <c r="N71" i="42"/>
  <c r="L71" i="42"/>
  <c r="B71" i="42"/>
  <c r="X70" i="42"/>
  <c r="Z70" i="42" s="1"/>
  <c r="T70" i="42"/>
  <c r="P70" i="42"/>
  <c r="H70" i="42"/>
  <c r="L70" i="42" s="1"/>
  <c r="D70" i="42"/>
  <c r="B70" i="42"/>
  <c r="X69" i="42"/>
  <c r="Z69" i="42" s="1"/>
  <c r="V69" i="42"/>
  <c r="N69" i="42"/>
  <c r="L69" i="42"/>
  <c r="B69" i="42"/>
  <c r="X68" i="42"/>
  <c r="Z68" i="42" s="1"/>
  <c r="L68" i="42"/>
  <c r="N68" i="42" s="1"/>
  <c r="B68" i="42"/>
  <c r="Z67" i="42"/>
  <c r="X67" i="42"/>
  <c r="N67" i="42"/>
  <c r="L67" i="42"/>
  <c r="B67" i="42"/>
  <c r="Z66" i="42"/>
  <c r="X66" i="42"/>
  <c r="L66" i="42"/>
  <c r="N66" i="42" s="1"/>
  <c r="B66" i="42"/>
  <c r="T65" i="42"/>
  <c r="P65" i="42"/>
  <c r="X65" i="42" s="1"/>
  <c r="Z65" i="42" s="1"/>
  <c r="L65" i="42"/>
  <c r="N65" i="42" s="1"/>
  <c r="H65" i="42"/>
  <c r="D65" i="42"/>
  <c r="B65" i="42"/>
  <c r="X64" i="42"/>
  <c r="Z64" i="42" s="1"/>
  <c r="L64" i="42"/>
  <c r="N64" i="42" s="1"/>
  <c r="B64" i="42"/>
  <c r="X63" i="42"/>
  <c r="Z63" i="42" s="1"/>
  <c r="N63" i="42"/>
  <c r="L63" i="42"/>
  <c r="B63" i="42"/>
  <c r="Z62" i="42"/>
  <c r="X62" i="42"/>
  <c r="T62" i="42"/>
  <c r="P62" i="42"/>
  <c r="H62" i="42"/>
  <c r="D62" i="42"/>
  <c r="B62" i="42"/>
  <c r="X61" i="42"/>
  <c r="Z61" i="42" s="1"/>
  <c r="N61" i="42"/>
  <c r="L61" i="42"/>
  <c r="B61" i="42"/>
  <c r="X60" i="42"/>
  <c r="V60" i="42"/>
  <c r="T60" i="42"/>
  <c r="P60" i="42"/>
  <c r="H60" i="42"/>
  <c r="D60" i="42"/>
  <c r="B60" i="42"/>
  <c r="X59" i="42"/>
  <c r="Z59" i="42" s="1"/>
  <c r="N59" i="42"/>
  <c r="L59" i="42"/>
  <c r="B59" i="42"/>
  <c r="T58" i="42"/>
  <c r="P58" i="42"/>
  <c r="X58" i="42" s="1"/>
  <c r="H58" i="42"/>
  <c r="N58" i="42" s="1"/>
  <c r="D58" i="42"/>
  <c r="L58" i="42" s="1"/>
  <c r="B58" i="42"/>
  <c r="Z57" i="42"/>
  <c r="X57" i="42"/>
  <c r="N57" i="42"/>
  <c r="L57" i="42"/>
  <c r="B57" i="42"/>
  <c r="T56" i="42"/>
  <c r="Z56" i="42" s="1"/>
  <c r="P56" i="42"/>
  <c r="X56" i="42" s="1"/>
  <c r="N56" i="42"/>
  <c r="L56" i="42"/>
  <c r="H56" i="42"/>
  <c r="D56" i="42"/>
  <c r="B56" i="42"/>
  <c r="Z55" i="42"/>
  <c r="X55" i="42"/>
  <c r="L55" i="42"/>
  <c r="N55" i="42" s="1"/>
  <c r="B55" i="42"/>
  <c r="Z54" i="42"/>
  <c r="X54" i="42"/>
  <c r="N54" i="42"/>
  <c r="L54" i="42"/>
  <c r="B54" i="42"/>
  <c r="Z53" i="42"/>
  <c r="T53" i="42"/>
  <c r="P53" i="42"/>
  <c r="X53" i="42" s="1"/>
  <c r="L53" i="42"/>
  <c r="N53" i="42" s="1"/>
  <c r="J53" i="42"/>
  <c r="H53" i="42"/>
  <c r="D53" i="42"/>
  <c r="B53" i="42"/>
  <c r="X52" i="42"/>
  <c r="Z52" i="42" s="1"/>
  <c r="N52" i="42"/>
  <c r="L52" i="42"/>
  <c r="B52" i="42"/>
  <c r="X51" i="42"/>
  <c r="Z51" i="42" s="1"/>
  <c r="T51" i="42"/>
  <c r="P51" i="42"/>
  <c r="H51" i="42"/>
  <c r="D51" i="42"/>
  <c r="B51" i="42"/>
  <c r="Z50" i="42"/>
  <c r="X50" i="42"/>
  <c r="N50" i="42"/>
  <c r="L50" i="42"/>
  <c r="B50" i="42"/>
  <c r="T49" i="42"/>
  <c r="P49" i="42"/>
  <c r="H49" i="42"/>
  <c r="N49" i="42" s="1"/>
  <c r="D49" i="42"/>
  <c r="L49" i="42" s="1"/>
  <c r="B49" i="42"/>
  <c r="Z48" i="42"/>
  <c r="X48" i="42"/>
  <c r="N48" i="42"/>
  <c r="L48" i="42"/>
  <c r="B48" i="42"/>
  <c r="T47" i="42"/>
  <c r="Z47" i="42" s="1"/>
  <c r="P47" i="42"/>
  <c r="X47" i="42" s="1"/>
  <c r="N47" i="42"/>
  <c r="H47" i="42"/>
  <c r="D47" i="42"/>
  <c r="L47" i="42" s="1"/>
  <c r="B47" i="42"/>
  <c r="Z46" i="42"/>
  <c r="X46" i="42"/>
  <c r="N46" i="42"/>
  <c r="L46" i="42"/>
  <c r="B46" i="42"/>
  <c r="Z45" i="42"/>
  <c r="X45" i="42"/>
  <c r="N45" i="42"/>
  <c r="L45" i="42"/>
  <c r="B45" i="42"/>
  <c r="Z44" i="42"/>
  <c r="X44" i="42"/>
  <c r="N44" i="42"/>
  <c r="L44" i="42"/>
  <c r="B44" i="42"/>
  <c r="X43" i="42"/>
  <c r="Z43" i="42" s="1"/>
  <c r="N43" i="42"/>
  <c r="L43" i="42"/>
  <c r="J43" i="42"/>
  <c r="B43" i="42"/>
  <c r="Z42" i="42"/>
  <c r="X42" i="42"/>
  <c r="N42" i="42"/>
  <c r="L42" i="42"/>
  <c r="B42" i="42"/>
  <c r="X41" i="42"/>
  <c r="Z41" i="42" s="1"/>
  <c r="V41" i="42"/>
  <c r="N41" i="42"/>
  <c r="L41" i="42"/>
  <c r="B41" i="42"/>
  <c r="Z40" i="42"/>
  <c r="X40" i="42"/>
  <c r="V40" i="42"/>
  <c r="N40" i="42"/>
  <c r="L40" i="42"/>
  <c r="B40" i="42"/>
  <c r="Z39" i="42"/>
  <c r="X39" i="42"/>
  <c r="N39" i="42"/>
  <c r="L39" i="42"/>
  <c r="B39" i="42"/>
  <c r="X38" i="42"/>
  <c r="Z38" i="42" s="1"/>
  <c r="N38" i="42"/>
  <c r="L38" i="42"/>
  <c r="B38" i="42"/>
  <c r="Z37" i="42"/>
  <c r="X37" i="42"/>
  <c r="N37" i="42"/>
  <c r="L37" i="42"/>
  <c r="B37" i="42"/>
  <c r="T36" i="42"/>
  <c r="Z36" i="42" s="1"/>
  <c r="P36" i="42"/>
  <c r="X36" i="42" s="1"/>
  <c r="N36" i="42"/>
  <c r="L36" i="42"/>
  <c r="H36" i="42"/>
  <c r="D36" i="42"/>
  <c r="B36" i="42"/>
  <c r="Z35" i="42"/>
  <c r="X35" i="42"/>
  <c r="N35" i="42"/>
  <c r="L35" i="42"/>
  <c r="B35" i="42"/>
  <c r="Z34" i="42"/>
  <c r="X34" i="42"/>
  <c r="L34" i="42"/>
  <c r="N34" i="42" s="1"/>
  <c r="B34" i="42"/>
  <c r="Z33" i="42"/>
  <c r="X33" i="42"/>
  <c r="L33" i="42"/>
  <c r="N33" i="42" s="1"/>
  <c r="B33" i="42"/>
  <c r="Z32" i="42"/>
  <c r="X32" i="42"/>
  <c r="N32" i="42"/>
  <c r="L32" i="42"/>
  <c r="B32" i="42"/>
  <c r="X31" i="42"/>
  <c r="Z31" i="42" s="1"/>
  <c r="L31" i="42"/>
  <c r="N31" i="42" s="1"/>
  <c r="J31" i="42"/>
  <c r="B31" i="42"/>
  <c r="X30" i="42"/>
  <c r="Z30" i="42" s="1"/>
  <c r="L30" i="42"/>
  <c r="N30" i="42" s="1"/>
  <c r="B30" i="42"/>
  <c r="X29" i="42"/>
  <c r="Z29" i="42" s="1"/>
  <c r="L29" i="42"/>
  <c r="N29" i="42" s="1"/>
  <c r="B29" i="42"/>
  <c r="Z28" i="42"/>
  <c r="X28" i="42"/>
  <c r="N28" i="42"/>
  <c r="L28" i="42"/>
  <c r="B28" i="42"/>
  <c r="Z27" i="42"/>
  <c r="X27" i="42"/>
  <c r="N27" i="42"/>
  <c r="L27" i="42"/>
  <c r="B27" i="42"/>
  <c r="T26" i="42"/>
  <c r="P26" i="42"/>
  <c r="H26" i="42"/>
  <c r="D26" i="42"/>
  <c r="L26" i="42" s="1"/>
  <c r="B26" i="42"/>
  <c r="T25" i="42" a="1"/>
  <c r="T25" i="42" s="1"/>
  <c r="P25" i="42" a="1"/>
  <c r="P25" i="42" s="1"/>
  <c r="X25" i="42" s="1"/>
  <c r="H25" i="42" a="1"/>
  <c r="H25" i="42" s="1"/>
  <c r="D25" i="42" a="1"/>
  <c r="D25" i="42" s="1"/>
  <c r="T23" i="42"/>
  <c r="Z21" i="42"/>
  <c r="X21" i="42"/>
  <c r="V21" i="42"/>
  <c r="N21" i="42"/>
  <c r="L21" i="42"/>
  <c r="B21" i="42"/>
  <c r="Z20" i="42"/>
  <c r="X20" i="42"/>
  <c r="N20" i="42"/>
  <c r="L20" i="42"/>
  <c r="B20" i="42"/>
  <c r="Z19" i="42"/>
  <c r="X19" i="42"/>
  <c r="L19" i="42"/>
  <c r="N19" i="42" s="1"/>
  <c r="B19" i="42"/>
  <c r="T18" i="42"/>
  <c r="P18" i="42"/>
  <c r="X18" i="42" s="1"/>
  <c r="N18" i="42"/>
  <c r="L18" i="42"/>
  <c r="H18" i="42"/>
  <c r="D18" i="42"/>
  <c r="Z16" i="42"/>
  <c r="P16" i="42"/>
  <c r="X16" i="42" s="1"/>
  <c r="N16" i="42"/>
  <c r="L16" i="42"/>
  <c r="D16" i="42"/>
  <c r="B16" i="42"/>
  <c r="X15" i="42"/>
  <c r="Z15" i="42" s="1"/>
  <c r="P15" i="42"/>
  <c r="L15" i="42"/>
  <c r="N15" i="42" s="1"/>
  <c r="D15" i="42"/>
  <c r="B15" i="42"/>
  <c r="Z14" i="42"/>
  <c r="P14" i="42"/>
  <c r="X14" i="42" s="1"/>
  <c r="N14" i="42"/>
  <c r="L14" i="42"/>
  <c r="D14" i="42"/>
  <c r="B14" i="42"/>
  <c r="X13" i="42"/>
  <c r="Z13" i="42" s="1"/>
  <c r="P13" i="42"/>
  <c r="D13" i="42"/>
  <c r="B13" i="42"/>
  <c r="T12" i="42"/>
  <c r="V77" i="42" s="1"/>
  <c r="H12" i="42"/>
  <c r="J32" i="42" s="1"/>
  <c r="D6" i="42"/>
  <c r="D4" i="42"/>
  <c r="X34" i="41"/>
  <c r="Z34" i="41" s="1"/>
  <c r="L34" i="41"/>
  <c r="N34" i="41" s="1"/>
  <c r="Z30" i="41"/>
  <c r="X30" i="41"/>
  <c r="T30" i="41"/>
  <c r="P30" i="41"/>
  <c r="H30" i="41"/>
  <c r="D30" i="41"/>
  <c r="Z28" i="41"/>
  <c r="X28" i="41"/>
  <c r="N28" i="41"/>
  <c r="L28" i="41"/>
  <c r="B28" i="41"/>
  <c r="T27" i="41"/>
  <c r="R27" i="41"/>
  <c r="P27" i="41"/>
  <c r="H27" i="41"/>
  <c r="N27" i="41" s="1"/>
  <c r="D27" i="41"/>
  <c r="L27" i="41" s="1"/>
  <c r="B27" i="41"/>
  <c r="Z26" i="41"/>
  <c r="X26" i="41"/>
  <c r="N26" i="41"/>
  <c r="L26" i="41"/>
  <c r="J26" i="41"/>
  <c r="B26" i="41"/>
  <c r="T25" i="41"/>
  <c r="Z25" i="41" s="1"/>
  <c r="P25" i="41"/>
  <c r="X25" i="41" s="1"/>
  <c r="H25" i="41"/>
  <c r="D25" i="41"/>
  <c r="L25" i="41" s="1"/>
  <c r="N25" i="41" s="1"/>
  <c r="B25" i="41"/>
  <c r="T24" i="41" a="1"/>
  <c r="T24" i="41" s="1"/>
  <c r="P24" i="41" a="1"/>
  <c r="P24" i="41" s="1"/>
  <c r="X24" i="41" s="1"/>
  <c r="H24" i="41" a="1"/>
  <c r="H24" i="41" s="1"/>
  <c r="D24" i="41" a="1"/>
  <c r="D24" i="41" s="1"/>
  <c r="Z20" i="41"/>
  <c r="X20" i="41"/>
  <c r="V20" i="41"/>
  <c r="N20" i="41"/>
  <c r="L20" i="41"/>
  <c r="B20" i="41"/>
  <c r="Z19" i="41"/>
  <c r="X19" i="41"/>
  <c r="R19" i="41"/>
  <c r="N19" i="41"/>
  <c r="L19" i="41"/>
  <c r="B19" i="41"/>
  <c r="Z18" i="41"/>
  <c r="X18" i="41"/>
  <c r="V18" i="41"/>
  <c r="R18" i="41"/>
  <c r="L18" i="41"/>
  <c r="N18" i="41" s="1"/>
  <c r="B18" i="41"/>
  <c r="X17" i="41"/>
  <c r="Z17" i="41" s="1"/>
  <c r="V17" i="41"/>
  <c r="T17" i="41"/>
  <c r="P17" i="41"/>
  <c r="H17" i="41"/>
  <c r="H22" i="41" s="1"/>
  <c r="D17" i="41"/>
  <c r="Z15" i="41"/>
  <c r="P15" i="41"/>
  <c r="X15" i="41" s="1"/>
  <c r="N15" i="41"/>
  <c r="D15" i="41"/>
  <c r="L15" i="41" s="1"/>
  <c r="B15" i="41"/>
  <c r="Z14" i="41"/>
  <c r="X14" i="41"/>
  <c r="P14" i="41"/>
  <c r="N14" i="41"/>
  <c r="L14" i="41"/>
  <c r="D14" i="41"/>
  <c r="B14" i="41"/>
  <c r="Z13" i="41"/>
  <c r="P13" i="41"/>
  <c r="X13" i="41" s="1"/>
  <c r="D13" i="41"/>
  <c r="L13" i="41" s="1"/>
  <c r="N13" i="41" s="1"/>
  <c r="B13" i="41"/>
  <c r="X12" i="41"/>
  <c r="Z12" i="41" s="1"/>
  <c r="T12" i="41"/>
  <c r="V26" i="41" s="1"/>
  <c r="P12" i="41"/>
  <c r="H12" i="41"/>
  <c r="D6" i="41"/>
  <c r="D4" i="41"/>
  <c r="X92" i="40"/>
  <c r="Z92" i="40" s="1"/>
  <c r="N92" i="40"/>
  <c r="L92" i="40"/>
  <c r="J92" i="40"/>
  <c r="F92" i="40"/>
  <c r="V88" i="40"/>
  <c r="T88" i="40"/>
  <c r="Z88" i="40" s="1"/>
  <c r="P88" i="40"/>
  <c r="H88" i="40"/>
  <c r="N88" i="40" s="1"/>
  <c r="D88" i="40"/>
  <c r="L88" i="40" s="1"/>
  <c r="X86" i="40"/>
  <c r="Z86" i="40" s="1"/>
  <c r="N86" i="40"/>
  <c r="L86" i="40"/>
  <c r="J86" i="40"/>
  <c r="B86" i="40"/>
  <c r="T85" i="40"/>
  <c r="P85" i="40"/>
  <c r="X85" i="40" s="1"/>
  <c r="H85" i="40"/>
  <c r="D85" i="40"/>
  <c r="L85" i="40" s="1"/>
  <c r="N85" i="40" s="1"/>
  <c r="B85" i="40"/>
  <c r="X84" i="40"/>
  <c r="Z84" i="40" s="1"/>
  <c r="N84" i="40"/>
  <c r="L84" i="40"/>
  <c r="B84" i="40"/>
  <c r="Z83" i="40"/>
  <c r="X83" i="40"/>
  <c r="N83" i="40"/>
  <c r="L83" i="40"/>
  <c r="B83" i="40"/>
  <c r="T82" i="40"/>
  <c r="P82" i="40"/>
  <c r="X82" i="40" s="1"/>
  <c r="L82" i="40"/>
  <c r="N82" i="40" s="1"/>
  <c r="H82" i="40"/>
  <c r="D82" i="40"/>
  <c r="B82" i="40"/>
  <c r="X81" i="40"/>
  <c r="Z81" i="40" s="1"/>
  <c r="V81" i="40"/>
  <c r="N81" i="40"/>
  <c r="L81" i="40"/>
  <c r="B81" i="40"/>
  <c r="Z80" i="40"/>
  <c r="X80" i="40"/>
  <c r="T80" i="40"/>
  <c r="P80" i="40"/>
  <c r="J80" i="40"/>
  <c r="H80" i="40"/>
  <c r="D80" i="40"/>
  <c r="B80" i="40"/>
  <c r="Z79" i="40"/>
  <c r="X79" i="40"/>
  <c r="N79" i="40"/>
  <c r="L79" i="40"/>
  <c r="B79" i="40"/>
  <c r="Z78" i="40"/>
  <c r="X78" i="40"/>
  <c r="L78" i="40"/>
  <c r="N78" i="40" s="1"/>
  <c r="B78" i="40"/>
  <c r="X77" i="40"/>
  <c r="Z77" i="40" s="1"/>
  <c r="V77" i="40"/>
  <c r="N77" i="40"/>
  <c r="L77" i="40"/>
  <c r="B77" i="40"/>
  <c r="X76" i="40"/>
  <c r="Z76" i="40" s="1"/>
  <c r="T76" i="40"/>
  <c r="P76" i="40"/>
  <c r="J76" i="40"/>
  <c r="H76" i="40"/>
  <c r="D76" i="40"/>
  <c r="B76" i="40"/>
  <c r="X75" i="40"/>
  <c r="Z75" i="40" s="1"/>
  <c r="N75" i="40"/>
  <c r="L75" i="40"/>
  <c r="B75" i="40"/>
  <c r="Z74" i="40"/>
  <c r="X74" i="40"/>
  <c r="L74" i="40"/>
  <c r="N74" i="40" s="1"/>
  <c r="B74" i="40"/>
  <c r="X73" i="40"/>
  <c r="Z73" i="40" s="1"/>
  <c r="V73" i="40"/>
  <c r="T73" i="40"/>
  <c r="P73" i="40"/>
  <c r="H73" i="40"/>
  <c r="D73" i="40"/>
  <c r="B73" i="40"/>
  <c r="Z72" i="40"/>
  <c r="X72" i="40"/>
  <c r="N72" i="40"/>
  <c r="L72" i="40"/>
  <c r="B72" i="40"/>
  <c r="X71" i="40"/>
  <c r="Z71" i="40" s="1"/>
  <c r="N71" i="40"/>
  <c r="L71" i="40"/>
  <c r="B71" i="40"/>
  <c r="T70" i="40"/>
  <c r="P70" i="40"/>
  <c r="H70" i="40"/>
  <c r="N70" i="40" s="1"/>
  <c r="D70" i="40"/>
  <c r="L70" i="40" s="1"/>
  <c r="B70" i="40"/>
  <c r="Z69" i="40"/>
  <c r="X69" i="40"/>
  <c r="N69" i="40"/>
  <c r="L69" i="40"/>
  <c r="J69" i="40"/>
  <c r="B69" i="40"/>
  <c r="X68" i="40"/>
  <c r="Z68" i="40" s="1"/>
  <c r="N68" i="40"/>
  <c r="L68" i="40"/>
  <c r="B68" i="40"/>
  <c r="T67" i="40"/>
  <c r="P67" i="40"/>
  <c r="H67" i="40"/>
  <c r="N67" i="40" s="1"/>
  <c r="D67" i="40"/>
  <c r="L67" i="40" s="1"/>
  <c r="B67" i="40"/>
  <c r="X66" i="40"/>
  <c r="Z66" i="40" s="1"/>
  <c r="N66" i="40"/>
  <c r="L66" i="40"/>
  <c r="J66" i="40"/>
  <c r="B66" i="40"/>
  <c r="T65" i="40"/>
  <c r="P65" i="40"/>
  <c r="X65" i="40" s="1"/>
  <c r="H65" i="40"/>
  <c r="D65" i="40"/>
  <c r="L65" i="40" s="1"/>
  <c r="N65" i="40" s="1"/>
  <c r="B65" i="40"/>
  <c r="Z64" i="40"/>
  <c r="X64" i="40"/>
  <c r="N64" i="40"/>
  <c r="L64" i="40"/>
  <c r="B64" i="40"/>
  <c r="T63" i="40"/>
  <c r="P63" i="40"/>
  <c r="X63" i="40" s="1"/>
  <c r="Z63" i="40" s="1"/>
  <c r="N63" i="40"/>
  <c r="L63" i="40"/>
  <c r="J63" i="40"/>
  <c r="H63" i="40"/>
  <c r="D63" i="40"/>
  <c r="B63" i="40"/>
  <c r="Z62" i="40"/>
  <c r="X62" i="40"/>
  <c r="N62" i="40"/>
  <c r="L62" i="40"/>
  <c r="B62" i="40"/>
  <c r="X61" i="40"/>
  <c r="Z61" i="40" s="1"/>
  <c r="V61" i="40"/>
  <c r="T61" i="40"/>
  <c r="P61" i="40"/>
  <c r="H61" i="40"/>
  <c r="D61" i="40"/>
  <c r="B61" i="40"/>
  <c r="Z60" i="40"/>
  <c r="X60" i="40"/>
  <c r="L60" i="40"/>
  <c r="N60" i="40" s="1"/>
  <c r="B60" i="40"/>
  <c r="T59" i="40"/>
  <c r="P59" i="40"/>
  <c r="H59" i="40"/>
  <c r="D59" i="40"/>
  <c r="L59" i="40" s="1"/>
  <c r="B59" i="40"/>
  <c r="Z58" i="40"/>
  <c r="X58" i="40"/>
  <c r="N58" i="40"/>
  <c r="L58" i="40"/>
  <c r="J58" i="40"/>
  <c r="B58" i="40"/>
  <c r="X57" i="40"/>
  <c r="Z57" i="40" s="1"/>
  <c r="N57" i="40"/>
  <c r="L57" i="40"/>
  <c r="J57" i="40"/>
  <c r="B57" i="40"/>
  <c r="T56" i="40"/>
  <c r="P56" i="40"/>
  <c r="X56" i="40" s="1"/>
  <c r="N56" i="40"/>
  <c r="H56" i="40"/>
  <c r="D56" i="40"/>
  <c r="L56" i="40" s="1"/>
  <c r="B56" i="40"/>
  <c r="Z55" i="40"/>
  <c r="X55" i="40"/>
  <c r="L55" i="40"/>
  <c r="N55" i="40" s="1"/>
  <c r="F55" i="40"/>
  <c r="B55" i="40"/>
  <c r="T54" i="40"/>
  <c r="P54" i="40"/>
  <c r="X54" i="40" s="1"/>
  <c r="Z54" i="40" s="1"/>
  <c r="L54" i="40"/>
  <c r="N54" i="40" s="1"/>
  <c r="H54" i="40"/>
  <c r="D54" i="40"/>
  <c r="B54" i="40"/>
  <c r="X53" i="40"/>
  <c r="Z53" i="40" s="1"/>
  <c r="N53" i="40"/>
  <c r="L53" i="40"/>
  <c r="B53" i="40"/>
  <c r="Z52" i="40"/>
  <c r="X52" i="40"/>
  <c r="T52" i="40"/>
  <c r="P52" i="40"/>
  <c r="H52" i="40"/>
  <c r="D52" i="40"/>
  <c r="B52" i="40"/>
  <c r="X51" i="40"/>
  <c r="Z51" i="40" s="1"/>
  <c r="N51" i="40"/>
  <c r="L51" i="40"/>
  <c r="B51" i="40"/>
  <c r="T50" i="40"/>
  <c r="P50" i="40"/>
  <c r="H50" i="40"/>
  <c r="N50" i="40" s="1"/>
  <c r="D50" i="40"/>
  <c r="L50" i="40" s="1"/>
  <c r="B50" i="40"/>
  <c r="Z49" i="40"/>
  <c r="X49" i="40"/>
  <c r="L49" i="40"/>
  <c r="N49" i="40" s="1"/>
  <c r="J49" i="40"/>
  <c r="B49" i="40"/>
  <c r="T48" i="40"/>
  <c r="P48" i="40"/>
  <c r="X48" i="40" s="1"/>
  <c r="H48" i="40"/>
  <c r="D48" i="40"/>
  <c r="L48" i="40" s="1"/>
  <c r="B48" i="40"/>
  <c r="Z47" i="40"/>
  <c r="X47" i="40"/>
  <c r="N47" i="40"/>
  <c r="L47" i="40"/>
  <c r="B47" i="40"/>
  <c r="Z46" i="40"/>
  <c r="X46" i="40"/>
  <c r="N46" i="40"/>
  <c r="L46" i="40"/>
  <c r="J46" i="40"/>
  <c r="F46" i="40"/>
  <c r="B46" i="40"/>
  <c r="Z45" i="40"/>
  <c r="X45" i="40"/>
  <c r="N45" i="40"/>
  <c r="L45" i="40"/>
  <c r="J45" i="40"/>
  <c r="B45" i="40"/>
  <c r="X44" i="40"/>
  <c r="Z44" i="40" s="1"/>
  <c r="N44" i="40"/>
  <c r="L44" i="40"/>
  <c r="B44" i="40"/>
  <c r="Z43" i="40"/>
  <c r="X43" i="40"/>
  <c r="N43" i="40"/>
  <c r="L43" i="40"/>
  <c r="B43" i="40"/>
  <c r="Z42" i="40"/>
  <c r="X42" i="40"/>
  <c r="N42" i="40"/>
  <c r="L42" i="40"/>
  <c r="B42" i="40"/>
  <c r="X41" i="40"/>
  <c r="Z41" i="40" s="1"/>
  <c r="N41" i="40"/>
  <c r="L41" i="40"/>
  <c r="B41" i="40"/>
  <c r="Z40" i="40"/>
  <c r="X40" i="40"/>
  <c r="N40" i="40"/>
  <c r="L40" i="40"/>
  <c r="B40" i="40"/>
  <c r="Z39" i="40"/>
  <c r="X39" i="40"/>
  <c r="L39" i="40"/>
  <c r="N39" i="40" s="1"/>
  <c r="F39" i="40"/>
  <c r="B39" i="40"/>
  <c r="Z38" i="40"/>
  <c r="X38" i="40"/>
  <c r="N38" i="40"/>
  <c r="L38" i="40"/>
  <c r="J38" i="40"/>
  <c r="F38" i="40"/>
  <c r="B38" i="40"/>
  <c r="T37" i="40"/>
  <c r="P37" i="40"/>
  <c r="X37" i="40" s="1"/>
  <c r="N37" i="40"/>
  <c r="L37" i="40"/>
  <c r="H37" i="40"/>
  <c r="D37" i="40"/>
  <c r="B37" i="40"/>
  <c r="Z36" i="40"/>
  <c r="X36" i="40"/>
  <c r="N36" i="40"/>
  <c r="L36" i="40"/>
  <c r="B36" i="40"/>
  <c r="Z35" i="40"/>
  <c r="X35" i="40"/>
  <c r="L35" i="40"/>
  <c r="N35" i="40" s="1"/>
  <c r="F35" i="40"/>
  <c r="B35" i="40"/>
  <c r="Z34" i="40"/>
  <c r="X34" i="40"/>
  <c r="L34" i="40"/>
  <c r="N34" i="40" s="1"/>
  <c r="J34" i="40"/>
  <c r="B34" i="40"/>
  <c r="Z33" i="40"/>
  <c r="X33" i="40"/>
  <c r="N33" i="40"/>
  <c r="L33" i="40"/>
  <c r="J33" i="40"/>
  <c r="B33" i="40"/>
  <c r="X32" i="40"/>
  <c r="Z32" i="40" s="1"/>
  <c r="N32" i="40"/>
  <c r="L32" i="40"/>
  <c r="B32" i="40"/>
  <c r="X31" i="40"/>
  <c r="Z31" i="40" s="1"/>
  <c r="N31" i="40"/>
  <c r="L31" i="40"/>
  <c r="B31" i="40"/>
  <c r="X30" i="40"/>
  <c r="Z30" i="40" s="1"/>
  <c r="V30" i="40"/>
  <c r="N30" i="40"/>
  <c r="L30" i="40"/>
  <c r="B30" i="40"/>
  <c r="X29" i="40"/>
  <c r="Z29" i="40" s="1"/>
  <c r="L29" i="40"/>
  <c r="N29" i="40" s="1"/>
  <c r="B29" i="40"/>
  <c r="X28" i="40"/>
  <c r="Z28" i="40" s="1"/>
  <c r="N28" i="40"/>
  <c r="L28" i="40"/>
  <c r="B28" i="40"/>
  <c r="T27" i="40"/>
  <c r="P27" i="40"/>
  <c r="X27" i="40" s="1"/>
  <c r="Z27" i="40" s="1"/>
  <c r="L27" i="40"/>
  <c r="N27" i="40" s="1"/>
  <c r="J27" i="40"/>
  <c r="H27" i="40"/>
  <c r="D27" i="40"/>
  <c r="B27" i="40"/>
  <c r="T26" i="40" a="1"/>
  <c r="T26" i="40" s="1"/>
  <c r="P26" i="40" a="1"/>
  <c r="P26" i="40" s="1"/>
  <c r="H26" i="40" a="1"/>
  <c r="H26" i="40" s="1"/>
  <c r="D26" i="40" a="1"/>
  <c r="D26" i="40" s="1"/>
  <c r="D24" i="40"/>
  <c r="Z22" i="40"/>
  <c r="X22" i="40"/>
  <c r="N22" i="40"/>
  <c r="L22" i="40"/>
  <c r="J22" i="40"/>
  <c r="F22" i="40"/>
  <c r="B22" i="40"/>
  <c r="Z21" i="40"/>
  <c r="X21" i="40"/>
  <c r="N21" i="40"/>
  <c r="L21" i="40"/>
  <c r="J21" i="40"/>
  <c r="B21" i="40"/>
  <c r="Z20" i="40"/>
  <c r="X20" i="40"/>
  <c r="N20" i="40"/>
  <c r="L20" i="40"/>
  <c r="B20" i="40"/>
  <c r="X19" i="40"/>
  <c r="Z19" i="40" s="1"/>
  <c r="N19" i="40"/>
  <c r="L19" i="40"/>
  <c r="B19" i="40"/>
  <c r="T18" i="40"/>
  <c r="P18" i="40"/>
  <c r="H18" i="40"/>
  <c r="D18" i="40"/>
  <c r="L18" i="40" s="1"/>
  <c r="N18" i="40" s="1"/>
  <c r="Z16" i="40"/>
  <c r="P16" i="40"/>
  <c r="X16" i="40" s="1"/>
  <c r="N16" i="40"/>
  <c r="D16" i="40"/>
  <c r="L16" i="40" s="1"/>
  <c r="B16" i="40"/>
  <c r="Z15" i="40"/>
  <c r="P15" i="40"/>
  <c r="X15" i="40" s="1"/>
  <c r="N15" i="40"/>
  <c r="L15" i="40"/>
  <c r="D15" i="40"/>
  <c r="B15" i="40"/>
  <c r="Z14" i="40"/>
  <c r="X14" i="40"/>
  <c r="P14" i="40"/>
  <c r="N14" i="40"/>
  <c r="L14" i="40"/>
  <c r="D14" i="40"/>
  <c r="B14" i="40"/>
  <c r="P13" i="40"/>
  <c r="D13" i="40"/>
  <c r="D12" i="40" s="1"/>
  <c r="B13" i="40"/>
  <c r="T12" i="40"/>
  <c r="V62" i="40" s="1"/>
  <c r="H12" i="40"/>
  <c r="J78" i="40" s="1"/>
  <c r="D6" i="40"/>
  <c r="D4" i="40"/>
  <c r="X91" i="39"/>
  <c r="Z91" i="39" s="1"/>
  <c r="N91" i="39"/>
  <c r="L91" i="39"/>
  <c r="Z87" i="39"/>
  <c r="T87" i="39"/>
  <c r="R87" i="39"/>
  <c r="P87" i="39"/>
  <c r="X87" i="39" s="1"/>
  <c r="H87" i="39"/>
  <c r="N87" i="39" s="1"/>
  <c r="D87" i="39"/>
  <c r="L87" i="39" s="1"/>
  <c r="Z85" i="39"/>
  <c r="X85" i="39"/>
  <c r="N85" i="39"/>
  <c r="L85" i="39"/>
  <c r="B85" i="39"/>
  <c r="Z84" i="39"/>
  <c r="T84" i="39"/>
  <c r="P84" i="39"/>
  <c r="X84" i="39" s="1"/>
  <c r="N84" i="39"/>
  <c r="L84" i="39"/>
  <c r="H84" i="39"/>
  <c r="D84" i="39"/>
  <c r="B84" i="39"/>
  <c r="Z83" i="39"/>
  <c r="X83" i="39"/>
  <c r="N83" i="39"/>
  <c r="L83" i="39"/>
  <c r="B83" i="39"/>
  <c r="Z82" i="39"/>
  <c r="X82" i="39"/>
  <c r="T82" i="39"/>
  <c r="P82" i="39"/>
  <c r="H82" i="39"/>
  <c r="N82" i="39" s="1"/>
  <c r="D82" i="39"/>
  <c r="L82" i="39" s="1"/>
  <c r="B82" i="39"/>
  <c r="Z81" i="39"/>
  <c r="X81" i="39"/>
  <c r="N81" i="39"/>
  <c r="L81" i="39"/>
  <c r="B81" i="39"/>
  <c r="Z80" i="39"/>
  <c r="X80" i="39"/>
  <c r="N80" i="39"/>
  <c r="L80" i="39"/>
  <c r="B80" i="39"/>
  <c r="T79" i="39"/>
  <c r="P79" i="39"/>
  <c r="H79" i="39"/>
  <c r="D79" i="39"/>
  <c r="L79" i="39" s="1"/>
  <c r="N79" i="39" s="1"/>
  <c r="B79" i="39"/>
  <c r="X78" i="39"/>
  <c r="Z78" i="39" s="1"/>
  <c r="L78" i="39"/>
  <c r="N78" i="39" s="1"/>
  <c r="B78" i="39"/>
  <c r="Z77" i="39"/>
  <c r="X77" i="39"/>
  <c r="N77" i="39"/>
  <c r="L77" i="39"/>
  <c r="B77" i="39"/>
  <c r="Z76" i="39"/>
  <c r="X76" i="39"/>
  <c r="R76" i="39"/>
  <c r="N76" i="39"/>
  <c r="L76" i="39"/>
  <c r="B76" i="39"/>
  <c r="X75" i="39"/>
  <c r="Z75" i="39" s="1"/>
  <c r="N75" i="39"/>
  <c r="L75" i="39"/>
  <c r="B75" i="39"/>
  <c r="Z74" i="39"/>
  <c r="X74" i="39"/>
  <c r="N74" i="39"/>
  <c r="L74" i="39"/>
  <c r="B74" i="39"/>
  <c r="Z73" i="39"/>
  <c r="X73" i="39"/>
  <c r="N73" i="39"/>
  <c r="L73" i="39"/>
  <c r="B73" i="39"/>
  <c r="Z72" i="39"/>
  <c r="T72" i="39"/>
  <c r="P72" i="39"/>
  <c r="X72" i="39" s="1"/>
  <c r="L72" i="39"/>
  <c r="N72" i="39" s="1"/>
  <c r="H72" i="39"/>
  <c r="D72" i="39"/>
  <c r="B72" i="39"/>
  <c r="X71" i="39"/>
  <c r="Z71" i="39" s="1"/>
  <c r="L71" i="39"/>
  <c r="N71" i="39" s="1"/>
  <c r="B71" i="39"/>
  <c r="Z70" i="39"/>
  <c r="X70" i="39"/>
  <c r="N70" i="39"/>
  <c r="L70" i="39"/>
  <c r="B70" i="39"/>
  <c r="Z69" i="39"/>
  <c r="X69" i="39"/>
  <c r="N69" i="39"/>
  <c r="L69" i="39"/>
  <c r="B69" i="39"/>
  <c r="Z68" i="39"/>
  <c r="T68" i="39"/>
  <c r="P68" i="39"/>
  <c r="X68" i="39" s="1"/>
  <c r="L68" i="39"/>
  <c r="N68" i="39" s="1"/>
  <c r="J68" i="39"/>
  <c r="H68" i="39"/>
  <c r="D68" i="39"/>
  <c r="B68" i="39"/>
  <c r="X67" i="39"/>
  <c r="Z67" i="39" s="1"/>
  <c r="N67" i="39"/>
  <c r="L67" i="39"/>
  <c r="B67" i="39"/>
  <c r="Z66" i="39"/>
  <c r="X66" i="39"/>
  <c r="N66" i="39"/>
  <c r="L66" i="39"/>
  <c r="B66" i="39"/>
  <c r="Z65" i="39"/>
  <c r="X65" i="39"/>
  <c r="N65" i="39"/>
  <c r="L65" i="39"/>
  <c r="B65" i="39"/>
  <c r="T64" i="39"/>
  <c r="P64" i="39"/>
  <c r="X64" i="39" s="1"/>
  <c r="Z64" i="39" s="1"/>
  <c r="L64" i="39"/>
  <c r="N64" i="39" s="1"/>
  <c r="H64" i="39"/>
  <c r="D64" i="39"/>
  <c r="B64" i="39"/>
  <c r="X63" i="39"/>
  <c r="Z63" i="39" s="1"/>
  <c r="V63" i="39"/>
  <c r="N63" i="39"/>
  <c r="L63" i="39"/>
  <c r="B63" i="39"/>
  <c r="Z62" i="39"/>
  <c r="X62" i="39"/>
  <c r="V62" i="39"/>
  <c r="T62" i="39"/>
  <c r="P62" i="39"/>
  <c r="J62" i="39"/>
  <c r="H62" i="39"/>
  <c r="D62" i="39"/>
  <c r="B62" i="39"/>
  <c r="Z61" i="39"/>
  <c r="X61" i="39"/>
  <c r="N61" i="39"/>
  <c r="L61" i="39"/>
  <c r="B61" i="39"/>
  <c r="T60" i="39"/>
  <c r="R60" i="39"/>
  <c r="P60" i="39"/>
  <c r="H60" i="39"/>
  <c r="F60" i="39"/>
  <c r="D60" i="39"/>
  <c r="L60" i="39" s="1"/>
  <c r="B60" i="39"/>
  <c r="Z59" i="39"/>
  <c r="X59" i="39"/>
  <c r="N59" i="39"/>
  <c r="L59" i="39"/>
  <c r="B59" i="39"/>
  <c r="T58" i="39"/>
  <c r="P58" i="39"/>
  <c r="X58" i="39" s="1"/>
  <c r="N58" i="39"/>
  <c r="H58" i="39"/>
  <c r="D58" i="39"/>
  <c r="L58" i="39" s="1"/>
  <c r="B58" i="39"/>
  <c r="Z57" i="39"/>
  <c r="X57" i="39"/>
  <c r="N57" i="39"/>
  <c r="L57" i="39"/>
  <c r="B57" i="39"/>
  <c r="T56" i="39"/>
  <c r="P56" i="39"/>
  <c r="J56" i="39"/>
  <c r="H56" i="39"/>
  <c r="D56" i="39"/>
  <c r="L56" i="39" s="1"/>
  <c r="N56" i="39" s="1"/>
  <c r="B56" i="39"/>
  <c r="X55" i="39"/>
  <c r="Z55" i="39" s="1"/>
  <c r="N55" i="39"/>
  <c r="L55" i="39"/>
  <c r="B55" i="39"/>
  <c r="Z54" i="39"/>
  <c r="X54" i="39"/>
  <c r="T54" i="39"/>
  <c r="P54" i="39"/>
  <c r="H54" i="39"/>
  <c r="D54" i="39"/>
  <c r="B54" i="39"/>
  <c r="Z53" i="39"/>
  <c r="X53" i="39"/>
  <c r="N53" i="39"/>
  <c r="L53" i="39"/>
  <c r="B53" i="39"/>
  <c r="Z52" i="39"/>
  <c r="X52" i="39"/>
  <c r="N52" i="39"/>
  <c r="L52" i="39"/>
  <c r="B52" i="39"/>
  <c r="X51" i="39"/>
  <c r="T51" i="39"/>
  <c r="P51" i="39"/>
  <c r="H51" i="39"/>
  <c r="D51" i="39"/>
  <c r="B51" i="39"/>
  <c r="X50" i="39"/>
  <c r="Z50" i="39" s="1"/>
  <c r="N50" i="39"/>
  <c r="L50" i="39"/>
  <c r="B50" i="39"/>
  <c r="Z49" i="39"/>
  <c r="T49" i="39"/>
  <c r="R49" i="39"/>
  <c r="P49" i="39"/>
  <c r="X49" i="39" s="1"/>
  <c r="H49" i="39"/>
  <c r="N49" i="39" s="1"/>
  <c r="D49" i="39"/>
  <c r="L49" i="39" s="1"/>
  <c r="B49" i="39"/>
  <c r="Z48" i="39"/>
  <c r="X48" i="39"/>
  <c r="R48" i="39"/>
  <c r="N48" i="39"/>
  <c r="L48" i="39"/>
  <c r="B48" i="39"/>
  <c r="V47" i="39"/>
  <c r="T47" i="39"/>
  <c r="Z47" i="39" s="1"/>
  <c r="P47" i="39"/>
  <c r="X47" i="39" s="1"/>
  <c r="N47" i="39"/>
  <c r="L47" i="39"/>
  <c r="H47" i="39"/>
  <c r="D47" i="39"/>
  <c r="B47" i="39"/>
  <c r="Z46" i="39"/>
  <c r="X46" i="39"/>
  <c r="N46" i="39"/>
  <c r="L46" i="39"/>
  <c r="B46" i="39"/>
  <c r="Z45" i="39"/>
  <c r="X45" i="39"/>
  <c r="T45" i="39"/>
  <c r="R45" i="39"/>
  <c r="P45" i="39"/>
  <c r="L45" i="39"/>
  <c r="H45" i="39"/>
  <c r="N45" i="39" s="1"/>
  <c r="D45" i="39"/>
  <c r="B45" i="39"/>
  <c r="Z44" i="39"/>
  <c r="X44" i="39"/>
  <c r="N44" i="39"/>
  <c r="L44" i="39"/>
  <c r="B44" i="39"/>
  <c r="Z43" i="39"/>
  <c r="X43" i="39"/>
  <c r="N43" i="39"/>
  <c r="L43" i="39"/>
  <c r="B43" i="39"/>
  <c r="Z42" i="39"/>
  <c r="X42" i="39"/>
  <c r="L42" i="39"/>
  <c r="N42" i="39" s="1"/>
  <c r="B42" i="39"/>
  <c r="Z41" i="39"/>
  <c r="X41" i="39"/>
  <c r="N41" i="39"/>
  <c r="L41" i="39"/>
  <c r="B41" i="39"/>
  <c r="Z40" i="39"/>
  <c r="X40" i="39"/>
  <c r="V40" i="39"/>
  <c r="N40" i="39"/>
  <c r="L40" i="39"/>
  <c r="B40" i="39"/>
  <c r="Z39" i="39"/>
  <c r="X39" i="39"/>
  <c r="N39" i="39"/>
  <c r="L39" i="39"/>
  <c r="B39" i="39"/>
  <c r="Z38" i="39"/>
  <c r="X38" i="39"/>
  <c r="L38" i="39"/>
  <c r="N38" i="39" s="1"/>
  <c r="B38" i="39"/>
  <c r="Z37" i="39"/>
  <c r="X37" i="39"/>
  <c r="N37" i="39"/>
  <c r="L37" i="39"/>
  <c r="B37" i="39"/>
  <c r="Z36" i="39"/>
  <c r="X36" i="39"/>
  <c r="R36" i="39"/>
  <c r="N36" i="39"/>
  <c r="L36" i="39"/>
  <c r="B36" i="39"/>
  <c r="Z35" i="39"/>
  <c r="X35" i="39"/>
  <c r="V35" i="39"/>
  <c r="R35" i="39"/>
  <c r="N35" i="39"/>
  <c r="L35" i="39"/>
  <c r="B35" i="39"/>
  <c r="X34" i="39"/>
  <c r="V34" i="39"/>
  <c r="T34" i="39"/>
  <c r="R34" i="39"/>
  <c r="P34" i="39"/>
  <c r="H34" i="39"/>
  <c r="D34" i="39"/>
  <c r="B34" i="39"/>
  <c r="Z33" i="39"/>
  <c r="X33" i="39"/>
  <c r="N33" i="39"/>
  <c r="L33" i="39"/>
  <c r="B33" i="39"/>
  <c r="Z32" i="39"/>
  <c r="X32" i="39"/>
  <c r="R32" i="39"/>
  <c r="N32" i="39"/>
  <c r="L32" i="39"/>
  <c r="B32" i="39"/>
  <c r="Z31" i="39"/>
  <c r="X31" i="39"/>
  <c r="V31" i="39"/>
  <c r="R31" i="39"/>
  <c r="L31" i="39"/>
  <c r="N31" i="39" s="1"/>
  <c r="B31" i="39"/>
  <c r="Z30" i="39"/>
  <c r="X30" i="39"/>
  <c r="V30" i="39"/>
  <c r="N30" i="39"/>
  <c r="L30" i="39"/>
  <c r="B30" i="39"/>
  <c r="X29" i="39"/>
  <c r="Z29" i="39" s="1"/>
  <c r="R29" i="39"/>
  <c r="N29" i="39"/>
  <c r="L29" i="39"/>
  <c r="B29" i="39"/>
  <c r="Z28" i="39"/>
  <c r="X28" i="39"/>
  <c r="V28" i="39"/>
  <c r="N28" i="39"/>
  <c r="L28" i="39"/>
  <c r="B28" i="39"/>
  <c r="X27" i="39"/>
  <c r="Z27" i="39" s="1"/>
  <c r="N27" i="39"/>
  <c r="L27" i="39"/>
  <c r="F27" i="39"/>
  <c r="B27" i="39"/>
  <c r="Z26" i="39"/>
  <c r="X26" i="39"/>
  <c r="L26" i="39"/>
  <c r="N26" i="39" s="1"/>
  <c r="J26" i="39"/>
  <c r="B26" i="39"/>
  <c r="Z25" i="39"/>
  <c r="X25" i="39"/>
  <c r="L25" i="39"/>
  <c r="N25" i="39" s="1"/>
  <c r="B25" i="39"/>
  <c r="T24" i="39"/>
  <c r="R24" i="39"/>
  <c r="P24" i="39"/>
  <c r="N24" i="39"/>
  <c r="H24" i="39"/>
  <c r="D24" i="39"/>
  <c r="L24" i="39" s="1"/>
  <c r="B24" i="39"/>
  <c r="T23" i="39" a="1"/>
  <c r="T23" i="39" s="1"/>
  <c r="P23" i="39" a="1"/>
  <c r="P23" i="39" s="1"/>
  <c r="H23" i="39" a="1"/>
  <c r="H23" i="39" s="1"/>
  <c r="D23" i="39" a="1"/>
  <c r="D23" i="39" s="1"/>
  <c r="L23" i="39" s="1"/>
  <c r="Z19" i="39"/>
  <c r="X19" i="39"/>
  <c r="V19" i="39"/>
  <c r="R19" i="39"/>
  <c r="N19" i="39"/>
  <c r="L19" i="39"/>
  <c r="B19" i="39"/>
  <c r="Z18" i="39"/>
  <c r="X18" i="39"/>
  <c r="V18" i="39"/>
  <c r="N18" i="39"/>
  <c r="L18" i="39"/>
  <c r="B18" i="39"/>
  <c r="X17" i="39"/>
  <c r="Z17" i="39" s="1"/>
  <c r="R17" i="39"/>
  <c r="L17" i="39"/>
  <c r="N17" i="39" s="1"/>
  <c r="B17" i="39"/>
  <c r="V16" i="39"/>
  <c r="T16" i="39"/>
  <c r="R16" i="39"/>
  <c r="P16" i="39"/>
  <c r="X16" i="39" s="1"/>
  <c r="Z16" i="39" s="1"/>
  <c r="L16" i="39"/>
  <c r="N16" i="39" s="1"/>
  <c r="J16" i="39"/>
  <c r="H16" i="39"/>
  <c r="D16" i="39"/>
  <c r="Z14" i="39"/>
  <c r="X14" i="39"/>
  <c r="P14" i="39"/>
  <c r="L14" i="39"/>
  <c r="N14" i="39" s="1"/>
  <c r="D14" i="39"/>
  <c r="B14" i="39"/>
  <c r="X13" i="39"/>
  <c r="Z13" i="39" s="1"/>
  <c r="P13" i="39"/>
  <c r="L13" i="39"/>
  <c r="N13" i="39" s="1"/>
  <c r="D13" i="39"/>
  <c r="D12" i="39" s="1"/>
  <c r="B13" i="39"/>
  <c r="T12" i="39"/>
  <c r="V79" i="39" s="1"/>
  <c r="P12" i="39"/>
  <c r="R71" i="39" s="1"/>
  <c r="H12" i="39"/>
  <c r="J38" i="39" s="1"/>
  <c r="D6" i="39"/>
  <c r="D4" i="39"/>
  <c r="Z27" i="38"/>
  <c r="X27" i="38"/>
  <c r="N27" i="38"/>
  <c r="L27" i="38"/>
  <c r="J27" i="38"/>
  <c r="Z23" i="38"/>
  <c r="V23" i="38"/>
  <c r="T23" i="38"/>
  <c r="P23" i="38"/>
  <c r="X23" i="38" s="1"/>
  <c r="L23" i="38"/>
  <c r="J23" i="38"/>
  <c r="H23" i="38"/>
  <c r="N23" i="38" s="1"/>
  <c r="F23" i="38"/>
  <c r="D23" i="38"/>
  <c r="T21" i="38"/>
  <c r="P21" i="38"/>
  <c r="N21" i="38"/>
  <c r="J21" i="38"/>
  <c r="H21" i="38"/>
  <c r="D21" i="38"/>
  <c r="L21" i="38" s="1"/>
  <c r="Z17" i="38"/>
  <c r="X17" i="38"/>
  <c r="N17" i="38"/>
  <c r="L17" i="38"/>
  <c r="J17" i="38"/>
  <c r="F17" i="38"/>
  <c r="B17" i="38"/>
  <c r="T16" i="38"/>
  <c r="P16" i="38"/>
  <c r="H16" i="38"/>
  <c r="D16" i="38"/>
  <c r="Z14" i="38"/>
  <c r="X14" i="38"/>
  <c r="P14" i="38"/>
  <c r="N14" i="38"/>
  <c r="L14" i="38"/>
  <c r="D14" i="38"/>
  <c r="B14" i="38"/>
  <c r="P13" i="38"/>
  <c r="L13" i="38"/>
  <c r="N13" i="38" s="1"/>
  <c r="D13" i="38"/>
  <c r="B13" i="38"/>
  <c r="T12" i="38"/>
  <c r="L12" i="38"/>
  <c r="N12" i="38" s="1"/>
  <c r="H12" i="38"/>
  <c r="J16" i="38" s="1"/>
  <c r="D12" i="38"/>
  <c r="F27" i="38" s="1"/>
  <c r="D6" i="38"/>
  <c r="D4" i="38"/>
  <c r="X81" i="37"/>
  <c r="Z81" i="37" s="1"/>
  <c r="L81" i="37"/>
  <c r="N81" i="37" s="1"/>
  <c r="J81" i="37"/>
  <c r="T77" i="37"/>
  <c r="Z77" i="37" s="1"/>
  <c r="P77" i="37"/>
  <c r="X77" i="37" s="1"/>
  <c r="N77" i="37"/>
  <c r="H77" i="37"/>
  <c r="D77" i="37"/>
  <c r="L77" i="37" s="1"/>
  <c r="Z75" i="37"/>
  <c r="X75" i="37"/>
  <c r="N75" i="37"/>
  <c r="L75" i="37"/>
  <c r="J75" i="37"/>
  <c r="B75" i="37"/>
  <c r="Z74" i="37"/>
  <c r="T74" i="37"/>
  <c r="P74" i="37"/>
  <c r="X74" i="37" s="1"/>
  <c r="N74" i="37"/>
  <c r="J74" i="37"/>
  <c r="H74" i="37"/>
  <c r="D74" i="37"/>
  <c r="L74" i="37" s="1"/>
  <c r="B74" i="37"/>
  <c r="X73" i="37"/>
  <c r="Z73" i="37" s="1"/>
  <c r="N73" i="37"/>
  <c r="L73" i="37"/>
  <c r="B73" i="37"/>
  <c r="V72" i="37"/>
  <c r="T72" i="37"/>
  <c r="P72" i="37"/>
  <c r="X72" i="37" s="1"/>
  <c r="Z72" i="37" s="1"/>
  <c r="L72" i="37"/>
  <c r="J72" i="37"/>
  <c r="H72" i="37"/>
  <c r="N72" i="37" s="1"/>
  <c r="D72" i="37"/>
  <c r="B72" i="37"/>
  <c r="X71" i="37"/>
  <c r="Z71" i="37" s="1"/>
  <c r="L71" i="37"/>
  <c r="N71" i="37" s="1"/>
  <c r="B71" i="37"/>
  <c r="X70" i="37"/>
  <c r="T70" i="37"/>
  <c r="P70" i="37"/>
  <c r="H70" i="37"/>
  <c r="D70" i="37"/>
  <c r="L70" i="37" s="1"/>
  <c r="B70" i="37"/>
  <c r="X69" i="37"/>
  <c r="Z69" i="37" s="1"/>
  <c r="N69" i="37"/>
  <c r="L69" i="37"/>
  <c r="B69" i="37"/>
  <c r="Z68" i="37"/>
  <c r="X68" i="37"/>
  <c r="N68" i="37"/>
  <c r="L68" i="37"/>
  <c r="J68" i="37"/>
  <c r="B68" i="37"/>
  <c r="Z67" i="37"/>
  <c r="X67" i="37"/>
  <c r="V67" i="37"/>
  <c r="N67" i="37"/>
  <c r="L67" i="37"/>
  <c r="B67" i="37"/>
  <c r="Z66" i="37"/>
  <c r="X66" i="37"/>
  <c r="N66" i="37"/>
  <c r="L66" i="37"/>
  <c r="B66" i="37"/>
  <c r="T65" i="37"/>
  <c r="X65" i="37" s="1"/>
  <c r="Z65" i="37" s="1"/>
  <c r="P65" i="37"/>
  <c r="H65" i="37"/>
  <c r="D65" i="37"/>
  <c r="L65" i="37" s="1"/>
  <c r="B65" i="37"/>
  <c r="Z64" i="37"/>
  <c r="X64" i="37"/>
  <c r="N64" i="37"/>
  <c r="L64" i="37"/>
  <c r="J64" i="37"/>
  <c r="B64" i="37"/>
  <c r="Z63" i="37"/>
  <c r="X63" i="37"/>
  <c r="N63" i="37"/>
  <c r="L63" i="37"/>
  <c r="B63" i="37"/>
  <c r="X62" i="37"/>
  <c r="Z62" i="37" s="1"/>
  <c r="N62" i="37"/>
  <c r="L62" i="37"/>
  <c r="B62" i="37"/>
  <c r="T61" i="37"/>
  <c r="P61" i="37"/>
  <c r="H61" i="37"/>
  <c r="D61" i="37"/>
  <c r="B61" i="37"/>
  <c r="Z60" i="37"/>
  <c r="X60" i="37"/>
  <c r="N60" i="37"/>
  <c r="L60" i="37"/>
  <c r="J60" i="37"/>
  <c r="B60" i="37"/>
  <c r="Z59" i="37"/>
  <c r="X59" i="37"/>
  <c r="N59" i="37"/>
  <c r="L59" i="37"/>
  <c r="B59" i="37"/>
  <c r="X58" i="37"/>
  <c r="Z58" i="37" s="1"/>
  <c r="T58" i="37"/>
  <c r="P58" i="37"/>
  <c r="H58" i="37"/>
  <c r="D58" i="37"/>
  <c r="B58" i="37"/>
  <c r="X57" i="37"/>
  <c r="Z57" i="37" s="1"/>
  <c r="L57" i="37"/>
  <c r="N57" i="37" s="1"/>
  <c r="B57" i="37"/>
  <c r="Z56" i="37"/>
  <c r="X56" i="37"/>
  <c r="N56" i="37"/>
  <c r="L56" i="37"/>
  <c r="J56" i="37"/>
  <c r="B56" i="37"/>
  <c r="V55" i="37"/>
  <c r="T55" i="37"/>
  <c r="P55" i="37"/>
  <c r="X55" i="37" s="1"/>
  <c r="H55" i="37"/>
  <c r="D55" i="37"/>
  <c r="L55" i="37" s="1"/>
  <c r="N55" i="37" s="1"/>
  <c r="B55" i="37"/>
  <c r="Z54" i="37"/>
  <c r="X54" i="37"/>
  <c r="N54" i="37"/>
  <c r="L54" i="37"/>
  <c r="J54" i="37"/>
  <c r="B54" i="37"/>
  <c r="T53" i="37"/>
  <c r="P53" i="37"/>
  <c r="X53" i="37" s="1"/>
  <c r="L53" i="37"/>
  <c r="H53" i="37"/>
  <c r="N53" i="37" s="1"/>
  <c r="D53" i="37"/>
  <c r="B53" i="37"/>
  <c r="Z52" i="37"/>
  <c r="X52" i="37"/>
  <c r="N52" i="37"/>
  <c r="L52" i="37"/>
  <c r="B52" i="37"/>
  <c r="X51" i="37"/>
  <c r="T51" i="37"/>
  <c r="Z51" i="37" s="1"/>
  <c r="P51" i="37"/>
  <c r="H51" i="37"/>
  <c r="D51" i="37"/>
  <c r="B51" i="37"/>
  <c r="X50" i="37"/>
  <c r="Z50" i="37" s="1"/>
  <c r="N50" i="37"/>
  <c r="L50" i="37"/>
  <c r="B50" i="37"/>
  <c r="T49" i="37"/>
  <c r="X49" i="37" s="1"/>
  <c r="P49" i="37"/>
  <c r="J49" i="37"/>
  <c r="H49" i="37"/>
  <c r="D49" i="37"/>
  <c r="L49" i="37" s="1"/>
  <c r="B49" i="37"/>
  <c r="Z48" i="37"/>
  <c r="X48" i="37"/>
  <c r="N48" i="37"/>
  <c r="L48" i="37"/>
  <c r="J48" i="37"/>
  <c r="B48" i="37"/>
  <c r="V47" i="37"/>
  <c r="T47" i="37"/>
  <c r="Z47" i="37" s="1"/>
  <c r="P47" i="37"/>
  <c r="H47" i="37"/>
  <c r="N47" i="37" s="1"/>
  <c r="D47" i="37"/>
  <c r="L47" i="37" s="1"/>
  <c r="B47" i="37"/>
  <c r="Z46" i="37"/>
  <c r="X46" i="37"/>
  <c r="N46" i="37"/>
  <c r="L46" i="37"/>
  <c r="J46" i="37"/>
  <c r="B46" i="37"/>
  <c r="T45" i="37"/>
  <c r="Z45" i="37" s="1"/>
  <c r="P45" i="37"/>
  <c r="X45" i="37" s="1"/>
  <c r="L45" i="37"/>
  <c r="H45" i="37"/>
  <c r="N45" i="37" s="1"/>
  <c r="D45" i="37"/>
  <c r="B45" i="37"/>
  <c r="Z44" i="37"/>
  <c r="X44" i="37"/>
  <c r="N44" i="37"/>
  <c r="L44" i="37"/>
  <c r="B44" i="37"/>
  <c r="Z43" i="37"/>
  <c r="X43" i="37"/>
  <c r="N43" i="37"/>
  <c r="L43" i="37"/>
  <c r="J43" i="37"/>
  <c r="B43" i="37"/>
  <c r="Z42" i="37"/>
  <c r="X42" i="37"/>
  <c r="L42" i="37"/>
  <c r="N42" i="37" s="1"/>
  <c r="J42" i="37"/>
  <c r="B42" i="37"/>
  <c r="Z41" i="37"/>
  <c r="X41" i="37"/>
  <c r="N41" i="37"/>
  <c r="L41" i="37"/>
  <c r="B41" i="37"/>
  <c r="Z40" i="37"/>
  <c r="X40" i="37"/>
  <c r="N40" i="37"/>
  <c r="L40" i="37"/>
  <c r="J40" i="37"/>
  <c r="B40" i="37"/>
  <c r="Z39" i="37"/>
  <c r="X39" i="37"/>
  <c r="N39" i="37"/>
  <c r="L39" i="37"/>
  <c r="B39" i="37"/>
  <c r="X38" i="37"/>
  <c r="Z38" i="37" s="1"/>
  <c r="N38" i="37"/>
  <c r="L38" i="37"/>
  <c r="B38" i="37"/>
  <c r="Z37" i="37"/>
  <c r="X37" i="37"/>
  <c r="N37" i="37"/>
  <c r="L37" i="37"/>
  <c r="B37" i="37"/>
  <c r="Z36" i="37"/>
  <c r="X36" i="37"/>
  <c r="V36" i="37"/>
  <c r="N36" i="37"/>
  <c r="L36" i="37"/>
  <c r="B36" i="37"/>
  <c r="Z35" i="37"/>
  <c r="X35" i="37"/>
  <c r="N35" i="37"/>
  <c r="L35" i="37"/>
  <c r="J35" i="37"/>
  <c r="B35" i="37"/>
  <c r="Z34" i="37"/>
  <c r="T34" i="37"/>
  <c r="P34" i="37"/>
  <c r="X34" i="37" s="1"/>
  <c r="N34" i="37"/>
  <c r="J34" i="37"/>
  <c r="H34" i="37"/>
  <c r="D34" i="37"/>
  <c r="L34" i="37" s="1"/>
  <c r="B34" i="37"/>
  <c r="Z33" i="37"/>
  <c r="X33" i="37"/>
  <c r="N33" i="37"/>
  <c r="L33" i="37"/>
  <c r="B33" i="37"/>
  <c r="Z32" i="37"/>
  <c r="X32" i="37"/>
  <c r="N32" i="37"/>
  <c r="L32" i="37"/>
  <c r="B32" i="37"/>
  <c r="Z31" i="37"/>
  <c r="X31" i="37"/>
  <c r="N31" i="37"/>
  <c r="L31" i="37"/>
  <c r="J31" i="37"/>
  <c r="B31" i="37"/>
  <c r="Z30" i="37"/>
  <c r="X30" i="37"/>
  <c r="N30" i="37"/>
  <c r="L30" i="37"/>
  <c r="J30" i="37"/>
  <c r="B30" i="37"/>
  <c r="Z29" i="37"/>
  <c r="X29" i="37"/>
  <c r="N29" i="37"/>
  <c r="L29" i="37"/>
  <c r="B29" i="37"/>
  <c r="Z28" i="37"/>
  <c r="X28" i="37"/>
  <c r="N28" i="37"/>
  <c r="L28" i="37"/>
  <c r="J28" i="37"/>
  <c r="B28" i="37"/>
  <c r="X27" i="37"/>
  <c r="Z27" i="37" s="1"/>
  <c r="L27" i="37"/>
  <c r="N27" i="37" s="1"/>
  <c r="B27" i="37"/>
  <c r="Z26" i="37"/>
  <c r="X26" i="37"/>
  <c r="N26" i="37"/>
  <c r="L26" i="37"/>
  <c r="B26" i="37"/>
  <c r="X25" i="37"/>
  <c r="Z25" i="37" s="1"/>
  <c r="L25" i="37"/>
  <c r="N25" i="37" s="1"/>
  <c r="B25" i="37"/>
  <c r="Z24" i="37"/>
  <c r="X24" i="37"/>
  <c r="V24" i="37"/>
  <c r="N24" i="37"/>
  <c r="L24" i="37"/>
  <c r="B24" i="37"/>
  <c r="X23" i="37"/>
  <c r="T23" i="37"/>
  <c r="Z23" i="37" s="1"/>
  <c r="P23" i="37"/>
  <c r="H23" i="37"/>
  <c r="D23" i="37"/>
  <c r="B23" i="37"/>
  <c r="T22" i="37" a="1"/>
  <c r="T22" i="37" s="1"/>
  <c r="V22" i="37" s="1"/>
  <c r="P22" i="37" a="1"/>
  <c r="P22" i="37" s="1"/>
  <c r="H22" i="37" a="1"/>
  <c r="H22" i="37"/>
  <c r="J22" i="37" s="1"/>
  <c r="D22" i="37" a="1"/>
  <c r="D22" i="37" s="1"/>
  <c r="L22" i="37" s="1"/>
  <c r="H20" i="37"/>
  <c r="Z18" i="37"/>
  <c r="X18" i="37"/>
  <c r="N18" i="37"/>
  <c r="L18" i="37"/>
  <c r="J18" i="37"/>
  <c r="B18" i="37"/>
  <c r="X17" i="37"/>
  <c r="Z17" i="37" s="1"/>
  <c r="N17" i="37"/>
  <c r="L17" i="37"/>
  <c r="B17" i="37"/>
  <c r="T16" i="37"/>
  <c r="P16" i="37"/>
  <c r="H16" i="37"/>
  <c r="D16" i="37"/>
  <c r="L16" i="37" s="1"/>
  <c r="N16" i="37" s="1"/>
  <c r="P14" i="37"/>
  <c r="L14" i="37"/>
  <c r="N14" i="37" s="1"/>
  <c r="D14" i="37"/>
  <c r="B14" i="37"/>
  <c r="X13" i="37"/>
  <c r="Z13" i="37" s="1"/>
  <c r="P13" i="37"/>
  <c r="D13" i="37"/>
  <c r="L13" i="37" s="1"/>
  <c r="N13" i="37" s="1"/>
  <c r="B13" i="37"/>
  <c r="T12" i="37"/>
  <c r="V66" i="37" s="1"/>
  <c r="H12" i="37"/>
  <c r="J71" i="37" s="1"/>
  <c r="D6" i="37"/>
  <c r="D4" i="37"/>
  <c r="B39" i="36"/>
  <c r="B38" i="36"/>
  <c r="T34" i="36"/>
  <c r="Z34" i="36" s="1"/>
  <c r="P34" i="36"/>
  <c r="H34" i="36"/>
  <c r="N34" i="36" s="1"/>
  <c r="D34" i="36"/>
  <c r="T33" i="36"/>
  <c r="Z33" i="36" s="1"/>
  <c r="P33" i="36"/>
  <c r="H33" i="36"/>
  <c r="N33" i="36" s="1"/>
  <c r="D33" i="36"/>
  <c r="T29" i="36"/>
  <c r="Z29" i="36" s="1"/>
  <c r="P29" i="36"/>
  <c r="H29" i="36"/>
  <c r="N29" i="36" s="1"/>
  <c r="D29" i="36"/>
  <c r="T25" i="36"/>
  <c r="Z25" i="36" s="1"/>
  <c r="P25" i="36"/>
  <c r="H25" i="36"/>
  <c r="N25" i="36" s="1"/>
  <c r="D25" i="36"/>
  <c r="B25" i="36"/>
  <c r="T24" i="36"/>
  <c r="Z24" i="36" s="1"/>
  <c r="P24" i="36"/>
  <c r="H24" i="36"/>
  <c r="N24" i="36" s="1"/>
  <c r="D24" i="36"/>
  <c r="T22" i="36"/>
  <c r="Z22" i="36" s="1"/>
  <c r="P22" i="36"/>
  <c r="H22" i="36"/>
  <c r="D22" i="36"/>
  <c r="B22" i="36"/>
  <c r="T21" i="36"/>
  <c r="Z21" i="36" s="1"/>
  <c r="P21" i="36"/>
  <c r="H21" i="36"/>
  <c r="N21" i="36" s="1"/>
  <c r="D21" i="36"/>
  <c r="B21" i="36"/>
  <c r="T20" i="36"/>
  <c r="Z20" i="36" s="1"/>
  <c r="P20" i="36"/>
  <c r="H20" i="36"/>
  <c r="N20" i="36" s="1"/>
  <c r="D20" i="36"/>
  <c r="T16" i="36"/>
  <c r="Z16" i="36" s="1"/>
  <c r="P16" i="36"/>
  <c r="H16" i="36"/>
  <c r="N16" i="36" s="1"/>
  <c r="D16" i="36"/>
  <c r="B16" i="36"/>
  <c r="T15" i="36"/>
  <c r="Z15" i="36" s="1"/>
  <c r="P15" i="36"/>
  <c r="H15" i="36"/>
  <c r="N15" i="36" s="1"/>
  <c r="D15" i="36"/>
  <c r="T13" i="36"/>
  <c r="P13" i="36"/>
  <c r="H13" i="36"/>
  <c r="N13" i="36" s="1"/>
  <c r="D13" i="36"/>
  <c r="B13" i="36"/>
  <c r="T12" i="36"/>
  <c r="V18" i="36" s="1"/>
  <c r="P12" i="36"/>
  <c r="R31" i="36" s="1"/>
  <c r="H12" i="36"/>
  <c r="J22" i="36" s="1"/>
  <c r="D12" i="36"/>
  <c r="F18" i="36" s="1"/>
  <c r="D6" i="36"/>
  <c r="D5" i="36"/>
  <c r="D4" i="36"/>
  <c r="Z83" i="35"/>
  <c r="X83" i="35"/>
  <c r="L83" i="35"/>
  <c r="N83" i="35" s="1"/>
  <c r="J83" i="35"/>
  <c r="X79" i="35"/>
  <c r="Z79" i="35" s="1"/>
  <c r="V79" i="35"/>
  <c r="P79" i="35"/>
  <c r="D79" i="35"/>
  <c r="L79" i="35" s="1"/>
  <c r="N79" i="35" s="1"/>
  <c r="B79" i="35"/>
  <c r="Z78" i="35"/>
  <c r="X78" i="35"/>
  <c r="P78" i="35"/>
  <c r="N78" i="35"/>
  <c r="L78" i="35"/>
  <c r="D78" i="35"/>
  <c r="D76" i="35" s="1"/>
  <c r="L76" i="35" s="1"/>
  <c r="B78" i="35"/>
  <c r="Z77" i="35"/>
  <c r="P77" i="35"/>
  <c r="N77" i="35"/>
  <c r="L77" i="35"/>
  <c r="D77" i="35"/>
  <c r="B77" i="35"/>
  <c r="T76" i="35"/>
  <c r="H76" i="35"/>
  <c r="X74" i="35"/>
  <c r="Z74" i="35" s="1"/>
  <c r="N74" i="35"/>
  <c r="L74" i="35"/>
  <c r="B74" i="35"/>
  <c r="T73" i="35"/>
  <c r="P73" i="35"/>
  <c r="X73" i="35" s="1"/>
  <c r="H73" i="35"/>
  <c r="D73" i="35"/>
  <c r="L73" i="35" s="1"/>
  <c r="N73" i="35" s="1"/>
  <c r="B73" i="35"/>
  <c r="X72" i="35"/>
  <c r="Z72" i="35" s="1"/>
  <c r="L72" i="35"/>
  <c r="N72" i="35" s="1"/>
  <c r="J72" i="35"/>
  <c r="B72" i="35"/>
  <c r="Z71" i="35"/>
  <c r="X71" i="35"/>
  <c r="L71" i="35"/>
  <c r="N71" i="35" s="1"/>
  <c r="B71" i="35"/>
  <c r="T70" i="35"/>
  <c r="Z70" i="35" s="1"/>
  <c r="P70" i="35"/>
  <c r="X70" i="35" s="1"/>
  <c r="L70" i="35"/>
  <c r="N70" i="35" s="1"/>
  <c r="H70" i="35"/>
  <c r="D70" i="35"/>
  <c r="B70" i="35"/>
  <c r="Z69" i="35"/>
  <c r="X69" i="35"/>
  <c r="V69" i="35"/>
  <c r="N69" i="35"/>
  <c r="L69" i="35"/>
  <c r="B69" i="35"/>
  <c r="Z68" i="35"/>
  <c r="X68" i="35"/>
  <c r="T68" i="35"/>
  <c r="P68" i="35"/>
  <c r="L68" i="35"/>
  <c r="H68" i="35"/>
  <c r="N68" i="35" s="1"/>
  <c r="D68" i="35"/>
  <c r="B68" i="35"/>
  <c r="X67" i="35"/>
  <c r="Z67" i="35" s="1"/>
  <c r="V67" i="35"/>
  <c r="N67" i="35"/>
  <c r="L67" i="35"/>
  <c r="B67" i="35"/>
  <c r="T66" i="35"/>
  <c r="P66" i="35"/>
  <c r="H66" i="35"/>
  <c r="D66" i="35"/>
  <c r="B66" i="35"/>
  <c r="Z65" i="35"/>
  <c r="X65" i="35"/>
  <c r="N65" i="35"/>
  <c r="L65" i="35"/>
  <c r="J65" i="35"/>
  <c r="B65" i="35"/>
  <c r="V64" i="35"/>
  <c r="T64" i="35"/>
  <c r="P64" i="35"/>
  <c r="X64" i="35" s="1"/>
  <c r="H64" i="35"/>
  <c r="D64" i="35"/>
  <c r="L64" i="35" s="1"/>
  <c r="B64" i="35"/>
  <c r="Z63" i="35"/>
  <c r="X63" i="35"/>
  <c r="L63" i="35"/>
  <c r="N63" i="35" s="1"/>
  <c r="B63" i="35"/>
  <c r="T62" i="35"/>
  <c r="P62" i="35"/>
  <c r="X62" i="35" s="1"/>
  <c r="L62" i="35"/>
  <c r="H62" i="35"/>
  <c r="N62" i="35" s="1"/>
  <c r="D62" i="35"/>
  <c r="B62" i="35"/>
  <c r="Z61" i="35"/>
  <c r="X61" i="35"/>
  <c r="V61" i="35"/>
  <c r="N61" i="35"/>
  <c r="L61" i="35"/>
  <c r="B61" i="35"/>
  <c r="X60" i="35"/>
  <c r="T60" i="35"/>
  <c r="Z60" i="35" s="1"/>
  <c r="P60" i="35"/>
  <c r="N60" i="35"/>
  <c r="L60" i="35"/>
  <c r="H60" i="35"/>
  <c r="D60" i="35"/>
  <c r="B60" i="35"/>
  <c r="Z59" i="35"/>
  <c r="X59" i="35"/>
  <c r="N59" i="35"/>
  <c r="L59" i="35"/>
  <c r="B59" i="35"/>
  <c r="Z58" i="35"/>
  <c r="T58" i="35"/>
  <c r="X58" i="35" s="1"/>
  <c r="P58" i="35"/>
  <c r="H58" i="35"/>
  <c r="N58" i="35" s="1"/>
  <c r="D58" i="35"/>
  <c r="L58" i="35" s="1"/>
  <c r="B58" i="35"/>
  <c r="Z57" i="35"/>
  <c r="X57" i="35"/>
  <c r="N57" i="35"/>
  <c r="L57" i="35"/>
  <c r="J57" i="35"/>
  <c r="B57" i="35"/>
  <c r="T56" i="35"/>
  <c r="P56" i="35"/>
  <c r="H56" i="35"/>
  <c r="D56" i="35"/>
  <c r="L56" i="35" s="1"/>
  <c r="B56" i="35"/>
  <c r="Z55" i="35"/>
  <c r="X55" i="35"/>
  <c r="N55" i="35"/>
  <c r="L55" i="35"/>
  <c r="B55" i="35"/>
  <c r="Z54" i="35"/>
  <c r="X54" i="35"/>
  <c r="N54" i="35"/>
  <c r="L54" i="35"/>
  <c r="B54" i="35"/>
  <c r="Z53" i="35"/>
  <c r="X53" i="35"/>
  <c r="N53" i="35"/>
  <c r="L53" i="35"/>
  <c r="B53" i="35"/>
  <c r="X52" i="35"/>
  <c r="Z52" i="35" s="1"/>
  <c r="L52" i="35"/>
  <c r="N52" i="35" s="1"/>
  <c r="B52" i="35"/>
  <c r="Z51" i="35"/>
  <c r="X51" i="35"/>
  <c r="V51" i="35"/>
  <c r="N51" i="35"/>
  <c r="L51" i="35"/>
  <c r="B51" i="35"/>
  <c r="Z50" i="35"/>
  <c r="X50" i="35"/>
  <c r="N50" i="35"/>
  <c r="L50" i="35"/>
  <c r="B50" i="35"/>
  <c r="Z49" i="35"/>
  <c r="X49" i="35"/>
  <c r="N49" i="35"/>
  <c r="L49" i="35"/>
  <c r="B49" i="35"/>
  <c r="Z48" i="35"/>
  <c r="X48" i="35"/>
  <c r="N48" i="35"/>
  <c r="L48" i="35"/>
  <c r="J48" i="35"/>
  <c r="B48" i="35"/>
  <c r="Z47" i="35"/>
  <c r="X47" i="35"/>
  <c r="L47" i="35"/>
  <c r="N47" i="35" s="1"/>
  <c r="B47" i="35"/>
  <c r="Z46" i="35"/>
  <c r="X46" i="35"/>
  <c r="N46" i="35"/>
  <c r="L46" i="35"/>
  <c r="B46" i="35"/>
  <c r="T45" i="35"/>
  <c r="P45" i="35"/>
  <c r="X45" i="35" s="1"/>
  <c r="H45" i="35"/>
  <c r="D45" i="35"/>
  <c r="L45" i="35" s="1"/>
  <c r="N45" i="35" s="1"/>
  <c r="B45" i="35"/>
  <c r="X44" i="35"/>
  <c r="Z44" i="35" s="1"/>
  <c r="L44" i="35"/>
  <c r="N44" i="35" s="1"/>
  <c r="J44" i="35"/>
  <c r="B44" i="35"/>
  <c r="Z43" i="35"/>
  <c r="X43" i="35"/>
  <c r="N43" i="35"/>
  <c r="L43" i="35"/>
  <c r="J43" i="35"/>
  <c r="B43" i="35"/>
  <c r="X42" i="35"/>
  <c r="Z42" i="35" s="1"/>
  <c r="L42" i="35"/>
  <c r="N42" i="35" s="1"/>
  <c r="B42" i="35"/>
  <c r="Z41" i="35"/>
  <c r="X41" i="35"/>
  <c r="N41" i="35"/>
  <c r="L41" i="35"/>
  <c r="B41" i="35"/>
  <c r="Z40" i="35"/>
  <c r="X40" i="35"/>
  <c r="N40" i="35"/>
  <c r="L40" i="35"/>
  <c r="B40" i="35"/>
  <c r="Z39" i="35"/>
  <c r="X39" i="35"/>
  <c r="N39" i="35"/>
  <c r="L39" i="35"/>
  <c r="B39" i="35"/>
  <c r="Z38" i="35"/>
  <c r="X38" i="35"/>
  <c r="V38" i="35"/>
  <c r="L38" i="35"/>
  <c r="N38" i="35" s="1"/>
  <c r="B38" i="35"/>
  <c r="X37" i="35"/>
  <c r="Z37" i="35" s="1"/>
  <c r="N37" i="35"/>
  <c r="L37" i="35"/>
  <c r="J37" i="35"/>
  <c r="B37" i="35"/>
  <c r="Z36" i="35"/>
  <c r="X36" i="35"/>
  <c r="L36" i="35"/>
  <c r="N36" i="35" s="1"/>
  <c r="J36" i="35"/>
  <c r="B36" i="35"/>
  <c r="X35" i="35"/>
  <c r="Z35" i="35" s="1"/>
  <c r="N35" i="35"/>
  <c r="L35" i="35"/>
  <c r="B35" i="35"/>
  <c r="T34" i="35"/>
  <c r="P34" i="35"/>
  <c r="N34" i="35"/>
  <c r="H34" i="35"/>
  <c r="D34" i="35"/>
  <c r="L34" i="35" s="1"/>
  <c r="B34" i="35"/>
  <c r="T33" i="35" a="1"/>
  <c r="T33" i="35" s="1"/>
  <c r="P33" i="35" a="1"/>
  <c r="P33" i="35" s="1"/>
  <c r="X33" i="35" s="1"/>
  <c r="H33" i="35" a="1"/>
  <c r="H33" i="35" s="1"/>
  <c r="D33" i="35" a="1"/>
  <c r="D33" i="35" s="1"/>
  <c r="L33" i="35" s="1"/>
  <c r="H31" i="35"/>
  <c r="Z29" i="35"/>
  <c r="X29" i="35"/>
  <c r="V29" i="35"/>
  <c r="N29" i="35"/>
  <c r="L29" i="35"/>
  <c r="B29" i="35"/>
  <c r="Z28" i="35"/>
  <c r="X28" i="35"/>
  <c r="V28" i="35"/>
  <c r="N28" i="35"/>
  <c r="L28" i="35"/>
  <c r="B28" i="35"/>
  <c r="Z27" i="35"/>
  <c r="X27" i="35"/>
  <c r="N27" i="35"/>
  <c r="L27" i="35"/>
  <c r="B27" i="35"/>
  <c r="Z26" i="35"/>
  <c r="X26" i="35"/>
  <c r="N26" i="35"/>
  <c r="L26" i="35"/>
  <c r="B26" i="35"/>
  <c r="Z25" i="35"/>
  <c r="X25" i="35"/>
  <c r="N25" i="35"/>
  <c r="L25" i="35"/>
  <c r="J25" i="35"/>
  <c r="B25" i="35"/>
  <c r="Z24" i="35"/>
  <c r="X24" i="35"/>
  <c r="N24" i="35"/>
  <c r="L24" i="35"/>
  <c r="J24" i="35"/>
  <c r="B24" i="35"/>
  <c r="Z23" i="35"/>
  <c r="X23" i="35"/>
  <c r="N23" i="35"/>
  <c r="L23" i="35"/>
  <c r="B23" i="35"/>
  <c r="Z22" i="35"/>
  <c r="X22" i="35"/>
  <c r="N22" i="35"/>
  <c r="L22" i="35"/>
  <c r="J22" i="35"/>
  <c r="B22" i="35"/>
  <c r="Z21" i="35"/>
  <c r="X21" i="35"/>
  <c r="N21" i="35"/>
  <c r="L21" i="35"/>
  <c r="B21" i="35"/>
  <c r="X20" i="35"/>
  <c r="Z20" i="35" s="1"/>
  <c r="N20" i="35"/>
  <c r="L20" i="35"/>
  <c r="B20" i="35"/>
  <c r="Z19" i="35"/>
  <c r="X19" i="35"/>
  <c r="T19" i="35"/>
  <c r="P19" i="35"/>
  <c r="H19" i="35"/>
  <c r="D19" i="35"/>
  <c r="L19" i="35" s="1"/>
  <c r="Z17" i="35"/>
  <c r="X17" i="35"/>
  <c r="P17" i="35"/>
  <c r="N17" i="35"/>
  <c r="L17" i="35"/>
  <c r="D17" i="35"/>
  <c r="B17" i="35"/>
  <c r="Z16" i="35"/>
  <c r="P16" i="35"/>
  <c r="X16" i="35" s="1"/>
  <c r="N16" i="35"/>
  <c r="D16" i="35"/>
  <c r="L16" i="35" s="1"/>
  <c r="B16" i="35"/>
  <c r="Z15" i="35"/>
  <c r="X15" i="35"/>
  <c r="P15" i="35"/>
  <c r="N15" i="35"/>
  <c r="L15" i="35"/>
  <c r="D15" i="35"/>
  <c r="B15" i="35"/>
  <c r="P14" i="35"/>
  <c r="L14" i="35"/>
  <c r="N14" i="35" s="1"/>
  <c r="D14" i="35"/>
  <c r="B14" i="35"/>
  <c r="X13" i="35"/>
  <c r="Z13" i="35" s="1"/>
  <c r="P13" i="35"/>
  <c r="N13" i="35"/>
  <c r="D13" i="35"/>
  <c r="L13" i="35" s="1"/>
  <c r="B13" i="35"/>
  <c r="T12" i="35"/>
  <c r="H12" i="35"/>
  <c r="J71" i="35" s="1"/>
  <c r="D6" i="35"/>
  <c r="D4" i="35"/>
  <c r="Z82" i="34"/>
  <c r="X82" i="34"/>
  <c r="N82" i="34"/>
  <c r="L82" i="34"/>
  <c r="P78" i="34"/>
  <c r="N78" i="34"/>
  <c r="L78" i="34"/>
  <c r="D78" i="34"/>
  <c r="B78" i="34"/>
  <c r="T77" i="34"/>
  <c r="J77" i="34"/>
  <c r="H77" i="34"/>
  <c r="N77" i="34" s="1"/>
  <c r="D77" i="34"/>
  <c r="X75" i="34"/>
  <c r="Z75" i="34" s="1"/>
  <c r="L75" i="34"/>
  <c r="N75" i="34" s="1"/>
  <c r="B75" i="34"/>
  <c r="T74" i="34"/>
  <c r="P74" i="34"/>
  <c r="N74" i="34"/>
  <c r="H74" i="34"/>
  <c r="D74" i="34"/>
  <c r="L74" i="34" s="1"/>
  <c r="B74" i="34"/>
  <c r="X73" i="34"/>
  <c r="Z73" i="34" s="1"/>
  <c r="N73" i="34"/>
  <c r="L73" i="34"/>
  <c r="J73" i="34"/>
  <c r="B73" i="34"/>
  <c r="Z72" i="34"/>
  <c r="X72" i="34"/>
  <c r="L72" i="34"/>
  <c r="N72" i="34" s="1"/>
  <c r="J72" i="34"/>
  <c r="B72" i="34"/>
  <c r="X71" i="34"/>
  <c r="Z71" i="34" s="1"/>
  <c r="N71" i="34"/>
  <c r="L71" i="34"/>
  <c r="B71" i="34"/>
  <c r="Z70" i="34"/>
  <c r="X70" i="34"/>
  <c r="N70" i="34"/>
  <c r="L70" i="34"/>
  <c r="J70" i="34"/>
  <c r="B70" i="34"/>
  <c r="Z69" i="34"/>
  <c r="X69" i="34"/>
  <c r="V69" i="34"/>
  <c r="N69" i="34"/>
  <c r="L69" i="34"/>
  <c r="B69" i="34"/>
  <c r="X68" i="34"/>
  <c r="Z68" i="34" s="1"/>
  <c r="T68" i="34"/>
  <c r="P68" i="34"/>
  <c r="H68" i="34"/>
  <c r="D68" i="34"/>
  <c r="B68" i="34"/>
  <c r="Z67" i="34"/>
  <c r="X67" i="34"/>
  <c r="N67" i="34"/>
  <c r="L67" i="34"/>
  <c r="B67" i="34"/>
  <c r="T66" i="34"/>
  <c r="P66" i="34"/>
  <c r="N66" i="34"/>
  <c r="H66" i="34"/>
  <c r="D66" i="34"/>
  <c r="L66" i="34" s="1"/>
  <c r="B66" i="34"/>
  <c r="X65" i="34"/>
  <c r="Z65" i="34" s="1"/>
  <c r="N65" i="34"/>
  <c r="L65" i="34"/>
  <c r="J65" i="34"/>
  <c r="B65" i="34"/>
  <c r="Z64" i="34"/>
  <c r="T64" i="34"/>
  <c r="P64" i="34"/>
  <c r="X64" i="34" s="1"/>
  <c r="J64" i="34"/>
  <c r="H64" i="34"/>
  <c r="D64" i="34"/>
  <c r="L64" i="34" s="1"/>
  <c r="N64" i="34" s="1"/>
  <c r="B64" i="34"/>
  <c r="Z63" i="34"/>
  <c r="X63" i="34"/>
  <c r="N63" i="34"/>
  <c r="L63" i="34"/>
  <c r="B63" i="34"/>
  <c r="Z62" i="34"/>
  <c r="X62" i="34"/>
  <c r="V62" i="34"/>
  <c r="N62" i="34"/>
  <c r="L62" i="34"/>
  <c r="B62" i="34"/>
  <c r="X61" i="34"/>
  <c r="Z61" i="34" s="1"/>
  <c r="N61" i="34"/>
  <c r="L61" i="34"/>
  <c r="J61" i="34"/>
  <c r="B61" i="34"/>
  <c r="T60" i="34"/>
  <c r="P60" i="34"/>
  <c r="X60" i="34" s="1"/>
  <c r="Z60" i="34" s="1"/>
  <c r="N60" i="34"/>
  <c r="J60" i="34"/>
  <c r="H60" i="34"/>
  <c r="D60" i="34"/>
  <c r="L60" i="34" s="1"/>
  <c r="B60" i="34"/>
  <c r="Z59" i="34"/>
  <c r="X59" i="34"/>
  <c r="N59" i="34"/>
  <c r="L59" i="34"/>
  <c r="B59" i="34"/>
  <c r="Z58" i="34"/>
  <c r="T58" i="34"/>
  <c r="P58" i="34"/>
  <c r="X58" i="34" s="1"/>
  <c r="L58" i="34"/>
  <c r="J58" i="34"/>
  <c r="H58" i="34"/>
  <c r="N58" i="34" s="1"/>
  <c r="D58" i="34"/>
  <c r="B58" i="34"/>
  <c r="Z57" i="34"/>
  <c r="X57" i="34"/>
  <c r="N57" i="34"/>
  <c r="L57" i="34"/>
  <c r="B57" i="34"/>
  <c r="X56" i="34"/>
  <c r="T56" i="34"/>
  <c r="Z56" i="34" s="1"/>
  <c r="P56" i="34"/>
  <c r="H56" i="34"/>
  <c r="D56" i="34"/>
  <c r="B56" i="34"/>
  <c r="X55" i="34"/>
  <c r="Z55" i="34" s="1"/>
  <c r="L55" i="34"/>
  <c r="N55" i="34" s="1"/>
  <c r="B55" i="34"/>
  <c r="Z54" i="34"/>
  <c r="X54" i="34"/>
  <c r="N54" i="34"/>
  <c r="L54" i="34"/>
  <c r="J54" i="34"/>
  <c r="B54" i="34"/>
  <c r="V53" i="34"/>
  <c r="T53" i="34"/>
  <c r="P53" i="34"/>
  <c r="H53" i="34"/>
  <c r="D53" i="34"/>
  <c r="L53" i="34" s="1"/>
  <c r="N53" i="34" s="1"/>
  <c r="B53" i="34"/>
  <c r="Z52" i="34"/>
  <c r="X52" i="34"/>
  <c r="L52" i="34"/>
  <c r="N52" i="34" s="1"/>
  <c r="J52" i="34"/>
  <c r="B52" i="34"/>
  <c r="T51" i="34"/>
  <c r="P51" i="34"/>
  <c r="X51" i="34" s="1"/>
  <c r="Z51" i="34" s="1"/>
  <c r="L51" i="34"/>
  <c r="H51" i="34"/>
  <c r="D51" i="34"/>
  <c r="B51" i="34"/>
  <c r="Z50" i="34"/>
  <c r="X50" i="34"/>
  <c r="N50" i="34"/>
  <c r="L50" i="34"/>
  <c r="B50" i="34"/>
  <c r="X49" i="34"/>
  <c r="T49" i="34"/>
  <c r="P49" i="34"/>
  <c r="H49" i="34"/>
  <c r="D49" i="34"/>
  <c r="B49" i="34"/>
  <c r="X48" i="34"/>
  <c r="Z48" i="34" s="1"/>
  <c r="N48" i="34"/>
  <c r="L48" i="34"/>
  <c r="B48" i="34"/>
  <c r="T47" i="34"/>
  <c r="P47" i="34"/>
  <c r="J47" i="34"/>
  <c r="H47" i="34"/>
  <c r="D47" i="34"/>
  <c r="L47" i="34" s="1"/>
  <c r="B47" i="34"/>
  <c r="Z46" i="34"/>
  <c r="X46" i="34"/>
  <c r="N46" i="34"/>
  <c r="L46" i="34"/>
  <c r="J46" i="34"/>
  <c r="B46" i="34"/>
  <c r="Z45" i="34"/>
  <c r="X45" i="34"/>
  <c r="V45" i="34"/>
  <c r="N45" i="34"/>
  <c r="L45" i="34"/>
  <c r="B45" i="34"/>
  <c r="X44" i="34"/>
  <c r="Z44" i="34" s="1"/>
  <c r="V44" i="34"/>
  <c r="N44" i="34"/>
  <c r="L44" i="34"/>
  <c r="B44" i="34"/>
  <c r="Z43" i="34"/>
  <c r="X43" i="34"/>
  <c r="N43" i="34"/>
  <c r="L43" i="34"/>
  <c r="B43" i="34"/>
  <c r="Z42" i="34"/>
  <c r="X42" i="34"/>
  <c r="V42" i="34"/>
  <c r="N42" i="34"/>
  <c r="L42" i="34"/>
  <c r="B42" i="34"/>
  <c r="Z41" i="34"/>
  <c r="X41" i="34"/>
  <c r="N41" i="34"/>
  <c r="L41" i="34"/>
  <c r="J41" i="34"/>
  <c r="B41" i="34"/>
  <c r="Z40" i="34"/>
  <c r="X40" i="34"/>
  <c r="N40" i="34"/>
  <c r="L40" i="34"/>
  <c r="J40" i="34"/>
  <c r="B40" i="34"/>
  <c r="Z39" i="34"/>
  <c r="X39" i="34"/>
  <c r="N39" i="34"/>
  <c r="L39" i="34"/>
  <c r="B39" i="34"/>
  <c r="Z38" i="34"/>
  <c r="X38" i="34"/>
  <c r="N38" i="34"/>
  <c r="L38" i="34"/>
  <c r="J38" i="34"/>
  <c r="B38" i="34"/>
  <c r="Z37" i="34"/>
  <c r="X37" i="34"/>
  <c r="N37" i="34"/>
  <c r="L37" i="34"/>
  <c r="B37" i="34"/>
  <c r="X36" i="34"/>
  <c r="Z36" i="34" s="1"/>
  <c r="V36" i="34"/>
  <c r="T36" i="34"/>
  <c r="P36" i="34"/>
  <c r="H36" i="34"/>
  <c r="D36" i="34"/>
  <c r="B36" i="34"/>
  <c r="X35" i="34"/>
  <c r="Z35" i="34" s="1"/>
  <c r="N35" i="34"/>
  <c r="L35" i="34"/>
  <c r="B35" i="34"/>
  <c r="Z34" i="34"/>
  <c r="X34" i="34"/>
  <c r="N34" i="34"/>
  <c r="L34" i="34"/>
  <c r="J34" i="34"/>
  <c r="B34" i="34"/>
  <c r="Z33" i="34"/>
  <c r="X33" i="34"/>
  <c r="V33" i="34"/>
  <c r="L33" i="34"/>
  <c r="N33" i="34" s="1"/>
  <c r="B33" i="34"/>
  <c r="Z32" i="34"/>
  <c r="X32" i="34"/>
  <c r="N32" i="34"/>
  <c r="L32" i="34"/>
  <c r="B32" i="34"/>
  <c r="Z31" i="34"/>
  <c r="X31" i="34"/>
  <c r="L31" i="34"/>
  <c r="N31" i="34" s="1"/>
  <c r="B31" i="34"/>
  <c r="Z30" i="34"/>
  <c r="X30" i="34"/>
  <c r="V30" i="34"/>
  <c r="N30" i="34"/>
  <c r="L30" i="34"/>
  <c r="B30" i="34"/>
  <c r="X29" i="34"/>
  <c r="Z29" i="34" s="1"/>
  <c r="N29" i="34"/>
  <c r="L29" i="34"/>
  <c r="J29" i="34"/>
  <c r="B29" i="34"/>
  <c r="Z28" i="34"/>
  <c r="X28" i="34"/>
  <c r="L28" i="34"/>
  <c r="N28" i="34" s="1"/>
  <c r="J28" i="34"/>
  <c r="B28" i="34"/>
  <c r="X27" i="34"/>
  <c r="Z27" i="34" s="1"/>
  <c r="N27" i="34"/>
  <c r="L27" i="34"/>
  <c r="B27" i="34"/>
  <c r="T26" i="34"/>
  <c r="P26" i="34"/>
  <c r="N26" i="34"/>
  <c r="H26" i="34"/>
  <c r="D26" i="34"/>
  <c r="L26" i="34" s="1"/>
  <c r="B26" i="34"/>
  <c r="T25" i="34" a="1"/>
  <c r="T25" i="34" s="1"/>
  <c r="P25" i="34" a="1"/>
  <c r="P25" i="34" s="1"/>
  <c r="X25" i="34" s="1"/>
  <c r="H25" i="34" a="1"/>
  <c r="H25" i="34" s="1"/>
  <c r="D25" i="34" a="1"/>
  <c r="D25" i="34" s="1"/>
  <c r="H23" i="34"/>
  <c r="Z21" i="34"/>
  <c r="X21" i="34"/>
  <c r="V21" i="34"/>
  <c r="N21" i="34"/>
  <c r="L21" i="34"/>
  <c r="B21" i="34"/>
  <c r="Z20" i="34"/>
  <c r="X20" i="34"/>
  <c r="V20" i="34"/>
  <c r="N20" i="34"/>
  <c r="L20" i="34"/>
  <c r="B20" i="34"/>
  <c r="T19" i="34"/>
  <c r="P19" i="34"/>
  <c r="J19" i="34"/>
  <c r="H19" i="34"/>
  <c r="N19" i="34" s="1"/>
  <c r="D19" i="34"/>
  <c r="Z17" i="34"/>
  <c r="X17" i="34"/>
  <c r="P17" i="34"/>
  <c r="N17" i="34"/>
  <c r="L17" i="34"/>
  <c r="D17" i="34"/>
  <c r="B17" i="34"/>
  <c r="Z16" i="34"/>
  <c r="P16" i="34"/>
  <c r="X16" i="34" s="1"/>
  <c r="N16" i="34"/>
  <c r="D16" i="34"/>
  <c r="L16" i="34" s="1"/>
  <c r="B16" i="34"/>
  <c r="Z15" i="34"/>
  <c r="X15" i="34"/>
  <c r="P15" i="34"/>
  <c r="N15" i="34"/>
  <c r="L15" i="34"/>
  <c r="D15" i="34"/>
  <c r="B15" i="34"/>
  <c r="P14" i="34"/>
  <c r="L14" i="34"/>
  <c r="N14" i="34" s="1"/>
  <c r="D14" i="34"/>
  <c r="B14" i="34"/>
  <c r="X13" i="34"/>
  <c r="Z13" i="34" s="1"/>
  <c r="P13" i="34"/>
  <c r="D13" i="34"/>
  <c r="L13" i="34" s="1"/>
  <c r="N13" i="34" s="1"/>
  <c r="B13" i="34"/>
  <c r="T12" i="34"/>
  <c r="H12" i="34"/>
  <c r="J78" i="34" s="1"/>
  <c r="D6" i="34"/>
  <c r="D4" i="34"/>
  <c r="Z115" i="33"/>
  <c r="X115" i="33"/>
  <c r="N115" i="33"/>
  <c r="L115" i="33"/>
  <c r="Z111" i="33"/>
  <c r="P111" i="33"/>
  <c r="N111" i="33"/>
  <c r="L111" i="33"/>
  <c r="D111" i="33"/>
  <c r="B111" i="33"/>
  <c r="Z110" i="33"/>
  <c r="X110" i="33"/>
  <c r="P110" i="33"/>
  <c r="D110" i="33"/>
  <c r="B110" i="33"/>
  <c r="Z109" i="33"/>
  <c r="P109" i="33"/>
  <c r="X109" i="33" s="1"/>
  <c r="L109" i="33"/>
  <c r="N109" i="33" s="1"/>
  <c r="D109" i="33"/>
  <c r="B109" i="33"/>
  <c r="Z108" i="33"/>
  <c r="X108" i="33"/>
  <c r="P108" i="33"/>
  <c r="N108" i="33"/>
  <c r="D108" i="33"/>
  <c r="L108" i="33" s="1"/>
  <c r="B108" i="33"/>
  <c r="V107" i="33"/>
  <c r="T107" i="33"/>
  <c r="H107" i="33"/>
  <c r="Z105" i="33"/>
  <c r="X105" i="33"/>
  <c r="N105" i="33"/>
  <c r="L105" i="33"/>
  <c r="B105" i="33"/>
  <c r="V104" i="33"/>
  <c r="T104" i="33"/>
  <c r="P104" i="33"/>
  <c r="H104" i="33"/>
  <c r="D104" i="33"/>
  <c r="L104" i="33" s="1"/>
  <c r="N104" i="33" s="1"/>
  <c r="B104" i="33"/>
  <c r="Z103" i="33"/>
  <c r="X103" i="33"/>
  <c r="N103" i="33"/>
  <c r="L103" i="33"/>
  <c r="B103" i="33"/>
  <c r="Z102" i="33"/>
  <c r="T102" i="33"/>
  <c r="P102" i="33"/>
  <c r="X102" i="33" s="1"/>
  <c r="L102" i="33"/>
  <c r="H102" i="33"/>
  <c r="N102" i="33" s="1"/>
  <c r="D102" i="33"/>
  <c r="B102" i="33"/>
  <c r="Z101" i="33"/>
  <c r="X101" i="33"/>
  <c r="N101" i="33"/>
  <c r="L101" i="33"/>
  <c r="F101" i="33"/>
  <c r="B101" i="33"/>
  <c r="X100" i="33"/>
  <c r="T100" i="33"/>
  <c r="P100" i="33"/>
  <c r="L100" i="33"/>
  <c r="H100" i="33"/>
  <c r="D100" i="33"/>
  <c r="B100" i="33"/>
  <c r="X99" i="33"/>
  <c r="Z99" i="33" s="1"/>
  <c r="N99" i="33"/>
  <c r="L99" i="33"/>
  <c r="B99" i="33"/>
  <c r="Z98" i="33"/>
  <c r="X98" i="33"/>
  <c r="N98" i="33"/>
  <c r="L98" i="33"/>
  <c r="B98" i="33"/>
  <c r="Z97" i="33"/>
  <c r="X97" i="33"/>
  <c r="V97" i="33"/>
  <c r="N97" i="33"/>
  <c r="L97" i="33"/>
  <c r="B97" i="33"/>
  <c r="Z96" i="33"/>
  <c r="X96" i="33"/>
  <c r="N96" i="33"/>
  <c r="L96" i="33"/>
  <c r="J96" i="33"/>
  <c r="B96" i="33"/>
  <c r="T95" i="33"/>
  <c r="P95" i="33"/>
  <c r="X95" i="33" s="1"/>
  <c r="Z95" i="33" s="1"/>
  <c r="N95" i="33"/>
  <c r="J95" i="33"/>
  <c r="H95" i="33"/>
  <c r="D95" i="33"/>
  <c r="L95" i="33" s="1"/>
  <c r="B95" i="33"/>
  <c r="X94" i="33"/>
  <c r="Z94" i="33" s="1"/>
  <c r="L94" i="33"/>
  <c r="N94" i="33" s="1"/>
  <c r="B94" i="33"/>
  <c r="Z93" i="33"/>
  <c r="X93" i="33"/>
  <c r="N93" i="33"/>
  <c r="L93" i="33"/>
  <c r="B93" i="33"/>
  <c r="X92" i="33"/>
  <c r="T92" i="33"/>
  <c r="P92" i="33"/>
  <c r="H92" i="33"/>
  <c r="L92" i="33" s="1"/>
  <c r="N92" i="33" s="1"/>
  <c r="D92" i="33"/>
  <c r="B92" i="33"/>
  <c r="X91" i="33"/>
  <c r="Z91" i="33" s="1"/>
  <c r="V91" i="33"/>
  <c r="N91" i="33"/>
  <c r="L91" i="33"/>
  <c r="B91" i="33"/>
  <c r="X90" i="33"/>
  <c r="Z90" i="33" s="1"/>
  <c r="N90" i="33"/>
  <c r="L90" i="33"/>
  <c r="B90" i="33"/>
  <c r="Z89" i="33"/>
  <c r="X89" i="33"/>
  <c r="N89" i="33"/>
  <c r="L89" i="33"/>
  <c r="F89" i="33"/>
  <c r="B89" i="33"/>
  <c r="X88" i="33"/>
  <c r="T88" i="33"/>
  <c r="P88" i="33"/>
  <c r="H88" i="33"/>
  <c r="D88" i="33"/>
  <c r="B88" i="33"/>
  <c r="Z87" i="33"/>
  <c r="X87" i="33"/>
  <c r="N87" i="33"/>
  <c r="L87" i="33"/>
  <c r="B87" i="33"/>
  <c r="Z86" i="33"/>
  <c r="X86" i="33"/>
  <c r="N86" i="33"/>
  <c r="L86" i="33"/>
  <c r="B86" i="33"/>
  <c r="Z85" i="33"/>
  <c r="V85" i="33"/>
  <c r="T85" i="33"/>
  <c r="P85" i="33"/>
  <c r="X85" i="33" s="1"/>
  <c r="N85" i="33"/>
  <c r="L85" i="33"/>
  <c r="H85" i="33"/>
  <c r="D85" i="33"/>
  <c r="B85" i="33"/>
  <c r="Z84" i="33"/>
  <c r="X84" i="33"/>
  <c r="N84" i="33"/>
  <c r="L84" i="33"/>
  <c r="B84" i="33"/>
  <c r="X83" i="33"/>
  <c r="Z83" i="33" s="1"/>
  <c r="V83" i="33"/>
  <c r="T83" i="33"/>
  <c r="P83" i="33"/>
  <c r="H83" i="33"/>
  <c r="D83" i="33"/>
  <c r="B83" i="33"/>
  <c r="X82" i="33"/>
  <c r="Z82" i="33" s="1"/>
  <c r="N82" i="33"/>
  <c r="L82" i="33"/>
  <c r="B82" i="33"/>
  <c r="T81" i="33"/>
  <c r="P81" i="33"/>
  <c r="N81" i="33"/>
  <c r="H81" i="33"/>
  <c r="D81" i="33"/>
  <c r="L81" i="33" s="1"/>
  <c r="B81" i="33"/>
  <c r="X80" i="33"/>
  <c r="Z80" i="33" s="1"/>
  <c r="N80" i="33"/>
  <c r="L80" i="33"/>
  <c r="J80" i="33"/>
  <c r="F80" i="33"/>
  <c r="B80" i="33"/>
  <c r="Z79" i="33"/>
  <c r="T79" i="33"/>
  <c r="P79" i="33"/>
  <c r="X79" i="33" s="1"/>
  <c r="J79" i="33"/>
  <c r="H79" i="33"/>
  <c r="D79" i="33"/>
  <c r="L79" i="33" s="1"/>
  <c r="N79" i="33" s="1"/>
  <c r="B79" i="33"/>
  <c r="Z78" i="33"/>
  <c r="X78" i="33"/>
  <c r="N78" i="33"/>
  <c r="L78" i="33"/>
  <c r="J78" i="33"/>
  <c r="B78" i="33"/>
  <c r="Z77" i="33"/>
  <c r="X77" i="33"/>
  <c r="L77" i="33"/>
  <c r="N77" i="33" s="1"/>
  <c r="B77" i="33"/>
  <c r="X76" i="33"/>
  <c r="T76" i="33"/>
  <c r="P76" i="33"/>
  <c r="H76" i="33"/>
  <c r="D76" i="33"/>
  <c r="B76" i="33"/>
  <c r="Z75" i="33"/>
  <c r="X75" i="33"/>
  <c r="N75" i="33"/>
  <c r="L75" i="33"/>
  <c r="B75" i="33"/>
  <c r="Z74" i="33"/>
  <c r="X74" i="33"/>
  <c r="T74" i="33"/>
  <c r="P74" i="33"/>
  <c r="H74" i="33"/>
  <c r="N74" i="33" s="1"/>
  <c r="D74" i="33"/>
  <c r="L74" i="33" s="1"/>
  <c r="B74" i="33"/>
  <c r="X73" i="33"/>
  <c r="Z73" i="33" s="1"/>
  <c r="N73" i="33"/>
  <c r="L73" i="33"/>
  <c r="B73" i="33"/>
  <c r="V72" i="33"/>
  <c r="T72" i="33"/>
  <c r="P72" i="33"/>
  <c r="H72" i="33"/>
  <c r="D72" i="33"/>
  <c r="L72" i="33" s="1"/>
  <c r="B72" i="33"/>
  <c r="Z71" i="33"/>
  <c r="X71" i="33"/>
  <c r="N71" i="33"/>
  <c r="L71" i="33"/>
  <c r="B71" i="33"/>
  <c r="X70" i="33"/>
  <c r="V70" i="33"/>
  <c r="T70" i="33"/>
  <c r="Z70" i="33" s="1"/>
  <c r="P70" i="33"/>
  <c r="H70" i="33"/>
  <c r="N70" i="33" s="1"/>
  <c r="D70" i="33"/>
  <c r="B70" i="33"/>
  <c r="Z69" i="33"/>
  <c r="X69" i="33"/>
  <c r="N69" i="33"/>
  <c r="L69" i="33"/>
  <c r="B69" i="33"/>
  <c r="T68" i="33"/>
  <c r="Z68" i="33" s="1"/>
  <c r="P68" i="33"/>
  <c r="H68" i="33"/>
  <c r="N68" i="33" s="1"/>
  <c r="D68" i="33"/>
  <c r="L68" i="33" s="1"/>
  <c r="B68" i="33"/>
  <c r="Z67" i="33"/>
  <c r="X67" i="33"/>
  <c r="N67" i="33"/>
  <c r="L67" i="33"/>
  <c r="B67" i="33"/>
  <c r="Z66" i="33"/>
  <c r="X66" i="33"/>
  <c r="T66" i="33"/>
  <c r="P66" i="33"/>
  <c r="H66" i="33"/>
  <c r="N66" i="33" s="1"/>
  <c r="D66" i="33"/>
  <c r="L66" i="33" s="1"/>
  <c r="B66" i="33"/>
  <c r="Z65" i="33"/>
  <c r="X65" i="33"/>
  <c r="N65" i="33"/>
  <c r="L65" i="33"/>
  <c r="J65" i="33"/>
  <c r="B65" i="33"/>
  <c r="V64" i="33"/>
  <c r="T64" i="33"/>
  <c r="P64" i="33"/>
  <c r="H64" i="33"/>
  <c r="D64" i="33"/>
  <c r="L64" i="33" s="1"/>
  <c r="B64" i="33"/>
  <c r="Z63" i="33"/>
  <c r="X63" i="33"/>
  <c r="N63" i="33"/>
  <c r="L63" i="33"/>
  <c r="J63" i="33"/>
  <c r="B63" i="33"/>
  <c r="Z62" i="33"/>
  <c r="X62" i="33"/>
  <c r="N62" i="33"/>
  <c r="L62" i="33"/>
  <c r="B62" i="33"/>
  <c r="Z61" i="33"/>
  <c r="X61" i="33"/>
  <c r="N61" i="33"/>
  <c r="L61" i="33"/>
  <c r="J61" i="33"/>
  <c r="B61" i="33"/>
  <c r="Z60" i="33"/>
  <c r="X60" i="33"/>
  <c r="N60" i="33"/>
  <c r="L60" i="33"/>
  <c r="F60" i="33"/>
  <c r="B60" i="33"/>
  <c r="Z59" i="33"/>
  <c r="X59" i="33"/>
  <c r="V59" i="33"/>
  <c r="N59" i="33"/>
  <c r="L59" i="33"/>
  <c r="B59" i="33"/>
  <c r="Z58" i="33"/>
  <c r="X58" i="33"/>
  <c r="N58" i="33"/>
  <c r="L58" i="33"/>
  <c r="B58" i="33"/>
  <c r="Z57" i="33"/>
  <c r="X57" i="33"/>
  <c r="V57" i="33"/>
  <c r="L57" i="33"/>
  <c r="N57" i="33" s="1"/>
  <c r="B57" i="33"/>
  <c r="Z56" i="33"/>
  <c r="X56" i="33"/>
  <c r="V56" i="33"/>
  <c r="N56" i="33"/>
  <c r="L56" i="33"/>
  <c r="J56" i="33"/>
  <c r="B56" i="33"/>
  <c r="Z55" i="33"/>
  <c r="X55" i="33"/>
  <c r="L55" i="33"/>
  <c r="N55" i="33" s="1"/>
  <c r="J55" i="33"/>
  <c r="B55" i="33"/>
  <c r="Z54" i="33"/>
  <c r="X54" i="33"/>
  <c r="N54" i="33"/>
  <c r="L54" i="33"/>
  <c r="J54" i="33"/>
  <c r="B54" i="33"/>
  <c r="T53" i="33"/>
  <c r="P53" i="33"/>
  <c r="X53" i="33" s="1"/>
  <c r="Z53" i="33" s="1"/>
  <c r="N53" i="33"/>
  <c r="L53" i="33"/>
  <c r="H53" i="33"/>
  <c r="D53" i="33"/>
  <c r="B53" i="33"/>
  <c r="X52" i="33"/>
  <c r="Z52" i="33" s="1"/>
  <c r="V52" i="33"/>
  <c r="L52" i="33"/>
  <c r="N52" i="33" s="1"/>
  <c r="B52" i="33"/>
  <c r="Z51" i="33"/>
  <c r="X51" i="33"/>
  <c r="V51" i="33"/>
  <c r="L51" i="33"/>
  <c r="N51" i="33" s="1"/>
  <c r="J51" i="33"/>
  <c r="B51" i="33"/>
  <c r="Z50" i="33"/>
  <c r="X50" i="33"/>
  <c r="L50" i="33"/>
  <c r="N50" i="33" s="1"/>
  <c r="J50" i="33"/>
  <c r="F50" i="33"/>
  <c r="B50" i="33"/>
  <c r="Z49" i="33"/>
  <c r="X49" i="33"/>
  <c r="N49" i="33"/>
  <c r="L49" i="33"/>
  <c r="J49" i="33"/>
  <c r="B49" i="33"/>
  <c r="X48" i="33"/>
  <c r="Z48" i="33" s="1"/>
  <c r="N48" i="33"/>
  <c r="L48" i="33"/>
  <c r="B48" i="33"/>
  <c r="X47" i="33"/>
  <c r="Z47" i="33" s="1"/>
  <c r="V47" i="33"/>
  <c r="N47" i="33"/>
  <c r="L47" i="33"/>
  <c r="B47" i="33"/>
  <c r="X46" i="33"/>
  <c r="Z46" i="33" s="1"/>
  <c r="V46" i="33"/>
  <c r="N46" i="33"/>
  <c r="L46" i="33"/>
  <c r="B46" i="33"/>
  <c r="Z45" i="33"/>
  <c r="X45" i="33"/>
  <c r="V45" i="33"/>
  <c r="N45" i="33"/>
  <c r="L45" i="33"/>
  <c r="B45" i="33"/>
  <c r="X44" i="33"/>
  <c r="Z44" i="33" s="1"/>
  <c r="V44" i="33"/>
  <c r="L44" i="33"/>
  <c r="N44" i="33" s="1"/>
  <c r="B44" i="33"/>
  <c r="Z43" i="33"/>
  <c r="X43" i="33"/>
  <c r="V43" i="33"/>
  <c r="T43" i="33"/>
  <c r="P43" i="33"/>
  <c r="N43" i="33"/>
  <c r="L43" i="33"/>
  <c r="J43" i="33"/>
  <c r="H43" i="33"/>
  <c r="D43" i="33"/>
  <c r="B43" i="33"/>
  <c r="T42" i="33" a="1"/>
  <c r="T42" i="33" s="1"/>
  <c r="V42" i="33" s="1"/>
  <c r="P42" i="33" a="1"/>
  <c r="P42" i="33" s="1"/>
  <c r="X42" i="33" s="1"/>
  <c r="H42" i="33" a="1"/>
  <c r="H42" i="33" s="1"/>
  <c r="D42" i="33" a="1"/>
  <c r="D42" i="33" s="1"/>
  <c r="L42" i="33" s="1"/>
  <c r="H40" i="33"/>
  <c r="Z38" i="33"/>
  <c r="X38" i="33"/>
  <c r="N38" i="33"/>
  <c r="L38" i="33"/>
  <c r="J38" i="33"/>
  <c r="B38" i="33"/>
  <c r="Z37" i="33"/>
  <c r="X37" i="33"/>
  <c r="N37" i="33"/>
  <c r="L37" i="33"/>
  <c r="J37" i="33"/>
  <c r="B37" i="33"/>
  <c r="Z36" i="33"/>
  <c r="X36" i="33"/>
  <c r="N36" i="33"/>
  <c r="L36" i="33"/>
  <c r="B36" i="33"/>
  <c r="Z35" i="33"/>
  <c r="X35" i="33"/>
  <c r="V35" i="33"/>
  <c r="N35" i="33"/>
  <c r="L35" i="33"/>
  <c r="B35" i="33"/>
  <c r="Z34" i="33"/>
  <c r="X34" i="33"/>
  <c r="V34" i="33"/>
  <c r="N34" i="33"/>
  <c r="L34" i="33"/>
  <c r="B34" i="33"/>
  <c r="Z33" i="33"/>
  <c r="X33" i="33"/>
  <c r="V33" i="33"/>
  <c r="N33" i="33"/>
  <c r="L33" i="33"/>
  <c r="B33" i="33"/>
  <c r="Z32" i="33"/>
  <c r="X32" i="33"/>
  <c r="V32" i="33"/>
  <c r="N32" i="33"/>
  <c r="L32" i="33"/>
  <c r="B32" i="33"/>
  <c r="Z31" i="33"/>
  <c r="X31" i="33"/>
  <c r="V31" i="33"/>
  <c r="N31" i="33"/>
  <c r="L31" i="33"/>
  <c r="J31" i="33"/>
  <c r="B31" i="33"/>
  <c r="Z30" i="33"/>
  <c r="X30" i="33"/>
  <c r="N30" i="33"/>
  <c r="L30" i="33"/>
  <c r="J30" i="33"/>
  <c r="B30" i="33"/>
  <c r="Z29" i="33"/>
  <c r="X29" i="33"/>
  <c r="N29" i="33"/>
  <c r="L29" i="33"/>
  <c r="J29" i="33"/>
  <c r="B29" i="33"/>
  <c r="Z28" i="33"/>
  <c r="X28" i="33"/>
  <c r="N28" i="33"/>
  <c r="L28" i="33"/>
  <c r="B28" i="33"/>
  <c r="Z27" i="33"/>
  <c r="X27" i="33"/>
  <c r="V27" i="33"/>
  <c r="N27" i="33"/>
  <c r="L27" i="33"/>
  <c r="B27" i="33"/>
  <c r="Z26" i="33"/>
  <c r="X26" i="33"/>
  <c r="V26" i="33"/>
  <c r="N26" i="33"/>
  <c r="L26" i="33"/>
  <c r="B26" i="33"/>
  <c r="Z25" i="33"/>
  <c r="X25" i="33"/>
  <c r="V25" i="33"/>
  <c r="N25" i="33"/>
  <c r="L25" i="33"/>
  <c r="B25" i="33"/>
  <c r="Z24" i="33"/>
  <c r="X24" i="33"/>
  <c r="V24" i="33"/>
  <c r="N24" i="33"/>
  <c r="L24" i="33"/>
  <c r="F24" i="33"/>
  <c r="B24" i="33"/>
  <c r="Z23" i="33"/>
  <c r="X23" i="33"/>
  <c r="V23" i="33"/>
  <c r="N23" i="33"/>
  <c r="L23" i="33"/>
  <c r="J23" i="33"/>
  <c r="F23" i="33"/>
  <c r="B23" i="33"/>
  <c r="Z22" i="33"/>
  <c r="X22" i="33"/>
  <c r="N22" i="33"/>
  <c r="L22" i="33"/>
  <c r="J22" i="33"/>
  <c r="F22" i="33"/>
  <c r="B22" i="33"/>
  <c r="Z21" i="33"/>
  <c r="X21" i="33"/>
  <c r="N21" i="33"/>
  <c r="L21" i="33"/>
  <c r="J21" i="33"/>
  <c r="B21" i="33"/>
  <c r="Z20" i="33"/>
  <c r="X20" i="33"/>
  <c r="N20" i="33"/>
  <c r="L20" i="33"/>
  <c r="B20" i="33"/>
  <c r="T19" i="33"/>
  <c r="P19" i="33"/>
  <c r="X19" i="33" s="1"/>
  <c r="H19" i="33"/>
  <c r="D19" i="33"/>
  <c r="L19" i="33" s="1"/>
  <c r="N19" i="33" s="1"/>
  <c r="Z17" i="33"/>
  <c r="X17" i="33"/>
  <c r="P17" i="33"/>
  <c r="N17" i="33"/>
  <c r="D17" i="33"/>
  <c r="L17" i="33" s="1"/>
  <c r="B17" i="33"/>
  <c r="Z16" i="33"/>
  <c r="X16" i="33"/>
  <c r="P16" i="33"/>
  <c r="N16" i="33"/>
  <c r="L16" i="33"/>
  <c r="D16" i="33"/>
  <c r="B16" i="33"/>
  <c r="Z15" i="33"/>
  <c r="X15" i="33"/>
  <c r="P15" i="33"/>
  <c r="N15" i="33"/>
  <c r="L15" i="33"/>
  <c r="D15" i="33"/>
  <c r="B15" i="33"/>
  <c r="Z14" i="33"/>
  <c r="X14" i="33"/>
  <c r="P14" i="33"/>
  <c r="N14" i="33"/>
  <c r="L14" i="33"/>
  <c r="D14" i="33"/>
  <c r="B14" i="33"/>
  <c r="P13" i="33"/>
  <c r="N13" i="33"/>
  <c r="L13" i="33"/>
  <c r="D13" i="33"/>
  <c r="D12" i="33" s="1"/>
  <c r="B13" i="33"/>
  <c r="T12" i="33"/>
  <c r="N12" i="33"/>
  <c r="L12" i="33"/>
  <c r="H12" i="33"/>
  <c r="D6" i="33"/>
  <c r="D4" i="33"/>
  <c r="X95" i="31"/>
  <c r="Z95" i="31" s="1"/>
  <c r="V95" i="31"/>
  <c r="N95" i="31"/>
  <c r="L95" i="31"/>
  <c r="Z91" i="31"/>
  <c r="X91" i="31"/>
  <c r="V91" i="31"/>
  <c r="P91" i="31"/>
  <c r="N91" i="31"/>
  <c r="L91" i="31"/>
  <c r="J91" i="31"/>
  <c r="D91" i="31"/>
  <c r="B91" i="31"/>
  <c r="Z90" i="31"/>
  <c r="P90" i="31"/>
  <c r="X90" i="31" s="1"/>
  <c r="N90" i="31"/>
  <c r="L90" i="31"/>
  <c r="D90" i="31"/>
  <c r="B90" i="31"/>
  <c r="X89" i="31"/>
  <c r="Z89" i="31" s="1"/>
  <c r="V89" i="31"/>
  <c r="P89" i="31"/>
  <c r="D89" i="31"/>
  <c r="L89" i="31" s="1"/>
  <c r="N89" i="31" s="1"/>
  <c r="B89" i="31"/>
  <c r="Z88" i="31"/>
  <c r="X88" i="31"/>
  <c r="P88" i="31"/>
  <c r="N88" i="31"/>
  <c r="L88" i="31"/>
  <c r="J88" i="31"/>
  <c r="D88" i="31"/>
  <c r="B88" i="31"/>
  <c r="V87" i="31"/>
  <c r="T87" i="31"/>
  <c r="P87" i="31"/>
  <c r="X87" i="31" s="1"/>
  <c r="H87" i="31"/>
  <c r="Z85" i="31"/>
  <c r="X85" i="31"/>
  <c r="V85" i="31"/>
  <c r="N85" i="31"/>
  <c r="L85" i="31"/>
  <c r="J85" i="31"/>
  <c r="B85" i="31"/>
  <c r="Z84" i="31"/>
  <c r="T84" i="31"/>
  <c r="P84" i="31"/>
  <c r="X84" i="31" s="1"/>
  <c r="N84" i="31"/>
  <c r="L84" i="31"/>
  <c r="J84" i="31"/>
  <c r="H84" i="31"/>
  <c r="D84" i="31"/>
  <c r="B84" i="31"/>
  <c r="Z83" i="31"/>
  <c r="X83" i="31"/>
  <c r="V83" i="31"/>
  <c r="N83" i="31"/>
  <c r="L83" i="31"/>
  <c r="B83" i="31"/>
  <c r="Z82" i="31"/>
  <c r="X82" i="31"/>
  <c r="V82" i="31"/>
  <c r="N82" i="31"/>
  <c r="L82" i="31"/>
  <c r="F82" i="31"/>
  <c r="B82" i="31"/>
  <c r="Z81" i="31"/>
  <c r="X81" i="31"/>
  <c r="V81" i="31"/>
  <c r="T81" i="31"/>
  <c r="P81" i="31"/>
  <c r="L81" i="31"/>
  <c r="N81" i="31" s="1"/>
  <c r="H81" i="31"/>
  <c r="D81" i="31"/>
  <c r="B81" i="31"/>
  <c r="X80" i="31"/>
  <c r="Z80" i="31" s="1"/>
  <c r="V80" i="31"/>
  <c r="N80" i="31"/>
  <c r="L80" i="31"/>
  <c r="B80" i="31"/>
  <c r="X79" i="31"/>
  <c r="Z79" i="31" s="1"/>
  <c r="V79" i="31"/>
  <c r="N79" i="31"/>
  <c r="L79" i="31"/>
  <c r="B79" i="31"/>
  <c r="Z78" i="31"/>
  <c r="X78" i="31"/>
  <c r="V78" i="31"/>
  <c r="T78" i="31"/>
  <c r="P78" i="31"/>
  <c r="L78" i="31"/>
  <c r="J78" i="31"/>
  <c r="H78" i="31"/>
  <c r="D78" i="31"/>
  <c r="B78" i="31"/>
  <c r="X77" i="31"/>
  <c r="Z77" i="31" s="1"/>
  <c r="V77" i="31"/>
  <c r="N77" i="31"/>
  <c r="L77" i="31"/>
  <c r="B77" i="31"/>
  <c r="X76" i="31"/>
  <c r="Z76" i="31" s="1"/>
  <c r="V76" i="31"/>
  <c r="N76" i="31"/>
  <c r="L76" i="31"/>
  <c r="B76" i="31"/>
  <c r="T75" i="31"/>
  <c r="P75" i="31"/>
  <c r="H75" i="31"/>
  <c r="F75" i="31"/>
  <c r="D75" i="31"/>
  <c r="B75" i="31"/>
  <c r="Z74" i="31"/>
  <c r="X74" i="31"/>
  <c r="N74" i="31"/>
  <c r="L74" i="31"/>
  <c r="J74" i="31"/>
  <c r="B74" i="31"/>
  <c r="X73" i="31"/>
  <c r="Z73" i="31" s="1"/>
  <c r="V73" i="31"/>
  <c r="L73" i="31"/>
  <c r="N73" i="31" s="1"/>
  <c r="B73" i="31"/>
  <c r="Z72" i="31"/>
  <c r="X72" i="31"/>
  <c r="V72" i="31"/>
  <c r="N72" i="31"/>
  <c r="L72" i="31"/>
  <c r="B72" i="31"/>
  <c r="X71" i="31"/>
  <c r="Z71" i="31" s="1"/>
  <c r="V71" i="31"/>
  <c r="T71" i="31"/>
  <c r="P71" i="31"/>
  <c r="J71" i="31"/>
  <c r="H71" i="31"/>
  <c r="D71" i="31"/>
  <c r="L71" i="31" s="1"/>
  <c r="B71" i="31"/>
  <c r="X70" i="31"/>
  <c r="Z70" i="31" s="1"/>
  <c r="L70" i="31"/>
  <c r="N70" i="31" s="1"/>
  <c r="B70" i="31"/>
  <c r="T69" i="31"/>
  <c r="P69" i="31"/>
  <c r="H69" i="31"/>
  <c r="D69" i="31"/>
  <c r="L69" i="31" s="1"/>
  <c r="N69" i="31" s="1"/>
  <c r="B69" i="31"/>
  <c r="Z68" i="31"/>
  <c r="X68" i="31"/>
  <c r="N68" i="31"/>
  <c r="L68" i="31"/>
  <c r="B68" i="31"/>
  <c r="T67" i="31"/>
  <c r="P67" i="31"/>
  <c r="X67" i="31" s="1"/>
  <c r="Z67" i="31" s="1"/>
  <c r="N67" i="31"/>
  <c r="L67" i="31"/>
  <c r="H67" i="31"/>
  <c r="D67" i="31"/>
  <c r="B67" i="31"/>
  <c r="Z66" i="31"/>
  <c r="X66" i="31"/>
  <c r="V66" i="31"/>
  <c r="N66" i="31"/>
  <c r="L66" i="31"/>
  <c r="B66" i="31"/>
  <c r="X65" i="31"/>
  <c r="Z65" i="31" s="1"/>
  <c r="V65" i="31"/>
  <c r="L65" i="31"/>
  <c r="N65" i="31" s="1"/>
  <c r="B65" i="31"/>
  <c r="T64" i="31"/>
  <c r="P64" i="31"/>
  <c r="X64" i="31" s="1"/>
  <c r="Z64" i="31" s="1"/>
  <c r="L64" i="31"/>
  <c r="N64" i="31" s="1"/>
  <c r="H64" i="31"/>
  <c r="D64" i="31"/>
  <c r="B64" i="31"/>
  <c r="X63" i="31"/>
  <c r="Z63" i="31" s="1"/>
  <c r="V63" i="31"/>
  <c r="N63" i="31"/>
  <c r="L63" i="31"/>
  <c r="B63" i="31"/>
  <c r="Z62" i="31"/>
  <c r="X62" i="31"/>
  <c r="V62" i="31"/>
  <c r="T62" i="31"/>
  <c r="P62" i="31"/>
  <c r="L62" i="31"/>
  <c r="H62" i="31"/>
  <c r="D62" i="31"/>
  <c r="B62" i="31"/>
  <c r="X61" i="31"/>
  <c r="Z61" i="31" s="1"/>
  <c r="V61" i="31"/>
  <c r="N61" i="31"/>
  <c r="L61" i="31"/>
  <c r="B61" i="31"/>
  <c r="T60" i="31"/>
  <c r="P60" i="31"/>
  <c r="H60" i="31"/>
  <c r="D60" i="31"/>
  <c r="L60" i="31" s="1"/>
  <c r="B60" i="31"/>
  <c r="Z59" i="31"/>
  <c r="X59" i="31"/>
  <c r="N59" i="31"/>
  <c r="L59" i="31"/>
  <c r="B59" i="31"/>
  <c r="T58" i="31"/>
  <c r="Z58" i="31" s="1"/>
  <c r="P58" i="31"/>
  <c r="X58" i="31" s="1"/>
  <c r="N58" i="31"/>
  <c r="L58" i="31"/>
  <c r="H58" i="31"/>
  <c r="D58" i="31"/>
  <c r="B58" i="31"/>
  <c r="X57" i="31"/>
  <c r="Z57" i="31" s="1"/>
  <c r="V57" i="31"/>
  <c r="L57" i="31"/>
  <c r="N57" i="31" s="1"/>
  <c r="B57" i="31"/>
  <c r="T56" i="31"/>
  <c r="P56" i="31"/>
  <c r="X56" i="31" s="1"/>
  <c r="Z56" i="31" s="1"/>
  <c r="N56" i="31"/>
  <c r="L56" i="31"/>
  <c r="H56" i="31"/>
  <c r="D56" i="31"/>
  <c r="B56" i="31"/>
  <c r="Z55" i="31"/>
  <c r="X55" i="31"/>
  <c r="V55" i="31"/>
  <c r="N55" i="31"/>
  <c r="L55" i="31"/>
  <c r="B55" i="31"/>
  <c r="Z54" i="31"/>
  <c r="X54" i="31"/>
  <c r="V54" i="31"/>
  <c r="N54" i="31"/>
  <c r="L54" i="31"/>
  <c r="B54" i="31"/>
  <c r="X53" i="31"/>
  <c r="Z53" i="31" s="1"/>
  <c r="V53" i="31"/>
  <c r="N53" i="31"/>
  <c r="L53" i="31"/>
  <c r="B53" i="31"/>
  <c r="X52" i="31"/>
  <c r="Z52" i="31" s="1"/>
  <c r="L52" i="31"/>
  <c r="N52" i="31" s="1"/>
  <c r="J52" i="31"/>
  <c r="B52" i="31"/>
  <c r="Z51" i="31"/>
  <c r="X51" i="31"/>
  <c r="N51" i="31"/>
  <c r="L51" i="31"/>
  <c r="J51" i="31"/>
  <c r="B51" i="31"/>
  <c r="X50" i="31"/>
  <c r="Z50" i="31" s="1"/>
  <c r="N50" i="31"/>
  <c r="L50" i="31"/>
  <c r="J50" i="31"/>
  <c r="F50" i="31"/>
  <c r="B50" i="31"/>
  <c r="X49" i="31"/>
  <c r="Z49" i="31" s="1"/>
  <c r="V49" i="31"/>
  <c r="N49" i="31"/>
  <c r="L49" i="31"/>
  <c r="J49" i="31"/>
  <c r="B49" i="31"/>
  <c r="Z48" i="31"/>
  <c r="X48" i="31"/>
  <c r="V48" i="31"/>
  <c r="N48" i="31"/>
  <c r="L48" i="31"/>
  <c r="B48" i="31"/>
  <c r="X47" i="31"/>
  <c r="Z47" i="31" s="1"/>
  <c r="V47" i="31"/>
  <c r="N47" i="31"/>
  <c r="L47" i="31"/>
  <c r="B47" i="31"/>
  <c r="Z46" i="31"/>
  <c r="X46" i="31"/>
  <c r="V46" i="31"/>
  <c r="N46" i="31"/>
  <c r="L46" i="31"/>
  <c r="B46" i="31"/>
  <c r="X45" i="31"/>
  <c r="Z45" i="31" s="1"/>
  <c r="V45" i="31"/>
  <c r="T45" i="31"/>
  <c r="P45" i="31"/>
  <c r="H45" i="31"/>
  <c r="F45" i="31"/>
  <c r="D45" i="31"/>
  <c r="B45" i="31"/>
  <c r="X44" i="31"/>
  <c r="Z44" i="31" s="1"/>
  <c r="V44" i="31"/>
  <c r="L44" i="31"/>
  <c r="N44" i="31" s="1"/>
  <c r="B44" i="31"/>
  <c r="Z43" i="31"/>
  <c r="X43" i="31"/>
  <c r="V43" i="31"/>
  <c r="N43" i="31"/>
  <c r="L43" i="31"/>
  <c r="B43" i="31"/>
  <c r="Z42" i="31"/>
  <c r="X42" i="31"/>
  <c r="V42" i="31"/>
  <c r="L42" i="31"/>
  <c r="N42" i="31" s="1"/>
  <c r="B42" i="31"/>
  <c r="Z41" i="31"/>
  <c r="X41" i="31"/>
  <c r="V41" i="31"/>
  <c r="N41" i="31"/>
  <c r="L41" i="31"/>
  <c r="B41" i="31"/>
  <c r="Z40" i="31"/>
  <c r="X40" i="31"/>
  <c r="N40" i="31"/>
  <c r="L40" i="31"/>
  <c r="J40" i="31"/>
  <c r="B40" i="31"/>
  <c r="Z39" i="31"/>
  <c r="X39" i="31"/>
  <c r="L39" i="31"/>
  <c r="N39" i="31" s="1"/>
  <c r="J39" i="31"/>
  <c r="B39" i="31"/>
  <c r="X38" i="31"/>
  <c r="Z38" i="31" s="1"/>
  <c r="V38" i="31"/>
  <c r="L38" i="31"/>
  <c r="N38" i="31" s="1"/>
  <c r="J38" i="31"/>
  <c r="B38" i="31"/>
  <c r="X37" i="31"/>
  <c r="Z37" i="31" s="1"/>
  <c r="V37" i="31"/>
  <c r="L37" i="31"/>
  <c r="N37" i="31" s="1"/>
  <c r="J37" i="31"/>
  <c r="B37" i="31"/>
  <c r="X36" i="31"/>
  <c r="Z36" i="31" s="1"/>
  <c r="V36" i="31"/>
  <c r="L36" i="31"/>
  <c r="N36" i="31" s="1"/>
  <c r="B36" i="31"/>
  <c r="Z35" i="31"/>
  <c r="X35" i="31"/>
  <c r="V35" i="31"/>
  <c r="N35" i="31"/>
  <c r="L35" i="31"/>
  <c r="B35" i="31"/>
  <c r="Z34" i="31"/>
  <c r="X34" i="31"/>
  <c r="V34" i="31"/>
  <c r="T34" i="31"/>
  <c r="P34" i="31"/>
  <c r="H34" i="31"/>
  <c r="F34" i="31"/>
  <c r="D34" i="31"/>
  <c r="B34" i="31"/>
  <c r="T33" i="31" a="1"/>
  <c r="T33" i="31" s="1"/>
  <c r="P33" i="31" a="1"/>
  <c r="P33" i="31" s="1"/>
  <c r="X33" i="31" s="1"/>
  <c r="H33" i="31" a="1"/>
  <c r="H33" i="31" s="1"/>
  <c r="D33" i="31" a="1"/>
  <c r="D33" i="31" s="1"/>
  <c r="T31" i="31"/>
  <c r="Z29" i="31"/>
  <c r="X29" i="31"/>
  <c r="V29" i="31"/>
  <c r="N29" i="31"/>
  <c r="L29" i="31"/>
  <c r="J29" i="31"/>
  <c r="B29" i="31"/>
  <c r="Z28" i="31"/>
  <c r="X28" i="31"/>
  <c r="N28" i="31"/>
  <c r="L28" i="31"/>
  <c r="J28" i="31"/>
  <c r="B28" i="31"/>
  <c r="Z27" i="31"/>
  <c r="X27" i="31"/>
  <c r="N27" i="31"/>
  <c r="L27" i="31"/>
  <c r="J27" i="31"/>
  <c r="B27" i="31"/>
  <c r="Z26" i="31"/>
  <c r="X26" i="31"/>
  <c r="V26" i="31"/>
  <c r="N26" i="31"/>
  <c r="L26" i="31"/>
  <c r="J26" i="31"/>
  <c r="B26" i="31"/>
  <c r="Z25" i="31"/>
  <c r="X25" i="31"/>
  <c r="V25" i="31"/>
  <c r="N25" i="31"/>
  <c r="L25" i="31"/>
  <c r="J25" i="31"/>
  <c r="B25" i="31"/>
  <c r="Z24" i="31"/>
  <c r="X24" i="31"/>
  <c r="V24" i="31"/>
  <c r="N24" i="31"/>
  <c r="L24" i="31"/>
  <c r="B24" i="31"/>
  <c r="Z23" i="31"/>
  <c r="X23" i="31"/>
  <c r="V23" i="31"/>
  <c r="N23" i="31"/>
  <c r="L23" i="31"/>
  <c r="B23" i="31"/>
  <c r="Z22" i="31"/>
  <c r="X22" i="31"/>
  <c r="V22" i="31"/>
  <c r="N22" i="31"/>
  <c r="L22" i="31"/>
  <c r="F22" i="31"/>
  <c r="B22" i="31"/>
  <c r="Z21" i="31"/>
  <c r="X21" i="31"/>
  <c r="V21" i="31"/>
  <c r="N21" i="31"/>
  <c r="L21" i="31"/>
  <c r="J21" i="31"/>
  <c r="F21" i="31"/>
  <c r="B21" i="31"/>
  <c r="Z20" i="31"/>
  <c r="X20" i="31"/>
  <c r="L20" i="31"/>
  <c r="N20" i="31" s="1"/>
  <c r="J20" i="31"/>
  <c r="B20" i="31"/>
  <c r="Z19" i="31"/>
  <c r="T19" i="31"/>
  <c r="P19" i="31"/>
  <c r="X19" i="31" s="1"/>
  <c r="L19" i="31"/>
  <c r="N19" i="31" s="1"/>
  <c r="J19" i="31"/>
  <c r="H19" i="31"/>
  <c r="D19" i="31"/>
  <c r="Z17" i="31"/>
  <c r="X17" i="31"/>
  <c r="P17" i="31"/>
  <c r="N17" i="31"/>
  <c r="L17" i="31"/>
  <c r="D17" i="31"/>
  <c r="B17" i="31"/>
  <c r="Z16" i="31"/>
  <c r="X16" i="31"/>
  <c r="P16" i="31"/>
  <c r="N16" i="31"/>
  <c r="D16" i="31"/>
  <c r="L16" i="31" s="1"/>
  <c r="B16" i="31"/>
  <c r="Z15" i="31"/>
  <c r="P15" i="31"/>
  <c r="X15" i="31" s="1"/>
  <c r="N15" i="31"/>
  <c r="L15" i="31"/>
  <c r="D15" i="31"/>
  <c r="B15" i="31"/>
  <c r="Z14" i="31"/>
  <c r="P14" i="31"/>
  <c r="X14" i="31" s="1"/>
  <c r="N14" i="31"/>
  <c r="L14" i="31"/>
  <c r="D14" i="31"/>
  <c r="D12" i="31" s="1"/>
  <c r="F89" i="31" s="1"/>
  <c r="B14" i="31"/>
  <c r="Z13" i="31"/>
  <c r="P13" i="31"/>
  <c r="X13" i="31" s="1"/>
  <c r="L13" i="31"/>
  <c r="N13" i="31" s="1"/>
  <c r="D13" i="31"/>
  <c r="B13" i="31"/>
  <c r="T12" i="31"/>
  <c r="V88" i="31" s="1"/>
  <c r="H12" i="31"/>
  <c r="D6" i="31"/>
  <c r="D4" i="31"/>
  <c r="Z61" i="30"/>
  <c r="X61" i="30"/>
  <c r="R61" i="30"/>
  <c r="N61" i="30"/>
  <c r="L61" i="30"/>
  <c r="T57" i="30"/>
  <c r="P57" i="30"/>
  <c r="L57" i="30"/>
  <c r="H57" i="30"/>
  <c r="N57" i="30" s="1"/>
  <c r="D57" i="30"/>
  <c r="Z55" i="30"/>
  <c r="X55" i="30"/>
  <c r="N55" i="30"/>
  <c r="L55" i="30"/>
  <c r="B55" i="30"/>
  <c r="T54" i="30"/>
  <c r="Z54" i="30" s="1"/>
  <c r="P54" i="30"/>
  <c r="N54" i="30"/>
  <c r="H54" i="30"/>
  <c r="D54" i="30"/>
  <c r="L54" i="30" s="1"/>
  <c r="B54" i="30"/>
  <c r="Z53" i="30"/>
  <c r="X53" i="30"/>
  <c r="N53" i="30"/>
  <c r="L53" i="30"/>
  <c r="B53" i="30"/>
  <c r="Z52" i="30"/>
  <c r="T52" i="30"/>
  <c r="R52" i="30"/>
  <c r="P52" i="30"/>
  <c r="X52" i="30" s="1"/>
  <c r="N52" i="30"/>
  <c r="L52" i="30"/>
  <c r="H52" i="30"/>
  <c r="D52" i="30"/>
  <c r="B52" i="30"/>
  <c r="Z51" i="30"/>
  <c r="X51" i="30"/>
  <c r="N51" i="30"/>
  <c r="L51" i="30"/>
  <c r="B51" i="30"/>
  <c r="Z50" i="30"/>
  <c r="X50" i="30"/>
  <c r="N50" i="30"/>
  <c r="L50" i="30"/>
  <c r="B50" i="30"/>
  <c r="Z49" i="30"/>
  <c r="X49" i="30"/>
  <c r="T49" i="30"/>
  <c r="P49" i="30"/>
  <c r="H49" i="30"/>
  <c r="D49" i="30"/>
  <c r="B49" i="30"/>
  <c r="Z48" i="30"/>
  <c r="X48" i="30"/>
  <c r="N48" i="30"/>
  <c r="L48" i="30"/>
  <c r="B48" i="30"/>
  <c r="Z47" i="30"/>
  <c r="X47" i="30"/>
  <c r="N47" i="30"/>
  <c r="L47" i="30"/>
  <c r="B47" i="30"/>
  <c r="Z46" i="30"/>
  <c r="X46" i="30"/>
  <c r="T46" i="30"/>
  <c r="P46" i="30"/>
  <c r="L46" i="30"/>
  <c r="J46" i="30"/>
  <c r="H46" i="30"/>
  <c r="N46" i="30" s="1"/>
  <c r="D46" i="30"/>
  <c r="B46" i="30"/>
  <c r="Z45" i="30"/>
  <c r="X45" i="30"/>
  <c r="R45" i="30"/>
  <c r="N45" i="30"/>
  <c r="L45" i="30"/>
  <c r="B45" i="30"/>
  <c r="Z44" i="30"/>
  <c r="X44" i="30"/>
  <c r="N44" i="30"/>
  <c r="L44" i="30"/>
  <c r="B44" i="30"/>
  <c r="T43" i="30"/>
  <c r="Z43" i="30" s="1"/>
  <c r="P43" i="30"/>
  <c r="L43" i="30"/>
  <c r="J43" i="30"/>
  <c r="H43" i="30"/>
  <c r="N43" i="30" s="1"/>
  <c r="D43" i="30"/>
  <c r="B43" i="30"/>
  <c r="Z42" i="30"/>
  <c r="X42" i="30"/>
  <c r="R42" i="30"/>
  <c r="N42" i="30"/>
  <c r="L42" i="30"/>
  <c r="B42" i="30"/>
  <c r="T41" i="30"/>
  <c r="R41" i="30"/>
  <c r="P41" i="30"/>
  <c r="H41" i="30"/>
  <c r="N41" i="30" s="1"/>
  <c r="D41" i="30"/>
  <c r="L41" i="30" s="1"/>
  <c r="B41" i="30"/>
  <c r="Z40" i="30"/>
  <c r="X40" i="30"/>
  <c r="N40" i="30"/>
  <c r="L40" i="30"/>
  <c r="B40" i="30"/>
  <c r="T39" i="30"/>
  <c r="Z39" i="30" s="1"/>
  <c r="R39" i="30"/>
  <c r="P39" i="30"/>
  <c r="X39" i="30" s="1"/>
  <c r="N39" i="30"/>
  <c r="L39" i="30"/>
  <c r="H39" i="30"/>
  <c r="D39" i="30"/>
  <c r="B39" i="30"/>
  <c r="X38" i="30"/>
  <c r="Z38" i="30" s="1"/>
  <c r="V38" i="30"/>
  <c r="L38" i="30"/>
  <c r="N38" i="30" s="1"/>
  <c r="B38" i="30"/>
  <c r="T37" i="30"/>
  <c r="R37" i="30"/>
  <c r="P37" i="30"/>
  <c r="X37" i="30" s="1"/>
  <c r="Z37" i="30" s="1"/>
  <c r="H37" i="30"/>
  <c r="D37" i="30"/>
  <c r="B37" i="30"/>
  <c r="Z36" i="30"/>
  <c r="X36" i="30"/>
  <c r="N36" i="30"/>
  <c r="L36" i="30"/>
  <c r="B36" i="30"/>
  <c r="Z35" i="30"/>
  <c r="X35" i="30"/>
  <c r="T35" i="30"/>
  <c r="P35" i="30"/>
  <c r="J35" i="30"/>
  <c r="H35" i="30"/>
  <c r="D35" i="30"/>
  <c r="B35" i="30"/>
  <c r="Z34" i="30"/>
  <c r="X34" i="30"/>
  <c r="N34" i="30"/>
  <c r="L34" i="30"/>
  <c r="B34" i="30"/>
  <c r="T33" i="30"/>
  <c r="Z33" i="30" s="1"/>
  <c r="P33" i="30"/>
  <c r="X33" i="30" s="1"/>
  <c r="H33" i="30"/>
  <c r="N33" i="30" s="1"/>
  <c r="D33" i="30"/>
  <c r="L33" i="30" s="1"/>
  <c r="B33" i="30"/>
  <c r="Z32" i="30"/>
  <c r="X32" i="30"/>
  <c r="R32" i="30"/>
  <c r="N32" i="30"/>
  <c r="L32" i="30"/>
  <c r="B32" i="30"/>
  <c r="T31" i="30"/>
  <c r="Z31" i="30" s="1"/>
  <c r="R31" i="30"/>
  <c r="P31" i="30"/>
  <c r="N31" i="30"/>
  <c r="H31" i="30"/>
  <c r="D31" i="30"/>
  <c r="L31" i="30" s="1"/>
  <c r="B31" i="30"/>
  <c r="Z30" i="30"/>
  <c r="X30" i="30"/>
  <c r="N30" i="30"/>
  <c r="L30" i="30"/>
  <c r="B30" i="30"/>
  <c r="Z29" i="30"/>
  <c r="X29" i="30"/>
  <c r="N29" i="30"/>
  <c r="L29" i="30"/>
  <c r="B29" i="30"/>
  <c r="Z28" i="30"/>
  <c r="T28" i="30"/>
  <c r="P28" i="30"/>
  <c r="N28" i="30"/>
  <c r="H28" i="30"/>
  <c r="D28" i="30"/>
  <c r="L28" i="30" s="1"/>
  <c r="B28" i="30"/>
  <c r="Z27" i="30"/>
  <c r="X27" i="30"/>
  <c r="N27" i="30"/>
  <c r="L27" i="30"/>
  <c r="J27" i="30"/>
  <c r="B27" i="30"/>
  <c r="Z26" i="30"/>
  <c r="X26" i="30"/>
  <c r="N26" i="30"/>
  <c r="L26" i="30"/>
  <c r="J26" i="30"/>
  <c r="B26" i="30"/>
  <c r="Z25" i="30"/>
  <c r="T25" i="30"/>
  <c r="P25" i="30"/>
  <c r="X25" i="30" s="1"/>
  <c r="N25" i="30"/>
  <c r="L25" i="30"/>
  <c r="H25" i="30"/>
  <c r="D25" i="30"/>
  <c r="B25" i="30"/>
  <c r="T24" i="30" a="1"/>
  <c r="T24" i="30" s="1"/>
  <c r="P24" i="30" a="1"/>
  <c r="P24" i="30" s="1"/>
  <c r="J24" i="30"/>
  <c r="H24" i="30" a="1"/>
  <c r="H24" i="30"/>
  <c r="D24" i="30" a="1"/>
  <c r="D24" i="30" s="1"/>
  <c r="Z20" i="30"/>
  <c r="X20" i="30"/>
  <c r="V20" i="30"/>
  <c r="N20" i="30"/>
  <c r="L20" i="30"/>
  <c r="B20" i="30"/>
  <c r="Z19" i="30"/>
  <c r="X19" i="30"/>
  <c r="N19" i="30"/>
  <c r="L19" i="30"/>
  <c r="B19" i="30"/>
  <c r="Z18" i="30"/>
  <c r="X18" i="30"/>
  <c r="T18" i="30"/>
  <c r="P18" i="30"/>
  <c r="J18" i="30"/>
  <c r="H18" i="30"/>
  <c r="N18" i="30" s="1"/>
  <c r="D18" i="30"/>
  <c r="Z16" i="30"/>
  <c r="X16" i="30"/>
  <c r="P16" i="30"/>
  <c r="N16" i="30"/>
  <c r="D16" i="30"/>
  <c r="L16" i="30" s="1"/>
  <c r="B16" i="30"/>
  <c r="Z15" i="30"/>
  <c r="P15" i="30"/>
  <c r="P12" i="30" s="1"/>
  <c r="R55" i="30" s="1"/>
  <c r="N15" i="30"/>
  <c r="D15" i="30"/>
  <c r="L15" i="30" s="1"/>
  <c r="B15" i="30"/>
  <c r="Z14" i="30"/>
  <c r="X14" i="30"/>
  <c r="P14" i="30"/>
  <c r="N14" i="30"/>
  <c r="L14" i="30"/>
  <c r="D14" i="30"/>
  <c r="B14" i="30"/>
  <c r="Z13" i="30"/>
  <c r="X13" i="30"/>
  <c r="P13" i="30"/>
  <c r="N13" i="30"/>
  <c r="D13" i="30"/>
  <c r="L13" i="30" s="1"/>
  <c r="B13" i="30"/>
  <c r="T12" i="30"/>
  <c r="V42" i="30" s="1"/>
  <c r="H12" i="30"/>
  <c r="J49" i="30" s="1"/>
  <c r="D6" i="30"/>
  <c r="D4" i="30"/>
  <c r="F91" i="29"/>
  <c r="Z89" i="29"/>
  <c r="X89" i="29"/>
  <c r="N89" i="29"/>
  <c r="L89" i="29"/>
  <c r="T85" i="29"/>
  <c r="Z85" i="29" s="1"/>
  <c r="P85" i="29"/>
  <c r="H85" i="29"/>
  <c r="N85" i="29" s="1"/>
  <c r="F85" i="29"/>
  <c r="D85" i="29"/>
  <c r="L85" i="29" s="1"/>
  <c r="Z83" i="29"/>
  <c r="X83" i="29"/>
  <c r="N83" i="29"/>
  <c r="L83" i="29"/>
  <c r="F83" i="29"/>
  <c r="B83" i="29"/>
  <c r="T82" i="29"/>
  <c r="P82" i="29"/>
  <c r="X82" i="29" s="1"/>
  <c r="L82" i="29"/>
  <c r="N82" i="29" s="1"/>
  <c r="H82" i="29"/>
  <c r="D82" i="29"/>
  <c r="B82" i="29"/>
  <c r="Z81" i="29"/>
  <c r="X81" i="29"/>
  <c r="V81" i="29"/>
  <c r="N81" i="29"/>
  <c r="L81" i="29"/>
  <c r="B81" i="29"/>
  <c r="X80" i="29"/>
  <c r="Z80" i="29" s="1"/>
  <c r="L80" i="29"/>
  <c r="N80" i="29" s="1"/>
  <c r="B80" i="29"/>
  <c r="Z79" i="29"/>
  <c r="X79" i="29"/>
  <c r="N79" i="29"/>
  <c r="L79" i="29"/>
  <c r="J79" i="29"/>
  <c r="B79" i="29"/>
  <c r="Z78" i="29"/>
  <c r="X78" i="29"/>
  <c r="N78" i="29"/>
  <c r="L78" i="29"/>
  <c r="J78" i="29"/>
  <c r="B78" i="29"/>
  <c r="V77" i="29"/>
  <c r="T77" i="29"/>
  <c r="Z77" i="29" s="1"/>
  <c r="P77" i="29"/>
  <c r="X77" i="29" s="1"/>
  <c r="N77" i="29"/>
  <c r="H77" i="29"/>
  <c r="D77" i="29"/>
  <c r="L77" i="29" s="1"/>
  <c r="B77" i="29"/>
  <c r="Z76" i="29"/>
  <c r="X76" i="29"/>
  <c r="N76" i="29"/>
  <c r="L76" i="29"/>
  <c r="F76" i="29"/>
  <c r="B76" i="29"/>
  <c r="Z75" i="29"/>
  <c r="T75" i="29"/>
  <c r="P75" i="29"/>
  <c r="X75" i="29" s="1"/>
  <c r="N75" i="29"/>
  <c r="L75" i="29"/>
  <c r="J75" i="29"/>
  <c r="H75" i="29"/>
  <c r="D75" i="29"/>
  <c r="B75" i="29"/>
  <c r="Z74" i="29"/>
  <c r="X74" i="29"/>
  <c r="V74" i="29"/>
  <c r="N74" i="29"/>
  <c r="L74" i="29"/>
  <c r="B74" i="29"/>
  <c r="Z73" i="29"/>
  <c r="X73" i="29"/>
  <c r="V73" i="29"/>
  <c r="N73" i="29"/>
  <c r="L73" i="29"/>
  <c r="B73" i="29"/>
  <c r="Z72" i="29"/>
  <c r="X72" i="29"/>
  <c r="T72" i="29"/>
  <c r="P72" i="29"/>
  <c r="L72" i="29"/>
  <c r="J72" i="29"/>
  <c r="H72" i="29"/>
  <c r="N72" i="29" s="1"/>
  <c r="D72" i="29"/>
  <c r="B72" i="29"/>
  <c r="Z71" i="29"/>
  <c r="X71" i="29"/>
  <c r="V71" i="29"/>
  <c r="N71" i="29"/>
  <c r="L71" i="29"/>
  <c r="B71" i="29"/>
  <c r="Z70" i="29"/>
  <c r="X70" i="29"/>
  <c r="V70" i="29"/>
  <c r="N70" i="29"/>
  <c r="L70" i="29"/>
  <c r="B70" i="29"/>
  <c r="Z69" i="29"/>
  <c r="X69" i="29"/>
  <c r="V69" i="29"/>
  <c r="T69" i="29"/>
  <c r="P69" i="29"/>
  <c r="N69" i="29"/>
  <c r="H69" i="29"/>
  <c r="L69" i="29" s="1"/>
  <c r="D69" i="29"/>
  <c r="B69" i="29"/>
  <c r="X68" i="29"/>
  <c r="Z68" i="29" s="1"/>
  <c r="N68" i="29"/>
  <c r="L68" i="29"/>
  <c r="B68" i="29"/>
  <c r="Z67" i="29"/>
  <c r="V67" i="29"/>
  <c r="T67" i="29"/>
  <c r="X67" i="29" s="1"/>
  <c r="P67" i="29"/>
  <c r="J67" i="29"/>
  <c r="H67" i="29"/>
  <c r="D67" i="29"/>
  <c r="L67" i="29" s="1"/>
  <c r="B67" i="29"/>
  <c r="Z66" i="29"/>
  <c r="X66" i="29"/>
  <c r="N66" i="29"/>
  <c r="L66" i="29"/>
  <c r="B66" i="29"/>
  <c r="V65" i="29"/>
  <c r="T65" i="29"/>
  <c r="Z65" i="29" s="1"/>
  <c r="P65" i="29"/>
  <c r="X65" i="29" s="1"/>
  <c r="N65" i="29"/>
  <c r="H65" i="29"/>
  <c r="D65" i="29"/>
  <c r="L65" i="29" s="1"/>
  <c r="B65" i="29"/>
  <c r="Z64" i="29"/>
  <c r="X64" i="29"/>
  <c r="N64" i="29"/>
  <c r="L64" i="29"/>
  <c r="B64" i="29"/>
  <c r="Z63" i="29"/>
  <c r="T63" i="29"/>
  <c r="P63" i="29"/>
  <c r="X63" i="29" s="1"/>
  <c r="N63" i="29"/>
  <c r="L63" i="29"/>
  <c r="H63" i="29"/>
  <c r="D63" i="29"/>
  <c r="B63" i="29"/>
  <c r="Z62" i="29"/>
  <c r="X62" i="29"/>
  <c r="V62" i="29"/>
  <c r="N62" i="29"/>
  <c r="L62" i="29"/>
  <c r="B62" i="29"/>
  <c r="Z61" i="29"/>
  <c r="X61" i="29"/>
  <c r="V61" i="29"/>
  <c r="N61" i="29"/>
  <c r="L61" i="29"/>
  <c r="J61" i="29"/>
  <c r="B61" i="29"/>
  <c r="Z60" i="29"/>
  <c r="T60" i="29"/>
  <c r="P60" i="29"/>
  <c r="X60" i="29" s="1"/>
  <c r="H60" i="29"/>
  <c r="N60" i="29" s="1"/>
  <c r="D60" i="29"/>
  <c r="B60" i="29"/>
  <c r="Z59" i="29"/>
  <c r="X59" i="29"/>
  <c r="V59" i="29"/>
  <c r="N59" i="29"/>
  <c r="L59" i="29"/>
  <c r="B59" i="29"/>
  <c r="T58" i="29"/>
  <c r="P58" i="29"/>
  <c r="H58" i="29"/>
  <c r="D58" i="29"/>
  <c r="L58" i="29" s="1"/>
  <c r="B58" i="29"/>
  <c r="Z57" i="29"/>
  <c r="X57" i="29"/>
  <c r="V57" i="29"/>
  <c r="L57" i="29"/>
  <c r="N57" i="29" s="1"/>
  <c r="J57" i="29"/>
  <c r="B57" i="29"/>
  <c r="T56" i="29"/>
  <c r="P56" i="29"/>
  <c r="X56" i="29" s="1"/>
  <c r="H56" i="29"/>
  <c r="D56" i="29"/>
  <c r="L56" i="29" s="1"/>
  <c r="B56" i="29"/>
  <c r="Z55" i="29"/>
  <c r="X55" i="29"/>
  <c r="N55" i="29"/>
  <c r="L55" i="29"/>
  <c r="J55" i="29"/>
  <c r="B55" i="29"/>
  <c r="T54" i="29"/>
  <c r="P54" i="29"/>
  <c r="X54" i="29" s="1"/>
  <c r="H54" i="29"/>
  <c r="D54" i="29"/>
  <c r="L54" i="29" s="1"/>
  <c r="N54" i="29" s="1"/>
  <c r="B54" i="29"/>
  <c r="Z53" i="29"/>
  <c r="X53" i="29"/>
  <c r="V53" i="29"/>
  <c r="N53" i="29"/>
  <c r="L53" i="29"/>
  <c r="J53" i="29"/>
  <c r="B53" i="29"/>
  <c r="Z52" i="29"/>
  <c r="X52" i="29"/>
  <c r="N52" i="29"/>
  <c r="L52" i="29"/>
  <c r="B52" i="29"/>
  <c r="Z51" i="29"/>
  <c r="X51" i="29"/>
  <c r="N51" i="29"/>
  <c r="L51" i="29"/>
  <c r="J51" i="29"/>
  <c r="F51" i="29"/>
  <c r="B51" i="29"/>
  <c r="X50" i="29"/>
  <c r="Z50" i="29" s="1"/>
  <c r="L50" i="29"/>
  <c r="N50" i="29" s="1"/>
  <c r="B50" i="29"/>
  <c r="Z49" i="29"/>
  <c r="X49" i="29"/>
  <c r="V49" i="29"/>
  <c r="N49" i="29"/>
  <c r="L49" i="29"/>
  <c r="B49" i="29"/>
  <c r="Z48" i="29"/>
  <c r="X48" i="29"/>
  <c r="N48" i="29"/>
  <c r="L48" i="29"/>
  <c r="B48" i="29"/>
  <c r="Z47" i="29"/>
  <c r="X47" i="29"/>
  <c r="V47" i="29"/>
  <c r="N47" i="29"/>
  <c r="L47" i="29"/>
  <c r="B47" i="29"/>
  <c r="Z46" i="29"/>
  <c r="X46" i="29"/>
  <c r="V46" i="29"/>
  <c r="N46" i="29"/>
  <c r="L46" i="29"/>
  <c r="B46" i="29"/>
  <c r="Z45" i="29"/>
  <c r="X45" i="29"/>
  <c r="V45" i="29"/>
  <c r="N45" i="29"/>
  <c r="L45" i="29"/>
  <c r="B45" i="29"/>
  <c r="Z44" i="29"/>
  <c r="X44" i="29"/>
  <c r="N44" i="29"/>
  <c r="L44" i="29"/>
  <c r="B44" i="29"/>
  <c r="T43" i="29"/>
  <c r="P43" i="29"/>
  <c r="X43" i="29" s="1"/>
  <c r="Z43" i="29" s="1"/>
  <c r="L43" i="29"/>
  <c r="N43" i="29" s="1"/>
  <c r="J43" i="29"/>
  <c r="H43" i="29"/>
  <c r="D43" i="29"/>
  <c r="B43" i="29"/>
  <c r="Z42" i="29"/>
  <c r="X42" i="29"/>
  <c r="V42" i="29"/>
  <c r="N42" i="29"/>
  <c r="L42" i="29"/>
  <c r="B42" i="29"/>
  <c r="X41" i="29"/>
  <c r="Z41" i="29" s="1"/>
  <c r="V41" i="29"/>
  <c r="N41" i="29"/>
  <c r="L41" i="29"/>
  <c r="J41" i="29"/>
  <c r="B41" i="29"/>
  <c r="Z40" i="29"/>
  <c r="X40" i="29"/>
  <c r="N40" i="29"/>
  <c r="L40" i="29"/>
  <c r="B40" i="29"/>
  <c r="Z39" i="29"/>
  <c r="X39" i="29"/>
  <c r="N39" i="29"/>
  <c r="L39" i="29"/>
  <c r="J39" i="29"/>
  <c r="B39" i="29"/>
  <c r="Z38" i="29"/>
  <c r="X38" i="29"/>
  <c r="N38" i="29"/>
  <c r="L38" i="29"/>
  <c r="J38" i="29"/>
  <c r="B38" i="29"/>
  <c r="Z37" i="29"/>
  <c r="X37" i="29"/>
  <c r="V37" i="29"/>
  <c r="L37" i="29"/>
  <c r="N37" i="29" s="1"/>
  <c r="J37" i="29"/>
  <c r="B37" i="29"/>
  <c r="Z36" i="29"/>
  <c r="X36" i="29"/>
  <c r="N36" i="29"/>
  <c r="L36" i="29"/>
  <c r="B36" i="29"/>
  <c r="Z35" i="29"/>
  <c r="X35" i="29"/>
  <c r="V35" i="29"/>
  <c r="N35" i="29"/>
  <c r="L35" i="29"/>
  <c r="B35" i="29"/>
  <c r="X34" i="29"/>
  <c r="Z34" i="29" s="1"/>
  <c r="V34" i="29"/>
  <c r="L34" i="29"/>
  <c r="N34" i="29" s="1"/>
  <c r="B34" i="29"/>
  <c r="X33" i="29"/>
  <c r="Z33" i="29" s="1"/>
  <c r="V33" i="29"/>
  <c r="T33" i="29"/>
  <c r="P33" i="29"/>
  <c r="H33" i="29"/>
  <c r="L33" i="29" s="1"/>
  <c r="D33" i="29"/>
  <c r="B33" i="29"/>
  <c r="T32" i="29" a="1"/>
  <c r="T32" i="29" s="1"/>
  <c r="P32" i="29" a="1"/>
  <c r="P32" i="29" s="1"/>
  <c r="H32" i="29" a="1"/>
  <c r="H32" i="29"/>
  <c r="F32" i="29"/>
  <c r="D32" i="29" a="1"/>
  <c r="D32" i="29" s="1"/>
  <c r="T30" i="29"/>
  <c r="H30" i="29"/>
  <c r="Z28" i="29"/>
  <c r="X28" i="29"/>
  <c r="V28" i="29"/>
  <c r="N28" i="29"/>
  <c r="L28" i="29"/>
  <c r="B28" i="29"/>
  <c r="Z27" i="29"/>
  <c r="X27" i="29"/>
  <c r="V27" i="29"/>
  <c r="N27" i="29"/>
  <c r="L27" i="29"/>
  <c r="J27" i="29"/>
  <c r="B27" i="29"/>
  <c r="Z26" i="29"/>
  <c r="X26" i="29"/>
  <c r="N26" i="29"/>
  <c r="L26" i="29"/>
  <c r="J26" i="29"/>
  <c r="B26" i="29"/>
  <c r="Z25" i="29"/>
  <c r="X25" i="29"/>
  <c r="V25" i="29"/>
  <c r="N25" i="29"/>
  <c r="L25" i="29"/>
  <c r="J25" i="29"/>
  <c r="B25" i="29"/>
  <c r="Z24" i="29"/>
  <c r="X24" i="29"/>
  <c r="V24" i="29"/>
  <c r="N24" i="29"/>
  <c r="L24" i="29"/>
  <c r="B24" i="29"/>
  <c r="Z23" i="29"/>
  <c r="X23" i="29"/>
  <c r="V23" i="29"/>
  <c r="R23" i="29"/>
  <c r="N23" i="29"/>
  <c r="L23" i="29"/>
  <c r="B23" i="29"/>
  <c r="Z22" i="29"/>
  <c r="X22" i="29"/>
  <c r="V22" i="29"/>
  <c r="N22" i="29"/>
  <c r="L22" i="29"/>
  <c r="B22" i="29"/>
  <c r="Z21" i="29"/>
  <c r="X21" i="29"/>
  <c r="V21" i="29"/>
  <c r="N21" i="29"/>
  <c r="L21" i="29"/>
  <c r="B21" i="29"/>
  <c r="Z20" i="29"/>
  <c r="X20" i="29"/>
  <c r="V20" i="29"/>
  <c r="N20" i="29"/>
  <c r="L20" i="29"/>
  <c r="F20" i="29"/>
  <c r="B20" i="29"/>
  <c r="Z19" i="29"/>
  <c r="X19" i="29"/>
  <c r="V19" i="29"/>
  <c r="N19" i="29"/>
  <c r="L19" i="29"/>
  <c r="J19" i="29"/>
  <c r="F19" i="29"/>
  <c r="B19" i="29"/>
  <c r="T18" i="29"/>
  <c r="P18" i="29"/>
  <c r="X18" i="29" s="1"/>
  <c r="H18" i="29"/>
  <c r="D18" i="29"/>
  <c r="L18" i="29" s="1"/>
  <c r="N18" i="29" s="1"/>
  <c r="Z16" i="29"/>
  <c r="P16" i="29"/>
  <c r="X16" i="29" s="1"/>
  <c r="N16" i="29"/>
  <c r="L16" i="29"/>
  <c r="D16" i="29"/>
  <c r="B16" i="29"/>
  <c r="Z15" i="29"/>
  <c r="P15" i="29"/>
  <c r="X15" i="29" s="1"/>
  <c r="N15" i="29"/>
  <c r="L15" i="29"/>
  <c r="D15" i="29"/>
  <c r="B15" i="29"/>
  <c r="X14" i="29"/>
  <c r="Z14" i="29" s="1"/>
  <c r="P14" i="29"/>
  <c r="N14" i="29"/>
  <c r="L14" i="29"/>
  <c r="D14" i="29"/>
  <c r="B14" i="29"/>
  <c r="P13" i="29"/>
  <c r="X13" i="29" s="1"/>
  <c r="Z13" i="29" s="1"/>
  <c r="L13" i="29"/>
  <c r="N13" i="29" s="1"/>
  <c r="D13" i="29"/>
  <c r="B13" i="29"/>
  <c r="T12" i="29"/>
  <c r="V80" i="29" s="1"/>
  <c r="P12" i="29"/>
  <c r="H12" i="29"/>
  <c r="D12" i="29"/>
  <c r="F62" i="29" s="1"/>
  <c r="D6" i="29"/>
  <c r="D4" i="29"/>
  <c r="R109" i="28"/>
  <c r="Z104" i="28"/>
  <c r="X104" i="28"/>
  <c r="R104" i="28"/>
  <c r="N104" i="28"/>
  <c r="L104" i="28"/>
  <c r="X100" i="28"/>
  <c r="Z100" i="28" s="1"/>
  <c r="P100" i="28"/>
  <c r="N100" i="28"/>
  <c r="D100" i="28"/>
  <c r="L100" i="28" s="1"/>
  <c r="B100" i="28"/>
  <c r="P99" i="28"/>
  <c r="L99" i="28"/>
  <c r="N99" i="28" s="1"/>
  <c r="D99" i="28"/>
  <c r="B99" i="28"/>
  <c r="T98" i="28"/>
  <c r="H98" i="28"/>
  <c r="X96" i="28"/>
  <c r="Z96" i="28" s="1"/>
  <c r="R96" i="28"/>
  <c r="L96" i="28"/>
  <c r="N96" i="28" s="1"/>
  <c r="B96" i="28"/>
  <c r="V95" i="28"/>
  <c r="T95" i="28"/>
  <c r="P95" i="28"/>
  <c r="X95" i="28" s="1"/>
  <c r="Z95" i="28" s="1"/>
  <c r="N95" i="28"/>
  <c r="L95" i="28"/>
  <c r="H95" i="28"/>
  <c r="D95" i="28"/>
  <c r="B95" i="28"/>
  <c r="Z94" i="28"/>
  <c r="X94" i="28"/>
  <c r="N94" i="28"/>
  <c r="L94" i="28"/>
  <c r="B94" i="28"/>
  <c r="Z93" i="28"/>
  <c r="X93" i="28"/>
  <c r="N93" i="28"/>
  <c r="L93" i="28"/>
  <c r="B93" i="28"/>
  <c r="Z92" i="28"/>
  <c r="X92" i="28"/>
  <c r="L92" i="28"/>
  <c r="N92" i="28" s="1"/>
  <c r="B92" i="28"/>
  <c r="T91" i="28"/>
  <c r="R91" i="28"/>
  <c r="P91" i="28"/>
  <c r="X91" i="28" s="1"/>
  <c r="Z91" i="28" s="1"/>
  <c r="N91" i="28"/>
  <c r="L91" i="28"/>
  <c r="H91" i="28"/>
  <c r="D91" i="28"/>
  <c r="B91" i="28"/>
  <c r="Z90" i="28"/>
  <c r="X90" i="28"/>
  <c r="N90" i="28"/>
  <c r="L90" i="28"/>
  <c r="B90" i="28"/>
  <c r="Z89" i="28"/>
  <c r="X89" i="28"/>
  <c r="T89" i="28"/>
  <c r="P89" i="28"/>
  <c r="N89" i="28"/>
  <c r="L89" i="28"/>
  <c r="H89" i="28"/>
  <c r="D89" i="28"/>
  <c r="B89" i="28"/>
  <c r="X88" i="28"/>
  <c r="Z88" i="28" s="1"/>
  <c r="R88" i="28"/>
  <c r="N88" i="28"/>
  <c r="L88" i="28"/>
  <c r="B88" i="28"/>
  <c r="Z87" i="28"/>
  <c r="X87" i="28"/>
  <c r="T87" i="28"/>
  <c r="P87" i="28"/>
  <c r="H87" i="28"/>
  <c r="D87" i="28"/>
  <c r="B87" i="28"/>
  <c r="X86" i="28"/>
  <c r="Z86" i="28" s="1"/>
  <c r="R86" i="28"/>
  <c r="L86" i="28"/>
  <c r="N86" i="28" s="1"/>
  <c r="B86" i="28"/>
  <c r="Z85" i="28"/>
  <c r="X85" i="28"/>
  <c r="R85" i="28"/>
  <c r="N85" i="28"/>
  <c r="L85" i="28"/>
  <c r="B85" i="28"/>
  <c r="X84" i="28"/>
  <c r="Z84" i="28" s="1"/>
  <c r="V84" i="28"/>
  <c r="L84" i="28"/>
  <c r="N84" i="28" s="1"/>
  <c r="B84" i="28"/>
  <c r="Z83" i="28"/>
  <c r="X83" i="28"/>
  <c r="V83" i="28"/>
  <c r="N83" i="28"/>
  <c r="L83" i="28"/>
  <c r="B83" i="28"/>
  <c r="Z82" i="28"/>
  <c r="X82" i="28"/>
  <c r="L82" i="28"/>
  <c r="N82" i="28" s="1"/>
  <c r="B82" i="28"/>
  <c r="Z81" i="28"/>
  <c r="X81" i="28"/>
  <c r="N81" i="28"/>
  <c r="L81" i="28"/>
  <c r="B81" i="28"/>
  <c r="T80" i="28"/>
  <c r="P80" i="28"/>
  <c r="L80" i="28"/>
  <c r="N80" i="28" s="1"/>
  <c r="H80" i="28"/>
  <c r="D80" i="28"/>
  <c r="B80" i="28"/>
  <c r="X79" i="28"/>
  <c r="Z79" i="28" s="1"/>
  <c r="N79" i="28"/>
  <c r="L79" i="28"/>
  <c r="B79" i="28"/>
  <c r="X78" i="28"/>
  <c r="Z78" i="28" s="1"/>
  <c r="T78" i="28"/>
  <c r="P78" i="28"/>
  <c r="H78" i="28"/>
  <c r="N78" i="28" s="1"/>
  <c r="D78" i="28"/>
  <c r="B78" i="28"/>
  <c r="Z77" i="28"/>
  <c r="X77" i="28"/>
  <c r="N77" i="28"/>
  <c r="L77" i="28"/>
  <c r="B77" i="28"/>
  <c r="X76" i="28"/>
  <c r="Z76" i="28" s="1"/>
  <c r="V76" i="28"/>
  <c r="R76" i="28"/>
  <c r="L76" i="28"/>
  <c r="N76" i="28" s="1"/>
  <c r="B76" i="28"/>
  <c r="Z75" i="28"/>
  <c r="X75" i="28"/>
  <c r="T75" i="28"/>
  <c r="P75" i="28"/>
  <c r="H75" i="28"/>
  <c r="D75" i="28"/>
  <c r="B75" i="28"/>
  <c r="Z74" i="28"/>
  <c r="X74" i="28"/>
  <c r="N74" i="28"/>
  <c r="L74" i="28"/>
  <c r="B74" i="28"/>
  <c r="Z73" i="28"/>
  <c r="X73" i="28"/>
  <c r="V73" i="28"/>
  <c r="R73" i="28"/>
  <c r="N73" i="28"/>
  <c r="L73" i="28"/>
  <c r="B73" i="28"/>
  <c r="X72" i="28"/>
  <c r="Z72" i="28" s="1"/>
  <c r="L72" i="28"/>
  <c r="N72" i="28" s="1"/>
  <c r="B72" i="28"/>
  <c r="X71" i="28"/>
  <c r="Z71" i="28" s="1"/>
  <c r="N71" i="28"/>
  <c r="L71" i="28"/>
  <c r="B71" i="28"/>
  <c r="T70" i="28"/>
  <c r="P70" i="28"/>
  <c r="X70" i="28" s="1"/>
  <c r="Z70" i="28" s="1"/>
  <c r="H70" i="28"/>
  <c r="D70" i="28"/>
  <c r="B70" i="28"/>
  <c r="Z69" i="28"/>
  <c r="X69" i="28"/>
  <c r="N69" i="28"/>
  <c r="L69" i="28"/>
  <c r="B69" i="28"/>
  <c r="T68" i="28"/>
  <c r="X68" i="28" s="1"/>
  <c r="P68" i="28"/>
  <c r="H68" i="28"/>
  <c r="D68" i="28"/>
  <c r="L68" i="28" s="1"/>
  <c r="B68" i="28"/>
  <c r="Z67" i="28"/>
  <c r="X67" i="28"/>
  <c r="N67" i="28"/>
  <c r="L67" i="28"/>
  <c r="B67" i="28"/>
  <c r="T66" i="28"/>
  <c r="Z66" i="28" s="1"/>
  <c r="R66" i="28"/>
  <c r="P66" i="28"/>
  <c r="X66" i="28" s="1"/>
  <c r="H66" i="28"/>
  <c r="N66" i="28" s="1"/>
  <c r="D66" i="28"/>
  <c r="L66" i="28" s="1"/>
  <c r="B66" i="28"/>
  <c r="Z65" i="28"/>
  <c r="X65" i="28"/>
  <c r="N65" i="28"/>
  <c r="L65" i="28"/>
  <c r="B65" i="28"/>
  <c r="T64" i="28"/>
  <c r="P64" i="28"/>
  <c r="H64" i="28"/>
  <c r="D64" i="28"/>
  <c r="L64" i="28" s="1"/>
  <c r="N64" i="28" s="1"/>
  <c r="B64" i="28"/>
  <c r="X63" i="28"/>
  <c r="Z63" i="28" s="1"/>
  <c r="V63" i="28"/>
  <c r="N63" i="28"/>
  <c r="L63" i="28"/>
  <c r="B63" i="28"/>
  <c r="T62" i="28"/>
  <c r="P62" i="28"/>
  <c r="X62" i="28" s="1"/>
  <c r="Z62" i="28" s="1"/>
  <c r="H62" i="28"/>
  <c r="L62" i="28" s="1"/>
  <c r="D62" i="28"/>
  <c r="B62" i="28"/>
  <c r="Z61" i="28"/>
  <c r="X61" i="28"/>
  <c r="V61" i="28"/>
  <c r="N61" i="28"/>
  <c r="L61" i="28"/>
  <c r="B61" i="28"/>
  <c r="T60" i="28"/>
  <c r="P60" i="28"/>
  <c r="H60" i="28"/>
  <c r="D60" i="28"/>
  <c r="L60" i="28" s="1"/>
  <c r="B60" i="28"/>
  <c r="Z59" i="28"/>
  <c r="X59" i="28"/>
  <c r="V59" i="28"/>
  <c r="L59" i="28"/>
  <c r="N59" i="28" s="1"/>
  <c r="B59" i="28"/>
  <c r="T58" i="28"/>
  <c r="R58" i="28"/>
  <c r="P58" i="28"/>
  <c r="X58" i="28" s="1"/>
  <c r="H58" i="28"/>
  <c r="D58" i="28"/>
  <c r="B58" i="28"/>
  <c r="Z57" i="28"/>
  <c r="X57" i="28"/>
  <c r="N57" i="28"/>
  <c r="L57" i="28"/>
  <c r="B57" i="28"/>
  <c r="T56" i="28"/>
  <c r="P56" i="28"/>
  <c r="X56" i="28" s="1"/>
  <c r="H56" i="28"/>
  <c r="D56" i="28"/>
  <c r="L56" i="28" s="1"/>
  <c r="N56" i="28" s="1"/>
  <c r="B56" i="28"/>
  <c r="X55" i="28"/>
  <c r="Z55" i="28" s="1"/>
  <c r="N55" i="28"/>
  <c r="L55" i="28"/>
  <c r="B55" i="28"/>
  <c r="T54" i="28"/>
  <c r="P54" i="28"/>
  <c r="X54" i="28" s="1"/>
  <c r="Z54" i="28" s="1"/>
  <c r="H54" i="28"/>
  <c r="D54" i="28"/>
  <c r="B54" i="28"/>
  <c r="Z53" i="28"/>
  <c r="X53" i="28"/>
  <c r="N53" i="28"/>
  <c r="L53" i="28"/>
  <c r="B53" i="28"/>
  <c r="Z52" i="28"/>
  <c r="X52" i="28"/>
  <c r="R52" i="28"/>
  <c r="N52" i="28"/>
  <c r="L52" i="28"/>
  <c r="B52" i="28"/>
  <c r="Z51" i="28"/>
  <c r="X51" i="28"/>
  <c r="T51" i="28"/>
  <c r="P51" i="28"/>
  <c r="H51" i="28"/>
  <c r="D51" i="28"/>
  <c r="B51" i="28"/>
  <c r="X50" i="28"/>
  <c r="Z50" i="28" s="1"/>
  <c r="L50" i="28"/>
  <c r="N50" i="28" s="1"/>
  <c r="B50" i="28"/>
  <c r="Z49" i="28"/>
  <c r="X49" i="28"/>
  <c r="R49" i="28"/>
  <c r="N49" i="28"/>
  <c r="L49" i="28"/>
  <c r="B49" i="28"/>
  <c r="X48" i="28"/>
  <c r="T48" i="28"/>
  <c r="P48" i="28"/>
  <c r="H48" i="28"/>
  <c r="D48" i="28"/>
  <c r="L48" i="28" s="1"/>
  <c r="B48" i="28"/>
  <c r="Z47" i="28"/>
  <c r="X47" i="28"/>
  <c r="N47" i="28"/>
  <c r="L47" i="28"/>
  <c r="B47" i="28"/>
  <c r="X46" i="28"/>
  <c r="T46" i="28"/>
  <c r="P46" i="28"/>
  <c r="H46" i="28"/>
  <c r="D46" i="28"/>
  <c r="B46" i="28"/>
  <c r="Z45" i="28"/>
  <c r="X45" i="28"/>
  <c r="N45" i="28"/>
  <c r="L45" i="28"/>
  <c r="B45" i="28"/>
  <c r="T44" i="28"/>
  <c r="P44" i="28"/>
  <c r="X44" i="28" s="1"/>
  <c r="N44" i="28"/>
  <c r="H44" i="28"/>
  <c r="D44" i="28"/>
  <c r="L44" i="28" s="1"/>
  <c r="B44" i="28"/>
  <c r="Z43" i="28"/>
  <c r="X43" i="28"/>
  <c r="V43" i="28"/>
  <c r="N43" i="28"/>
  <c r="L43" i="28"/>
  <c r="B43" i="28"/>
  <c r="Z42" i="28"/>
  <c r="T42" i="28"/>
  <c r="P42" i="28"/>
  <c r="X42" i="28" s="1"/>
  <c r="L42" i="28"/>
  <c r="H42" i="28"/>
  <c r="N42" i="28" s="1"/>
  <c r="D42" i="28"/>
  <c r="B42" i="28"/>
  <c r="Z41" i="28"/>
  <c r="X41" i="28"/>
  <c r="V41" i="28"/>
  <c r="R41" i="28"/>
  <c r="N41" i="28"/>
  <c r="L41" i="28"/>
  <c r="B41" i="28"/>
  <c r="Z40" i="28"/>
  <c r="X40" i="28"/>
  <c r="R40" i="28"/>
  <c r="N40" i="28"/>
  <c r="L40" i="28"/>
  <c r="B40" i="28"/>
  <c r="Z39" i="28"/>
  <c r="X39" i="28"/>
  <c r="N39" i="28"/>
  <c r="L39" i="28"/>
  <c r="B39" i="28"/>
  <c r="X38" i="28"/>
  <c r="Z38" i="28" s="1"/>
  <c r="L38" i="28"/>
  <c r="N38" i="28" s="1"/>
  <c r="B38" i="28"/>
  <c r="Z37" i="28"/>
  <c r="X37" i="28"/>
  <c r="N37" i="28"/>
  <c r="L37" i="28"/>
  <c r="B37" i="28"/>
  <c r="Z36" i="28"/>
  <c r="X36" i="28"/>
  <c r="N36" i="28"/>
  <c r="L36" i="28"/>
  <c r="B36" i="28"/>
  <c r="Z35" i="28"/>
  <c r="X35" i="28"/>
  <c r="L35" i="28"/>
  <c r="N35" i="28" s="1"/>
  <c r="B35" i="28"/>
  <c r="Z34" i="28"/>
  <c r="X34" i="28"/>
  <c r="R34" i="28"/>
  <c r="N34" i="28"/>
  <c r="L34" i="28"/>
  <c r="B34" i="28"/>
  <c r="Z33" i="28"/>
  <c r="X33" i="28"/>
  <c r="R33" i="28"/>
  <c r="N33" i="28"/>
  <c r="L33" i="28"/>
  <c r="B33" i="28"/>
  <c r="X32" i="28"/>
  <c r="Z32" i="28" s="1"/>
  <c r="L32" i="28"/>
  <c r="N32" i="28" s="1"/>
  <c r="B32" i="28"/>
  <c r="X31" i="28"/>
  <c r="Z31" i="28" s="1"/>
  <c r="T31" i="28"/>
  <c r="P31" i="28"/>
  <c r="H31" i="28"/>
  <c r="D31" i="28"/>
  <c r="B31" i="28"/>
  <c r="Z30" i="28"/>
  <c r="X30" i="28"/>
  <c r="R30" i="28"/>
  <c r="N30" i="28"/>
  <c r="L30" i="28"/>
  <c r="B30" i="28"/>
  <c r="Z29" i="28"/>
  <c r="X29" i="28"/>
  <c r="N29" i="28"/>
  <c r="L29" i="28"/>
  <c r="B29" i="28"/>
  <c r="X28" i="28"/>
  <c r="Z28" i="28" s="1"/>
  <c r="R28" i="28"/>
  <c r="L28" i="28"/>
  <c r="N28" i="28" s="1"/>
  <c r="B28" i="28"/>
  <c r="Z27" i="28"/>
  <c r="X27" i="28"/>
  <c r="N27" i="28"/>
  <c r="L27" i="28"/>
  <c r="B27" i="28"/>
  <c r="Z26" i="28"/>
  <c r="X26" i="28"/>
  <c r="N26" i="28"/>
  <c r="L26" i="28"/>
  <c r="B26" i="28"/>
  <c r="Z25" i="28"/>
  <c r="X25" i="28"/>
  <c r="L25" i="28"/>
  <c r="N25" i="28" s="1"/>
  <c r="B25" i="28"/>
  <c r="Z24" i="28"/>
  <c r="X24" i="28"/>
  <c r="R24" i="28"/>
  <c r="N24" i="28"/>
  <c r="L24" i="28"/>
  <c r="B24" i="28"/>
  <c r="X23" i="28"/>
  <c r="Z23" i="28" s="1"/>
  <c r="R23" i="28"/>
  <c r="L23" i="28"/>
  <c r="N23" i="28" s="1"/>
  <c r="B23" i="28"/>
  <c r="X22" i="28"/>
  <c r="Z22" i="28" s="1"/>
  <c r="L22" i="28"/>
  <c r="N22" i="28" s="1"/>
  <c r="B22" i="28"/>
  <c r="X21" i="28"/>
  <c r="Z21" i="28" s="1"/>
  <c r="R21" i="28"/>
  <c r="L21" i="28"/>
  <c r="N21" i="28" s="1"/>
  <c r="B21" i="28"/>
  <c r="T20" i="28"/>
  <c r="R20" i="28"/>
  <c r="P20" i="28"/>
  <c r="H20" i="28"/>
  <c r="D20" i="28"/>
  <c r="L20" i="28" s="1"/>
  <c r="N20" i="28" s="1"/>
  <c r="B20" i="28"/>
  <c r="T19" i="28" a="1"/>
  <c r="T19" i="28" s="1"/>
  <c r="R19" i="28"/>
  <c r="P19" i="28" a="1"/>
  <c r="P19" i="28" s="1"/>
  <c r="X19" i="28" s="1"/>
  <c r="Z19" i="28" s="1"/>
  <c r="H19" i="28" a="1"/>
  <c r="H19" i="28" s="1"/>
  <c r="D19" i="28" a="1"/>
  <c r="D19" i="28" s="1"/>
  <c r="L19" i="28" s="1"/>
  <c r="N19" i="28" s="1"/>
  <c r="Z15" i="28"/>
  <c r="X15" i="28"/>
  <c r="V15" i="28"/>
  <c r="R15" i="28"/>
  <c r="N15" i="28"/>
  <c r="L15" i="28"/>
  <c r="B15" i="28"/>
  <c r="X14" i="28"/>
  <c r="V14" i="28"/>
  <c r="T14" i="28"/>
  <c r="Z14" i="28" s="1"/>
  <c r="R14" i="28"/>
  <c r="P14" i="28"/>
  <c r="P17" i="28" s="1"/>
  <c r="H14" i="28"/>
  <c r="N14" i="28" s="1"/>
  <c r="F14" i="28"/>
  <c r="D14" i="28"/>
  <c r="L14" i="28" s="1"/>
  <c r="T12" i="28"/>
  <c r="V99" i="28" s="1"/>
  <c r="P12" i="28"/>
  <c r="R72" i="28" s="1"/>
  <c r="H12" i="28"/>
  <c r="J67" i="28" s="1"/>
  <c r="D12" i="28"/>
  <c r="F68" i="28" s="1"/>
  <c r="D6" i="28"/>
  <c r="D4" i="28"/>
  <c r="R64" i="27"/>
  <c r="J64" i="27"/>
  <c r="R61" i="27"/>
  <c r="J61" i="27"/>
  <c r="Z59" i="27"/>
  <c r="X59" i="27"/>
  <c r="R59" i="27"/>
  <c r="N59" i="27"/>
  <c r="L59" i="27"/>
  <c r="F59" i="27"/>
  <c r="R57" i="27"/>
  <c r="J57" i="27"/>
  <c r="D57" i="27"/>
  <c r="Z55" i="27"/>
  <c r="X55" i="27"/>
  <c r="T55" i="27"/>
  <c r="R55" i="27"/>
  <c r="P55" i="27"/>
  <c r="J55" i="27"/>
  <c r="H55" i="27"/>
  <c r="N55" i="27" s="1"/>
  <c r="D55" i="27"/>
  <c r="Z53" i="27"/>
  <c r="X53" i="27"/>
  <c r="R53" i="27"/>
  <c r="N53" i="27"/>
  <c r="L53" i="27"/>
  <c r="F53" i="27"/>
  <c r="B53" i="27"/>
  <c r="T52" i="27"/>
  <c r="R52" i="27"/>
  <c r="P52" i="27"/>
  <c r="N52" i="27"/>
  <c r="H52" i="27"/>
  <c r="F52" i="27"/>
  <c r="D52" i="27"/>
  <c r="L52" i="27" s="1"/>
  <c r="B52" i="27"/>
  <c r="X51" i="27"/>
  <c r="Z51" i="27" s="1"/>
  <c r="L51" i="27"/>
  <c r="N51" i="27" s="1"/>
  <c r="J51" i="27"/>
  <c r="F51" i="27"/>
  <c r="B51" i="27"/>
  <c r="X50" i="27"/>
  <c r="Z50" i="27" s="1"/>
  <c r="N50" i="27"/>
  <c r="L50" i="27"/>
  <c r="J50" i="27"/>
  <c r="B50" i="27"/>
  <c r="T49" i="27"/>
  <c r="R49" i="27"/>
  <c r="P49" i="27"/>
  <c r="J49" i="27"/>
  <c r="H49" i="27"/>
  <c r="D49" i="27"/>
  <c r="L49" i="27" s="1"/>
  <c r="N49" i="27" s="1"/>
  <c r="B49" i="27"/>
  <c r="Z48" i="27"/>
  <c r="X48" i="27"/>
  <c r="R48" i="27"/>
  <c r="L48" i="27"/>
  <c r="N48" i="27" s="1"/>
  <c r="J48" i="27"/>
  <c r="F48" i="27"/>
  <c r="B48" i="27"/>
  <c r="T47" i="27"/>
  <c r="P47" i="27"/>
  <c r="X47" i="27" s="1"/>
  <c r="N47" i="27"/>
  <c r="L47" i="27"/>
  <c r="H47" i="27"/>
  <c r="F47" i="27"/>
  <c r="D47" i="27"/>
  <c r="B47" i="27"/>
  <c r="Z46" i="27"/>
  <c r="X46" i="27"/>
  <c r="N46" i="27"/>
  <c r="L46" i="27"/>
  <c r="B46" i="27"/>
  <c r="Z45" i="27"/>
  <c r="X45" i="27"/>
  <c r="R45" i="27"/>
  <c r="N45" i="27"/>
  <c r="L45" i="27"/>
  <c r="F45" i="27"/>
  <c r="B45" i="27"/>
  <c r="Z44" i="27"/>
  <c r="T44" i="27"/>
  <c r="P44" i="27"/>
  <c r="X44" i="27" s="1"/>
  <c r="L44" i="27"/>
  <c r="N44" i="27" s="1"/>
  <c r="J44" i="27"/>
  <c r="H44" i="27"/>
  <c r="F44" i="27"/>
  <c r="D44" i="27"/>
  <c r="B44" i="27"/>
  <c r="X43" i="27"/>
  <c r="Z43" i="27" s="1"/>
  <c r="V43" i="27"/>
  <c r="R43" i="27"/>
  <c r="N43" i="27"/>
  <c r="L43" i="27"/>
  <c r="J43" i="27"/>
  <c r="B43" i="27"/>
  <c r="Z42" i="27"/>
  <c r="X42" i="27"/>
  <c r="V42" i="27"/>
  <c r="T42" i="27"/>
  <c r="R42" i="27"/>
  <c r="P42" i="27"/>
  <c r="J42" i="27"/>
  <c r="H42" i="27"/>
  <c r="F42" i="27"/>
  <c r="D42" i="27"/>
  <c r="B42" i="27"/>
  <c r="Z41" i="27"/>
  <c r="X41" i="27"/>
  <c r="R41" i="27"/>
  <c r="L41" i="27"/>
  <c r="N41" i="27" s="1"/>
  <c r="F41" i="27"/>
  <c r="B41" i="27"/>
  <c r="V40" i="27"/>
  <c r="T40" i="27"/>
  <c r="R40" i="27"/>
  <c r="P40" i="27"/>
  <c r="H40" i="27"/>
  <c r="F40" i="27"/>
  <c r="D40" i="27"/>
  <c r="L40" i="27" s="1"/>
  <c r="N40" i="27" s="1"/>
  <c r="B40" i="27"/>
  <c r="Z39" i="27"/>
  <c r="X39" i="27"/>
  <c r="N39" i="27"/>
  <c r="L39" i="27"/>
  <c r="J39" i="27"/>
  <c r="F39" i="27"/>
  <c r="B39" i="27"/>
  <c r="Z38" i="27"/>
  <c r="X38" i="27"/>
  <c r="N38" i="27"/>
  <c r="L38" i="27"/>
  <c r="J38" i="27"/>
  <c r="B38" i="27"/>
  <c r="Z37" i="27"/>
  <c r="X37" i="27"/>
  <c r="R37" i="27"/>
  <c r="L37" i="27"/>
  <c r="N37" i="27" s="1"/>
  <c r="F37" i="27"/>
  <c r="B37" i="27"/>
  <c r="X36" i="27"/>
  <c r="Z36" i="27" s="1"/>
  <c r="V36" i="27"/>
  <c r="R36" i="27"/>
  <c r="N36" i="27"/>
  <c r="L36" i="27"/>
  <c r="J36" i="27"/>
  <c r="F36" i="27"/>
  <c r="B36" i="27"/>
  <c r="Z35" i="27"/>
  <c r="X35" i="27"/>
  <c r="R35" i="27"/>
  <c r="N35" i="27"/>
  <c r="L35" i="27"/>
  <c r="J35" i="27"/>
  <c r="B35" i="27"/>
  <c r="Z34" i="27"/>
  <c r="X34" i="27"/>
  <c r="N34" i="27"/>
  <c r="L34" i="27"/>
  <c r="B34" i="27"/>
  <c r="Z33" i="27"/>
  <c r="X33" i="27"/>
  <c r="R33" i="27"/>
  <c r="N33" i="27"/>
  <c r="L33" i="27"/>
  <c r="F33" i="27"/>
  <c r="B33" i="27"/>
  <c r="Z32" i="27"/>
  <c r="X32" i="27"/>
  <c r="R32" i="27"/>
  <c r="N32" i="27"/>
  <c r="L32" i="27"/>
  <c r="J32" i="27"/>
  <c r="F32" i="27"/>
  <c r="B32" i="27"/>
  <c r="Z31" i="27"/>
  <c r="X31" i="27"/>
  <c r="N31" i="27"/>
  <c r="L31" i="27"/>
  <c r="J31" i="27"/>
  <c r="F31" i="27"/>
  <c r="B31" i="27"/>
  <c r="Z30" i="27"/>
  <c r="X30" i="27"/>
  <c r="N30" i="27"/>
  <c r="L30" i="27"/>
  <c r="J30" i="27"/>
  <c r="B30" i="27"/>
  <c r="T29" i="27"/>
  <c r="R29" i="27"/>
  <c r="P29" i="27"/>
  <c r="X29" i="27" s="1"/>
  <c r="J29" i="27"/>
  <c r="H29" i="27"/>
  <c r="D29" i="27"/>
  <c r="L29" i="27" s="1"/>
  <c r="B29" i="27"/>
  <c r="Z28" i="27"/>
  <c r="X28" i="27"/>
  <c r="R28" i="27"/>
  <c r="N28" i="27"/>
  <c r="L28" i="27"/>
  <c r="J28" i="27"/>
  <c r="F28" i="27"/>
  <c r="B28" i="27"/>
  <c r="X27" i="27"/>
  <c r="Z27" i="27" s="1"/>
  <c r="L27" i="27"/>
  <c r="N27" i="27" s="1"/>
  <c r="J27" i="27"/>
  <c r="F27" i="27"/>
  <c r="B27" i="27"/>
  <c r="X26" i="27"/>
  <c r="Z26" i="27" s="1"/>
  <c r="N26" i="27"/>
  <c r="L26" i="27"/>
  <c r="J26" i="27"/>
  <c r="B26" i="27"/>
  <c r="Z25" i="27"/>
  <c r="X25" i="27"/>
  <c r="R25" i="27"/>
  <c r="N25" i="27"/>
  <c r="L25" i="27"/>
  <c r="F25" i="27"/>
  <c r="B25" i="27"/>
  <c r="Z24" i="27"/>
  <c r="X24" i="27"/>
  <c r="V24" i="27"/>
  <c r="R24" i="27"/>
  <c r="N24" i="27"/>
  <c r="L24" i="27"/>
  <c r="J24" i="27"/>
  <c r="F24" i="27"/>
  <c r="B24" i="27"/>
  <c r="X23" i="27"/>
  <c r="Z23" i="27" s="1"/>
  <c r="V23" i="27"/>
  <c r="R23" i="27"/>
  <c r="L23" i="27"/>
  <c r="N23" i="27" s="1"/>
  <c r="J23" i="27"/>
  <c r="F23" i="27"/>
  <c r="B23" i="27"/>
  <c r="Z22" i="27"/>
  <c r="X22" i="27"/>
  <c r="V22" i="27"/>
  <c r="L22" i="27"/>
  <c r="N22" i="27" s="1"/>
  <c r="B22" i="27"/>
  <c r="Z21" i="27"/>
  <c r="X21" i="27"/>
  <c r="R21" i="27"/>
  <c r="N21" i="27"/>
  <c r="L21" i="27"/>
  <c r="F21" i="27"/>
  <c r="B21" i="27"/>
  <c r="Z20" i="27"/>
  <c r="X20" i="27"/>
  <c r="R20" i="27"/>
  <c r="N20" i="27"/>
  <c r="L20" i="27"/>
  <c r="J20" i="27"/>
  <c r="F20" i="27"/>
  <c r="B20" i="27"/>
  <c r="T19" i="27"/>
  <c r="Z19" i="27" s="1"/>
  <c r="P19" i="27"/>
  <c r="X19" i="27" s="1"/>
  <c r="L19" i="27"/>
  <c r="N19" i="27" s="1"/>
  <c r="H19" i="27"/>
  <c r="F19" i="27"/>
  <c r="D19" i="27"/>
  <c r="B19" i="27"/>
  <c r="T18" i="27" a="1"/>
  <c r="T18" i="27"/>
  <c r="R18" i="27"/>
  <c r="P18" i="27" a="1"/>
  <c r="P18" i="27" s="1"/>
  <c r="X18" i="27" s="1"/>
  <c r="Z18" i="27" s="1"/>
  <c r="L18" i="27"/>
  <c r="N18" i="27" s="1"/>
  <c r="J18" i="27"/>
  <c r="H18" i="27" a="1"/>
  <c r="H18" i="27"/>
  <c r="F18" i="27"/>
  <c r="D18" i="27" a="1"/>
  <c r="D18" i="27" s="1"/>
  <c r="R16" i="27"/>
  <c r="J16" i="27"/>
  <c r="H16" i="27"/>
  <c r="F16" i="27"/>
  <c r="D16" i="27"/>
  <c r="Z14" i="27"/>
  <c r="T14" i="27"/>
  <c r="R14" i="27"/>
  <c r="P14" i="27"/>
  <c r="N14" i="27"/>
  <c r="J14" i="27"/>
  <c r="H14" i="27"/>
  <c r="L14" i="27" s="1"/>
  <c r="F14" i="27"/>
  <c r="D14" i="27"/>
  <c r="Z12" i="27"/>
  <c r="X12" i="27"/>
  <c r="T12" i="27"/>
  <c r="P12" i="27"/>
  <c r="R51" i="27" s="1"/>
  <c r="N12" i="27"/>
  <c r="L12" i="27"/>
  <c r="H12" i="27"/>
  <c r="J52" i="27" s="1"/>
  <c r="D12" i="27"/>
  <c r="F43" i="27" s="1"/>
  <c r="D6" i="27"/>
  <c r="D4" i="27"/>
  <c r="J66" i="26"/>
  <c r="R63" i="26"/>
  <c r="F63" i="26"/>
  <c r="Z61" i="26"/>
  <c r="X61" i="26"/>
  <c r="N61" i="26"/>
  <c r="L61" i="26"/>
  <c r="J61" i="26"/>
  <c r="F61" i="26"/>
  <c r="J59" i="26"/>
  <c r="V57" i="26"/>
  <c r="T57" i="26"/>
  <c r="Z57" i="26" s="1"/>
  <c r="P57" i="26"/>
  <c r="X57" i="26" s="1"/>
  <c r="N57" i="26"/>
  <c r="H57" i="26"/>
  <c r="F57" i="26"/>
  <c r="D57" i="26"/>
  <c r="L57" i="26" s="1"/>
  <c r="Z55" i="26"/>
  <c r="X55" i="26"/>
  <c r="N55" i="26"/>
  <c r="L55" i="26"/>
  <c r="J55" i="26"/>
  <c r="F55" i="26"/>
  <c r="B55" i="26"/>
  <c r="T54" i="26"/>
  <c r="Z54" i="26" s="1"/>
  <c r="P54" i="26"/>
  <c r="X54" i="26" s="1"/>
  <c r="L54" i="26"/>
  <c r="N54" i="26" s="1"/>
  <c r="H54" i="26"/>
  <c r="F54" i="26"/>
  <c r="D54" i="26"/>
  <c r="B54" i="26"/>
  <c r="Z53" i="26"/>
  <c r="X53" i="26"/>
  <c r="N53" i="26"/>
  <c r="L53" i="26"/>
  <c r="B53" i="26"/>
  <c r="Z52" i="26"/>
  <c r="X52" i="26"/>
  <c r="N52" i="26"/>
  <c r="L52" i="26"/>
  <c r="F52" i="26"/>
  <c r="B52" i="26"/>
  <c r="Z51" i="26"/>
  <c r="X51" i="26"/>
  <c r="N51" i="26"/>
  <c r="L51" i="26"/>
  <c r="J51" i="26"/>
  <c r="F51" i="26"/>
  <c r="B51" i="26"/>
  <c r="T50" i="26"/>
  <c r="P50" i="26"/>
  <c r="X50" i="26" s="1"/>
  <c r="N50" i="26"/>
  <c r="L50" i="26"/>
  <c r="H50" i="26"/>
  <c r="F50" i="26"/>
  <c r="D50" i="26"/>
  <c r="B50" i="26"/>
  <c r="X49" i="26"/>
  <c r="Z49" i="26" s="1"/>
  <c r="V49" i="26"/>
  <c r="L49" i="26"/>
  <c r="N49" i="26" s="1"/>
  <c r="B49" i="26"/>
  <c r="Z48" i="26"/>
  <c r="X48" i="26"/>
  <c r="T48" i="26"/>
  <c r="P48" i="26"/>
  <c r="L48" i="26"/>
  <c r="J48" i="26"/>
  <c r="H48" i="26"/>
  <c r="D48" i="26"/>
  <c r="B48" i="26"/>
  <c r="Z47" i="26"/>
  <c r="X47" i="26"/>
  <c r="V47" i="26"/>
  <c r="R47" i="26"/>
  <c r="N47" i="26"/>
  <c r="L47" i="26"/>
  <c r="F47" i="26"/>
  <c r="B47" i="26"/>
  <c r="X46" i="26"/>
  <c r="Z46" i="26" s="1"/>
  <c r="L46" i="26"/>
  <c r="N46" i="26" s="1"/>
  <c r="B46" i="26"/>
  <c r="Z45" i="26"/>
  <c r="X45" i="26"/>
  <c r="V45" i="26"/>
  <c r="N45" i="26"/>
  <c r="L45" i="26"/>
  <c r="B45" i="26"/>
  <c r="Z44" i="26"/>
  <c r="X44" i="26"/>
  <c r="T44" i="26"/>
  <c r="P44" i="26"/>
  <c r="L44" i="26"/>
  <c r="J44" i="26"/>
  <c r="H44" i="26"/>
  <c r="D44" i="26"/>
  <c r="B44" i="26"/>
  <c r="Z43" i="26"/>
  <c r="X43" i="26"/>
  <c r="N43" i="26"/>
  <c r="L43" i="26"/>
  <c r="F43" i="26"/>
  <c r="B43" i="26"/>
  <c r="X42" i="26"/>
  <c r="V42" i="26"/>
  <c r="T42" i="26"/>
  <c r="P42" i="26"/>
  <c r="H42" i="26"/>
  <c r="F42" i="26"/>
  <c r="D42" i="26"/>
  <c r="L42" i="26" s="1"/>
  <c r="B42" i="26"/>
  <c r="X41" i="26"/>
  <c r="Z41" i="26" s="1"/>
  <c r="N41" i="26"/>
  <c r="L41" i="26"/>
  <c r="J41" i="26"/>
  <c r="B41" i="26"/>
  <c r="T40" i="26"/>
  <c r="P40" i="26"/>
  <c r="X40" i="26" s="1"/>
  <c r="H40" i="26"/>
  <c r="N40" i="26" s="1"/>
  <c r="D40" i="26"/>
  <c r="L40" i="26" s="1"/>
  <c r="B40" i="26"/>
  <c r="Z39" i="26"/>
  <c r="X39" i="26"/>
  <c r="N39" i="26"/>
  <c r="L39" i="26"/>
  <c r="J39" i="26"/>
  <c r="F39" i="26"/>
  <c r="B39" i="26"/>
  <c r="Z38" i="26"/>
  <c r="X38" i="26"/>
  <c r="N38" i="26"/>
  <c r="L38" i="26"/>
  <c r="J38" i="26"/>
  <c r="F38" i="26"/>
  <c r="B38" i="26"/>
  <c r="Z37" i="26"/>
  <c r="X37" i="26"/>
  <c r="N37" i="26"/>
  <c r="L37" i="26"/>
  <c r="J37" i="26"/>
  <c r="B37" i="26"/>
  <c r="Z36" i="26"/>
  <c r="X36" i="26"/>
  <c r="N36" i="26"/>
  <c r="L36" i="26"/>
  <c r="F36" i="26"/>
  <c r="B36" i="26"/>
  <c r="Z35" i="26"/>
  <c r="X35" i="26"/>
  <c r="V35" i="26"/>
  <c r="N35" i="26"/>
  <c r="L35" i="26"/>
  <c r="F35" i="26"/>
  <c r="B35" i="26"/>
  <c r="Z34" i="26"/>
  <c r="X34" i="26"/>
  <c r="V34" i="26"/>
  <c r="N34" i="26"/>
  <c r="L34" i="26"/>
  <c r="B34" i="26"/>
  <c r="X33" i="26"/>
  <c r="Z33" i="26" s="1"/>
  <c r="V33" i="26"/>
  <c r="L33" i="26"/>
  <c r="N33" i="26" s="1"/>
  <c r="B33" i="26"/>
  <c r="Z32" i="26"/>
  <c r="X32" i="26"/>
  <c r="N32" i="26"/>
  <c r="L32" i="26"/>
  <c r="F32" i="26"/>
  <c r="B32" i="26"/>
  <c r="Z31" i="26"/>
  <c r="X31" i="26"/>
  <c r="N31" i="26"/>
  <c r="L31" i="26"/>
  <c r="J31" i="26"/>
  <c r="F31" i="26"/>
  <c r="B31" i="26"/>
  <c r="Z30" i="26"/>
  <c r="X30" i="26"/>
  <c r="N30" i="26"/>
  <c r="L30" i="26"/>
  <c r="J30" i="26"/>
  <c r="F30" i="26"/>
  <c r="B30" i="26"/>
  <c r="T29" i="26"/>
  <c r="R29" i="26"/>
  <c r="P29" i="26"/>
  <c r="X29" i="26" s="1"/>
  <c r="Z29" i="26" s="1"/>
  <c r="N29" i="26"/>
  <c r="H29" i="26"/>
  <c r="L29" i="26" s="1"/>
  <c r="D29" i="26"/>
  <c r="B29" i="26"/>
  <c r="X28" i="26"/>
  <c r="Z28" i="26" s="1"/>
  <c r="N28" i="26"/>
  <c r="L28" i="26"/>
  <c r="F28" i="26"/>
  <c r="B28" i="26"/>
  <c r="Z27" i="26"/>
  <c r="X27" i="26"/>
  <c r="N27" i="26"/>
  <c r="L27" i="26"/>
  <c r="J27" i="26"/>
  <c r="F27" i="26"/>
  <c r="B27" i="26"/>
  <c r="X26" i="26"/>
  <c r="Z26" i="26" s="1"/>
  <c r="L26" i="26"/>
  <c r="N26" i="26" s="1"/>
  <c r="J26" i="26"/>
  <c r="F26" i="26"/>
  <c r="B26" i="26"/>
  <c r="Z25" i="26"/>
  <c r="X25" i="26"/>
  <c r="N25" i="26"/>
  <c r="L25" i="26"/>
  <c r="J25" i="26"/>
  <c r="B25" i="26"/>
  <c r="Z24" i="26"/>
  <c r="X24" i="26"/>
  <c r="R24" i="26"/>
  <c r="N24" i="26"/>
  <c r="L24" i="26"/>
  <c r="F24" i="26"/>
  <c r="B24" i="26"/>
  <c r="Z23" i="26"/>
  <c r="X23" i="26"/>
  <c r="V23" i="26"/>
  <c r="R23" i="26"/>
  <c r="N23" i="26"/>
  <c r="L23" i="26"/>
  <c r="F23" i="26"/>
  <c r="B23" i="26"/>
  <c r="X22" i="26"/>
  <c r="Z22" i="26" s="1"/>
  <c r="L22" i="26"/>
  <c r="N22" i="26" s="1"/>
  <c r="B22" i="26"/>
  <c r="Z21" i="26"/>
  <c r="X21" i="26"/>
  <c r="V21" i="26"/>
  <c r="L21" i="26"/>
  <c r="N21" i="26" s="1"/>
  <c r="B21" i="26"/>
  <c r="X20" i="26"/>
  <c r="Z20" i="26" s="1"/>
  <c r="N20" i="26"/>
  <c r="L20" i="26"/>
  <c r="F20" i="26"/>
  <c r="B20" i="26"/>
  <c r="Z19" i="26"/>
  <c r="T19" i="26"/>
  <c r="X19" i="26" s="1"/>
  <c r="P19" i="26"/>
  <c r="N19" i="26"/>
  <c r="L19" i="26"/>
  <c r="J19" i="26"/>
  <c r="H19" i="26"/>
  <c r="F19" i="26"/>
  <c r="D19" i="26"/>
  <c r="B19" i="26"/>
  <c r="V18" i="26"/>
  <c r="T18" i="26" a="1"/>
  <c r="T18" i="26" s="1"/>
  <c r="P18" i="26" a="1"/>
  <c r="P18" i="26" s="1"/>
  <c r="X18" i="26" s="1"/>
  <c r="J18" i="26"/>
  <c r="H18" i="26" a="1"/>
  <c r="H18" i="26" s="1"/>
  <c r="F18" i="26"/>
  <c r="D18" i="26" a="1"/>
  <c r="D18" i="26" s="1"/>
  <c r="L18" i="26" s="1"/>
  <c r="V16" i="26"/>
  <c r="T16" i="26"/>
  <c r="H16" i="26"/>
  <c r="F16" i="26"/>
  <c r="D16" i="26"/>
  <c r="T14" i="26"/>
  <c r="Z14" i="26" s="1"/>
  <c r="P14" i="26"/>
  <c r="X14" i="26" s="1"/>
  <c r="N14" i="26"/>
  <c r="L14" i="26"/>
  <c r="H14" i="26"/>
  <c r="F14" i="26"/>
  <c r="D14" i="26"/>
  <c r="X12" i="26"/>
  <c r="T12" i="26"/>
  <c r="P12" i="26"/>
  <c r="R36" i="26" s="1"/>
  <c r="H12" i="26"/>
  <c r="J47" i="26" s="1"/>
  <c r="D12" i="26"/>
  <c r="F66" i="26" s="1"/>
  <c r="D6" i="26"/>
  <c r="D4" i="26"/>
  <c r="J75" i="25"/>
  <c r="R72" i="25"/>
  <c r="Z70" i="25"/>
  <c r="X70" i="25"/>
  <c r="N70" i="25"/>
  <c r="L70" i="25"/>
  <c r="J68" i="25"/>
  <c r="T66" i="25"/>
  <c r="Z66" i="25" s="1"/>
  <c r="R66" i="25"/>
  <c r="P66" i="25"/>
  <c r="H66" i="25"/>
  <c r="N66" i="25" s="1"/>
  <c r="D66" i="25"/>
  <c r="L66" i="25" s="1"/>
  <c r="X64" i="25"/>
  <c r="Z64" i="25" s="1"/>
  <c r="N64" i="25"/>
  <c r="L64" i="25"/>
  <c r="B64" i="25"/>
  <c r="T63" i="25"/>
  <c r="P63" i="25"/>
  <c r="X63" i="25" s="1"/>
  <c r="Z63" i="25" s="1"/>
  <c r="N63" i="25"/>
  <c r="L63" i="25"/>
  <c r="J63" i="25"/>
  <c r="H63" i="25"/>
  <c r="D63" i="25"/>
  <c r="B63" i="25"/>
  <c r="Z62" i="25"/>
  <c r="X62" i="25"/>
  <c r="V62" i="25"/>
  <c r="R62" i="25"/>
  <c r="N62" i="25"/>
  <c r="L62" i="25"/>
  <c r="B62" i="25"/>
  <c r="Z61" i="25"/>
  <c r="X61" i="25"/>
  <c r="V61" i="25"/>
  <c r="T61" i="25"/>
  <c r="P61" i="25"/>
  <c r="J61" i="25"/>
  <c r="H61" i="25"/>
  <c r="D61" i="25"/>
  <c r="B61" i="25"/>
  <c r="Z60" i="25"/>
  <c r="X60" i="25"/>
  <c r="R60" i="25"/>
  <c r="L60" i="25"/>
  <c r="N60" i="25" s="1"/>
  <c r="B60" i="25"/>
  <c r="Z59" i="25"/>
  <c r="X59" i="25"/>
  <c r="V59" i="25"/>
  <c r="R59" i="25"/>
  <c r="N59" i="25"/>
  <c r="L59" i="25"/>
  <c r="B59" i="25"/>
  <c r="X58" i="25"/>
  <c r="V58" i="25"/>
  <c r="T58" i="25"/>
  <c r="P58" i="25"/>
  <c r="H58" i="25"/>
  <c r="D58" i="25"/>
  <c r="B58" i="25"/>
  <c r="X57" i="25"/>
  <c r="Z57" i="25" s="1"/>
  <c r="N57" i="25"/>
  <c r="L57" i="25"/>
  <c r="J57" i="25"/>
  <c r="B57" i="25"/>
  <c r="T56" i="25"/>
  <c r="R56" i="25"/>
  <c r="P56" i="25"/>
  <c r="X56" i="25" s="1"/>
  <c r="H56" i="25"/>
  <c r="N56" i="25" s="1"/>
  <c r="D56" i="25"/>
  <c r="L56" i="25" s="1"/>
  <c r="B56" i="25"/>
  <c r="Z55" i="25"/>
  <c r="X55" i="25"/>
  <c r="R55" i="25"/>
  <c r="N55" i="25"/>
  <c r="L55" i="25"/>
  <c r="J55" i="25"/>
  <c r="B55" i="25"/>
  <c r="X54" i="25"/>
  <c r="Z54" i="25" s="1"/>
  <c r="N54" i="25"/>
  <c r="L54" i="25"/>
  <c r="J54" i="25"/>
  <c r="B54" i="25"/>
  <c r="T53" i="25"/>
  <c r="R53" i="25"/>
  <c r="P53" i="25"/>
  <c r="X53" i="25" s="1"/>
  <c r="Z53" i="25" s="1"/>
  <c r="N53" i="25"/>
  <c r="H53" i="25"/>
  <c r="D53" i="25"/>
  <c r="L53" i="25" s="1"/>
  <c r="B53" i="25"/>
  <c r="Z52" i="25"/>
  <c r="X52" i="25"/>
  <c r="N52" i="25"/>
  <c r="L52" i="25"/>
  <c r="B52" i="25"/>
  <c r="Z51" i="25"/>
  <c r="X51" i="25"/>
  <c r="R51" i="25"/>
  <c r="N51" i="25"/>
  <c r="L51" i="25"/>
  <c r="J51" i="25"/>
  <c r="B51" i="25"/>
  <c r="X50" i="25"/>
  <c r="Z50" i="25" s="1"/>
  <c r="N50" i="25"/>
  <c r="L50" i="25"/>
  <c r="J50" i="25"/>
  <c r="B50" i="25"/>
  <c r="X49" i="25"/>
  <c r="Z49" i="25" s="1"/>
  <c r="L49" i="25"/>
  <c r="N49" i="25" s="1"/>
  <c r="J49" i="25"/>
  <c r="B49" i="25"/>
  <c r="T48" i="25"/>
  <c r="R48" i="25"/>
  <c r="P48" i="25"/>
  <c r="X48" i="25" s="1"/>
  <c r="H48" i="25"/>
  <c r="N48" i="25" s="1"/>
  <c r="D48" i="25"/>
  <c r="L48" i="25" s="1"/>
  <c r="B48" i="25"/>
  <c r="Z47" i="25"/>
  <c r="X47" i="25"/>
  <c r="R47" i="25"/>
  <c r="N47" i="25"/>
  <c r="L47" i="25"/>
  <c r="J47" i="25"/>
  <c r="B47" i="25"/>
  <c r="T46" i="25"/>
  <c r="Z46" i="25" s="1"/>
  <c r="P46" i="25"/>
  <c r="X46" i="25" s="1"/>
  <c r="N46" i="25"/>
  <c r="L46" i="25"/>
  <c r="H46" i="25"/>
  <c r="D46" i="25"/>
  <c r="B46" i="25"/>
  <c r="X45" i="25"/>
  <c r="Z45" i="25" s="1"/>
  <c r="V45" i="25"/>
  <c r="L45" i="25"/>
  <c r="N45" i="25" s="1"/>
  <c r="B45" i="25"/>
  <c r="X44" i="25"/>
  <c r="Z44" i="25" s="1"/>
  <c r="N44" i="25"/>
  <c r="L44" i="25"/>
  <c r="B44" i="25"/>
  <c r="T43" i="25"/>
  <c r="P43" i="25"/>
  <c r="X43" i="25" s="1"/>
  <c r="Z43" i="25" s="1"/>
  <c r="N43" i="25"/>
  <c r="L43" i="25"/>
  <c r="J43" i="25"/>
  <c r="H43" i="25"/>
  <c r="D43" i="25"/>
  <c r="B43" i="25"/>
  <c r="Z42" i="25"/>
  <c r="X42" i="25"/>
  <c r="V42" i="25"/>
  <c r="R42" i="25"/>
  <c r="N42" i="25"/>
  <c r="L42" i="25"/>
  <c r="B42" i="25"/>
  <c r="Z41" i="25"/>
  <c r="X41" i="25"/>
  <c r="V41" i="25"/>
  <c r="T41" i="25"/>
  <c r="P41" i="25"/>
  <c r="J41" i="25"/>
  <c r="H41" i="25"/>
  <c r="D41" i="25"/>
  <c r="B41" i="25"/>
  <c r="Z40" i="25"/>
  <c r="X40" i="25"/>
  <c r="R40" i="25"/>
  <c r="N40" i="25"/>
  <c r="L40" i="25"/>
  <c r="B40" i="25"/>
  <c r="Z39" i="25"/>
  <c r="X39" i="25"/>
  <c r="V39" i="25"/>
  <c r="R39" i="25"/>
  <c r="N39" i="25"/>
  <c r="L39" i="25"/>
  <c r="B39" i="25"/>
  <c r="Z38" i="25"/>
  <c r="X38" i="25"/>
  <c r="V38" i="25"/>
  <c r="R38" i="25"/>
  <c r="N38" i="25"/>
  <c r="L38" i="25"/>
  <c r="B38" i="25"/>
  <c r="Z37" i="25"/>
  <c r="X37" i="25"/>
  <c r="V37" i="25"/>
  <c r="N37" i="25"/>
  <c r="L37" i="25"/>
  <c r="B37" i="25"/>
  <c r="Z36" i="25"/>
  <c r="X36" i="25"/>
  <c r="N36" i="25"/>
  <c r="L36" i="25"/>
  <c r="B36" i="25"/>
  <c r="Z35" i="25"/>
  <c r="X35" i="25"/>
  <c r="R35" i="25"/>
  <c r="N35" i="25"/>
  <c r="L35" i="25"/>
  <c r="J35" i="25"/>
  <c r="B35" i="25"/>
  <c r="X34" i="25"/>
  <c r="Z34" i="25" s="1"/>
  <c r="L34" i="25"/>
  <c r="N34" i="25" s="1"/>
  <c r="B34" i="25"/>
  <c r="Z33" i="25"/>
  <c r="X33" i="25"/>
  <c r="N33" i="25"/>
  <c r="L33" i="25"/>
  <c r="J33" i="25"/>
  <c r="B33" i="25"/>
  <c r="Z32" i="25"/>
  <c r="X32" i="25"/>
  <c r="R32" i="25"/>
  <c r="N32" i="25"/>
  <c r="L32" i="25"/>
  <c r="B32" i="25"/>
  <c r="Z31" i="25"/>
  <c r="X31" i="25"/>
  <c r="V31" i="25"/>
  <c r="R31" i="25"/>
  <c r="N31" i="25"/>
  <c r="L31" i="25"/>
  <c r="B31" i="25"/>
  <c r="X30" i="25"/>
  <c r="V30" i="25"/>
  <c r="T30" i="25"/>
  <c r="P30" i="25"/>
  <c r="H30" i="25"/>
  <c r="D30" i="25"/>
  <c r="B30" i="25"/>
  <c r="X29" i="25"/>
  <c r="Z29" i="25" s="1"/>
  <c r="N29" i="25"/>
  <c r="L29" i="25"/>
  <c r="J29" i="25"/>
  <c r="B29" i="25"/>
  <c r="Z28" i="25"/>
  <c r="X28" i="25"/>
  <c r="R28" i="25"/>
  <c r="L28" i="25"/>
  <c r="N28" i="25" s="1"/>
  <c r="B28" i="25"/>
  <c r="Z27" i="25"/>
  <c r="X27" i="25"/>
  <c r="V27" i="25"/>
  <c r="R27" i="25"/>
  <c r="N27" i="25"/>
  <c r="L27" i="25"/>
  <c r="B27" i="25"/>
  <c r="Z26" i="25"/>
  <c r="X26" i="25"/>
  <c r="V26" i="25"/>
  <c r="R26" i="25"/>
  <c r="N26" i="25"/>
  <c r="L26" i="25"/>
  <c r="B26" i="25"/>
  <c r="Z25" i="25"/>
  <c r="X25" i="25"/>
  <c r="V25" i="25"/>
  <c r="N25" i="25"/>
  <c r="L25" i="25"/>
  <c r="B25" i="25"/>
  <c r="X24" i="25"/>
  <c r="Z24" i="25" s="1"/>
  <c r="N24" i="25"/>
  <c r="L24" i="25"/>
  <c r="B24" i="25"/>
  <c r="Z23" i="25"/>
  <c r="X23" i="25"/>
  <c r="R23" i="25"/>
  <c r="N23" i="25"/>
  <c r="L23" i="25"/>
  <c r="B23" i="25"/>
  <c r="X22" i="25"/>
  <c r="Z22" i="25" s="1"/>
  <c r="L22" i="25"/>
  <c r="N22" i="25" s="1"/>
  <c r="B22" i="25"/>
  <c r="X21" i="25"/>
  <c r="Z21" i="25" s="1"/>
  <c r="L21" i="25"/>
  <c r="N21" i="25" s="1"/>
  <c r="J21" i="25"/>
  <c r="B21" i="25"/>
  <c r="Z20" i="25"/>
  <c r="X20" i="25"/>
  <c r="R20" i="25"/>
  <c r="L20" i="25"/>
  <c r="N20" i="25" s="1"/>
  <c r="B20" i="25"/>
  <c r="V19" i="25"/>
  <c r="T19" i="25"/>
  <c r="R19" i="25"/>
  <c r="P19" i="25"/>
  <c r="X19" i="25" s="1"/>
  <c r="H19" i="25"/>
  <c r="D19" i="25"/>
  <c r="L19" i="25" s="1"/>
  <c r="N19" i="25" s="1"/>
  <c r="B19" i="25"/>
  <c r="T18" i="25" a="1"/>
  <c r="T18" i="25" s="1"/>
  <c r="R18" i="25"/>
  <c r="P18" i="25" a="1"/>
  <c r="P18" i="25"/>
  <c r="X18" i="25" s="1"/>
  <c r="H18" i="25" a="1"/>
  <c r="H18" i="25" s="1"/>
  <c r="D18" i="25" a="1"/>
  <c r="D18" i="25" s="1"/>
  <c r="L18" i="25" s="1"/>
  <c r="P16" i="25"/>
  <c r="X14" i="25"/>
  <c r="V14" i="25"/>
  <c r="T14" i="25"/>
  <c r="Z14" i="25" s="1"/>
  <c r="P14" i="25"/>
  <c r="H14" i="25"/>
  <c r="N14" i="25" s="1"/>
  <c r="D14" i="25"/>
  <c r="T12" i="25"/>
  <c r="V63" i="25" s="1"/>
  <c r="P12" i="25"/>
  <c r="R70" i="25" s="1"/>
  <c r="H12" i="25"/>
  <c r="D12" i="25"/>
  <c r="F64" i="25" s="1"/>
  <c r="D6" i="25"/>
  <c r="D4" i="25"/>
  <c r="R84" i="24"/>
  <c r="J81" i="24"/>
  <c r="Z79" i="24"/>
  <c r="X79" i="24"/>
  <c r="R79" i="24"/>
  <c r="N79" i="24"/>
  <c r="L79" i="24"/>
  <c r="R77" i="24"/>
  <c r="Z75" i="24"/>
  <c r="X75" i="24"/>
  <c r="T75" i="24"/>
  <c r="P75" i="24"/>
  <c r="L75" i="24"/>
  <c r="J75" i="24"/>
  <c r="H75" i="24"/>
  <c r="N75" i="24" s="1"/>
  <c r="D75" i="24"/>
  <c r="Z73" i="24"/>
  <c r="X73" i="24"/>
  <c r="R73" i="24"/>
  <c r="N73" i="24"/>
  <c r="L73" i="24"/>
  <c r="B73" i="24"/>
  <c r="T72" i="24"/>
  <c r="R72" i="24"/>
  <c r="P72" i="24"/>
  <c r="X72" i="24" s="1"/>
  <c r="N72" i="24"/>
  <c r="H72" i="24"/>
  <c r="F72" i="24"/>
  <c r="D72" i="24"/>
  <c r="L72" i="24" s="1"/>
  <c r="B72" i="24"/>
  <c r="X71" i="24"/>
  <c r="Z71" i="24" s="1"/>
  <c r="L71" i="24"/>
  <c r="N71" i="24" s="1"/>
  <c r="J71" i="24"/>
  <c r="F71" i="24"/>
  <c r="B71" i="24"/>
  <c r="T70" i="24"/>
  <c r="R70" i="24"/>
  <c r="P70" i="24"/>
  <c r="X70" i="24" s="1"/>
  <c r="Z70" i="24" s="1"/>
  <c r="H70" i="24"/>
  <c r="D70" i="24"/>
  <c r="L70" i="24" s="1"/>
  <c r="N70" i="24" s="1"/>
  <c r="B70" i="24"/>
  <c r="X69" i="24"/>
  <c r="Z69" i="24" s="1"/>
  <c r="N69" i="24"/>
  <c r="L69" i="24"/>
  <c r="F69" i="24"/>
  <c r="B69" i="24"/>
  <c r="T68" i="24"/>
  <c r="P68" i="24"/>
  <c r="X68" i="24" s="1"/>
  <c r="Z68" i="24" s="1"/>
  <c r="N68" i="24"/>
  <c r="L68" i="24"/>
  <c r="J68" i="24"/>
  <c r="H68" i="24"/>
  <c r="D68" i="24"/>
  <c r="B68" i="24"/>
  <c r="Z67" i="24"/>
  <c r="X67" i="24"/>
  <c r="R67" i="24"/>
  <c r="N67" i="24"/>
  <c r="L67" i="24"/>
  <c r="B67" i="24"/>
  <c r="Z66" i="24"/>
  <c r="X66" i="24"/>
  <c r="L66" i="24"/>
  <c r="N66" i="24" s="1"/>
  <c r="B66" i="24"/>
  <c r="Z65" i="24"/>
  <c r="X65" i="24"/>
  <c r="N65" i="24"/>
  <c r="L65" i="24"/>
  <c r="F65" i="24"/>
  <c r="B65" i="24"/>
  <c r="Z64" i="24"/>
  <c r="X64" i="24"/>
  <c r="N64" i="24"/>
  <c r="L64" i="24"/>
  <c r="J64" i="24"/>
  <c r="F64" i="24"/>
  <c r="B64" i="24"/>
  <c r="T63" i="24"/>
  <c r="P63" i="24"/>
  <c r="X63" i="24" s="1"/>
  <c r="N63" i="24"/>
  <c r="L63" i="24"/>
  <c r="H63" i="24"/>
  <c r="D63" i="24"/>
  <c r="B63" i="24"/>
  <c r="Z62" i="24"/>
  <c r="X62" i="24"/>
  <c r="N62" i="24"/>
  <c r="L62" i="24"/>
  <c r="B62" i="24"/>
  <c r="X61" i="24"/>
  <c r="Z61" i="24" s="1"/>
  <c r="N61" i="24"/>
  <c r="L61" i="24"/>
  <c r="F61" i="24"/>
  <c r="B61" i="24"/>
  <c r="T60" i="24"/>
  <c r="P60" i="24"/>
  <c r="X60" i="24" s="1"/>
  <c r="Z60" i="24" s="1"/>
  <c r="N60" i="24"/>
  <c r="L60" i="24"/>
  <c r="J60" i="24"/>
  <c r="H60" i="24"/>
  <c r="D60" i="24"/>
  <c r="B60" i="24"/>
  <c r="Z59" i="24"/>
  <c r="X59" i="24"/>
  <c r="R59" i="24"/>
  <c r="N59" i="24"/>
  <c r="L59" i="24"/>
  <c r="B59" i="24"/>
  <c r="Z58" i="24"/>
  <c r="X58" i="24"/>
  <c r="L58" i="24"/>
  <c r="N58" i="24" s="1"/>
  <c r="B58" i="24"/>
  <c r="X57" i="24"/>
  <c r="Z57" i="24" s="1"/>
  <c r="T57" i="24"/>
  <c r="P57" i="24"/>
  <c r="J57" i="24"/>
  <c r="H57" i="24"/>
  <c r="D57" i="24"/>
  <c r="B57" i="24"/>
  <c r="Z56" i="24"/>
  <c r="X56" i="24"/>
  <c r="R56" i="24"/>
  <c r="N56" i="24"/>
  <c r="L56" i="24"/>
  <c r="B56" i="24"/>
  <c r="X55" i="24"/>
  <c r="Z55" i="24" s="1"/>
  <c r="R55" i="24"/>
  <c r="L55" i="24"/>
  <c r="N55" i="24" s="1"/>
  <c r="B55" i="24"/>
  <c r="Z54" i="24"/>
  <c r="X54" i="24"/>
  <c r="N54" i="24"/>
  <c r="L54" i="24"/>
  <c r="B54" i="24"/>
  <c r="Z53" i="24"/>
  <c r="X53" i="24"/>
  <c r="T53" i="24"/>
  <c r="P53" i="24"/>
  <c r="J53" i="24"/>
  <c r="H53" i="24"/>
  <c r="D53" i="24"/>
  <c r="B53" i="24"/>
  <c r="Z52" i="24"/>
  <c r="X52" i="24"/>
  <c r="R52" i="24"/>
  <c r="N52" i="24"/>
  <c r="L52" i="24"/>
  <c r="F52" i="24"/>
  <c r="B52" i="24"/>
  <c r="T51" i="24"/>
  <c r="P51" i="24"/>
  <c r="H51" i="24"/>
  <c r="F51" i="24"/>
  <c r="D51" i="24"/>
  <c r="B51" i="24"/>
  <c r="Z50" i="24"/>
  <c r="X50" i="24"/>
  <c r="N50" i="24"/>
  <c r="L50" i="24"/>
  <c r="J50" i="24"/>
  <c r="B50" i="24"/>
  <c r="T49" i="24"/>
  <c r="Z49" i="24" s="1"/>
  <c r="R49" i="24"/>
  <c r="P49" i="24"/>
  <c r="H49" i="24"/>
  <c r="N49" i="24" s="1"/>
  <c r="D49" i="24"/>
  <c r="L49" i="24" s="1"/>
  <c r="B49" i="24"/>
  <c r="Z48" i="24"/>
  <c r="X48" i="24"/>
  <c r="N48" i="24"/>
  <c r="L48" i="24"/>
  <c r="J48" i="24"/>
  <c r="F48" i="24"/>
  <c r="B48" i="24"/>
  <c r="T47" i="24"/>
  <c r="P47" i="24"/>
  <c r="X47" i="24" s="1"/>
  <c r="N47" i="24"/>
  <c r="L47" i="24"/>
  <c r="H47" i="24"/>
  <c r="F47" i="24"/>
  <c r="D47" i="24"/>
  <c r="B47" i="24"/>
  <c r="X46" i="24"/>
  <c r="Z46" i="24" s="1"/>
  <c r="V46" i="24"/>
  <c r="L46" i="24"/>
  <c r="N46" i="24" s="1"/>
  <c r="B46" i="24"/>
  <c r="X45" i="24"/>
  <c r="Z45" i="24" s="1"/>
  <c r="T45" i="24"/>
  <c r="P45" i="24"/>
  <c r="L45" i="24"/>
  <c r="J45" i="24"/>
  <c r="H45" i="24"/>
  <c r="D45" i="24"/>
  <c r="B45" i="24"/>
  <c r="Z44" i="24"/>
  <c r="X44" i="24"/>
  <c r="R44" i="24"/>
  <c r="N44" i="24"/>
  <c r="L44" i="24"/>
  <c r="F44" i="24"/>
  <c r="B44" i="24"/>
  <c r="X43" i="24"/>
  <c r="T43" i="24"/>
  <c r="P43" i="24"/>
  <c r="H43" i="24"/>
  <c r="F43" i="24"/>
  <c r="D43" i="24"/>
  <c r="B43" i="24"/>
  <c r="X42" i="24"/>
  <c r="Z42" i="24" s="1"/>
  <c r="N42" i="24"/>
  <c r="L42" i="24"/>
  <c r="J42" i="24"/>
  <c r="B42" i="24"/>
  <c r="T41" i="24"/>
  <c r="R41" i="24"/>
  <c r="P41" i="24"/>
  <c r="H41" i="24"/>
  <c r="D41" i="24"/>
  <c r="L41" i="24" s="1"/>
  <c r="B41" i="24"/>
  <c r="Z40" i="24"/>
  <c r="X40" i="24"/>
  <c r="N40" i="24"/>
  <c r="L40" i="24"/>
  <c r="J40" i="24"/>
  <c r="F40" i="24"/>
  <c r="B40" i="24"/>
  <c r="Z39" i="24"/>
  <c r="X39" i="24"/>
  <c r="N39" i="24"/>
  <c r="L39" i="24"/>
  <c r="J39" i="24"/>
  <c r="F39" i="24"/>
  <c r="B39" i="24"/>
  <c r="Z38" i="24"/>
  <c r="X38" i="24"/>
  <c r="N38" i="24"/>
  <c r="L38" i="24"/>
  <c r="J38" i="24"/>
  <c r="B38" i="24"/>
  <c r="Z37" i="24"/>
  <c r="X37" i="24"/>
  <c r="R37" i="24"/>
  <c r="N37" i="24"/>
  <c r="L37" i="24"/>
  <c r="B37" i="24"/>
  <c r="Z36" i="24"/>
  <c r="X36" i="24"/>
  <c r="R36" i="24"/>
  <c r="N36" i="24"/>
  <c r="L36" i="24"/>
  <c r="F36" i="24"/>
  <c r="B36" i="24"/>
  <c r="X35" i="24"/>
  <c r="Z35" i="24" s="1"/>
  <c r="R35" i="24"/>
  <c r="L35" i="24"/>
  <c r="N35" i="24" s="1"/>
  <c r="B35" i="24"/>
  <c r="X34" i="24"/>
  <c r="Z34" i="24" s="1"/>
  <c r="V34" i="24"/>
  <c r="L34" i="24"/>
  <c r="N34" i="24" s="1"/>
  <c r="B34" i="24"/>
  <c r="Z33" i="24"/>
  <c r="X33" i="24"/>
  <c r="N33" i="24"/>
  <c r="L33" i="24"/>
  <c r="F33" i="24"/>
  <c r="B33" i="24"/>
  <c r="Z32" i="24"/>
  <c r="X32" i="24"/>
  <c r="R32" i="24"/>
  <c r="N32" i="24"/>
  <c r="L32" i="24"/>
  <c r="J32" i="24"/>
  <c r="F32" i="24"/>
  <c r="B32" i="24"/>
  <c r="X31" i="24"/>
  <c r="Z31" i="24" s="1"/>
  <c r="L31" i="24"/>
  <c r="N31" i="24" s="1"/>
  <c r="J31" i="24"/>
  <c r="F31" i="24"/>
  <c r="B31" i="24"/>
  <c r="T30" i="24"/>
  <c r="R30" i="24"/>
  <c r="P30" i="24"/>
  <c r="X30" i="24" s="1"/>
  <c r="Z30" i="24" s="1"/>
  <c r="H30" i="24"/>
  <c r="F30" i="24"/>
  <c r="D30" i="24"/>
  <c r="L30" i="24" s="1"/>
  <c r="N30" i="24" s="1"/>
  <c r="B30" i="24"/>
  <c r="X29" i="24"/>
  <c r="Z29" i="24" s="1"/>
  <c r="N29" i="24"/>
  <c r="L29" i="24"/>
  <c r="F29" i="24"/>
  <c r="B29" i="24"/>
  <c r="Z28" i="24"/>
  <c r="X28" i="24"/>
  <c r="R28" i="24"/>
  <c r="N28" i="24"/>
  <c r="L28" i="24"/>
  <c r="J28" i="24"/>
  <c r="F28" i="24"/>
  <c r="B28" i="24"/>
  <c r="X27" i="24"/>
  <c r="Z27" i="24" s="1"/>
  <c r="L27" i="24"/>
  <c r="N27" i="24" s="1"/>
  <c r="J27" i="24"/>
  <c r="F27" i="24"/>
  <c r="B27" i="24"/>
  <c r="Z26" i="24"/>
  <c r="X26" i="24"/>
  <c r="N26" i="24"/>
  <c r="L26" i="24"/>
  <c r="J26" i="24"/>
  <c r="B26" i="24"/>
  <c r="Z25" i="24"/>
  <c r="X25" i="24"/>
  <c r="R25" i="24"/>
  <c r="N25" i="24"/>
  <c r="L25" i="24"/>
  <c r="F25" i="24"/>
  <c r="B25" i="24"/>
  <c r="Z24" i="24"/>
  <c r="X24" i="24"/>
  <c r="V24" i="24"/>
  <c r="R24" i="24"/>
  <c r="N24" i="24"/>
  <c r="L24" i="24"/>
  <c r="F24" i="24"/>
  <c r="B24" i="24"/>
  <c r="X23" i="24"/>
  <c r="Z23" i="24" s="1"/>
  <c r="R23" i="24"/>
  <c r="L23" i="24"/>
  <c r="N23" i="24" s="1"/>
  <c r="F23" i="24"/>
  <c r="B23" i="24"/>
  <c r="X22" i="24"/>
  <c r="Z22" i="24" s="1"/>
  <c r="L22" i="24"/>
  <c r="N22" i="24" s="1"/>
  <c r="B22" i="24"/>
  <c r="Z21" i="24"/>
  <c r="X21" i="24"/>
  <c r="N21" i="24"/>
  <c r="L21" i="24"/>
  <c r="F21" i="24"/>
  <c r="B21" i="24"/>
  <c r="Z20" i="24"/>
  <c r="X20" i="24"/>
  <c r="R20" i="24"/>
  <c r="N20" i="24"/>
  <c r="L20" i="24"/>
  <c r="J20" i="24"/>
  <c r="F20" i="24"/>
  <c r="B20" i="24"/>
  <c r="T19" i="24"/>
  <c r="P19" i="24"/>
  <c r="X19" i="24" s="1"/>
  <c r="N19" i="24"/>
  <c r="L19" i="24"/>
  <c r="H19" i="24"/>
  <c r="F19" i="24"/>
  <c r="D19" i="24"/>
  <c r="B19" i="24"/>
  <c r="T18" i="24" a="1"/>
  <c r="T18" i="24"/>
  <c r="R18" i="24"/>
  <c r="P18" i="24" a="1"/>
  <c r="P18" i="24" s="1"/>
  <c r="X18" i="24" s="1"/>
  <c r="Z18" i="24" s="1"/>
  <c r="J18" i="24"/>
  <c r="H18" i="24" a="1"/>
  <c r="H18" i="24" s="1"/>
  <c r="L18" i="24" s="1"/>
  <c r="N18" i="24" s="1"/>
  <c r="F18" i="24"/>
  <c r="D18" i="24" a="1"/>
  <c r="D18" i="24" s="1"/>
  <c r="D77" i="24" s="1"/>
  <c r="R16" i="24"/>
  <c r="J16" i="24"/>
  <c r="H16" i="24"/>
  <c r="F16" i="24"/>
  <c r="D16" i="24"/>
  <c r="L16" i="24" s="1"/>
  <c r="Z14" i="24"/>
  <c r="T14" i="24"/>
  <c r="R14" i="24"/>
  <c r="P14" i="24"/>
  <c r="N14" i="24"/>
  <c r="H14" i="24"/>
  <c r="L14" i="24" s="1"/>
  <c r="F14" i="24"/>
  <c r="D14" i="24"/>
  <c r="T12" i="24"/>
  <c r="V67" i="24" s="1"/>
  <c r="P12" i="24"/>
  <c r="R69" i="24" s="1"/>
  <c r="H12" i="24"/>
  <c r="J70" i="24" s="1"/>
  <c r="D12" i="24"/>
  <c r="F79" i="24" s="1"/>
  <c r="D6" i="24"/>
  <c r="D4" i="24"/>
  <c r="Z72" i="23"/>
  <c r="X72" i="23"/>
  <c r="N72" i="23"/>
  <c r="L72" i="23"/>
  <c r="T68" i="23"/>
  <c r="Z68" i="23" s="1"/>
  <c r="P68" i="23"/>
  <c r="N68" i="23"/>
  <c r="L68" i="23"/>
  <c r="H68" i="23"/>
  <c r="D68" i="23"/>
  <c r="Z66" i="23"/>
  <c r="X66" i="23"/>
  <c r="N66" i="23"/>
  <c r="L66" i="23"/>
  <c r="B66" i="23"/>
  <c r="T65" i="23"/>
  <c r="Z65" i="23" s="1"/>
  <c r="P65" i="23"/>
  <c r="X65" i="23" s="1"/>
  <c r="N65" i="23"/>
  <c r="H65" i="23"/>
  <c r="D65" i="23"/>
  <c r="L65" i="23" s="1"/>
  <c r="B65" i="23"/>
  <c r="X64" i="23"/>
  <c r="Z64" i="23" s="1"/>
  <c r="N64" i="23"/>
  <c r="L64" i="23"/>
  <c r="B64" i="23"/>
  <c r="Z63" i="23"/>
  <c r="X63" i="23"/>
  <c r="T63" i="23"/>
  <c r="P63" i="23"/>
  <c r="L63" i="23"/>
  <c r="H63" i="23"/>
  <c r="N63" i="23" s="1"/>
  <c r="D63" i="23"/>
  <c r="B63" i="23"/>
  <c r="Z62" i="23"/>
  <c r="X62" i="23"/>
  <c r="N62" i="23"/>
  <c r="L62" i="23"/>
  <c r="B62" i="23"/>
  <c r="X61" i="23"/>
  <c r="T61" i="23"/>
  <c r="P61" i="23"/>
  <c r="H61" i="23"/>
  <c r="D61" i="23"/>
  <c r="L61" i="23" s="1"/>
  <c r="N61" i="23" s="1"/>
  <c r="B61" i="23"/>
  <c r="X60" i="23"/>
  <c r="Z60" i="23" s="1"/>
  <c r="N60" i="23"/>
  <c r="L60" i="23"/>
  <c r="B60" i="23"/>
  <c r="Z59" i="23"/>
  <c r="X59" i="23"/>
  <c r="N59" i="23"/>
  <c r="L59" i="23"/>
  <c r="B59" i="23"/>
  <c r="T58" i="23"/>
  <c r="P58" i="23"/>
  <c r="L58" i="23"/>
  <c r="N58" i="23" s="1"/>
  <c r="H58" i="23"/>
  <c r="D58" i="23"/>
  <c r="B58" i="23"/>
  <c r="X57" i="23"/>
  <c r="Z57" i="23" s="1"/>
  <c r="L57" i="23"/>
  <c r="N57" i="23" s="1"/>
  <c r="B57" i="23"/>
  <c r="T56" i="23"/>
  <c r="P56" i="23"/>
  <c r="X56" i="23" s="1"/>
  <c r="Z56" i="23" s="1"/>
  <c r="N56" i="23"/>
  <c r="H56" i="23"/>
  <c r="L56" i="23" s="1"/>
  <c r="D56" i="23"/>
  <c r="B56" i="23"/>
  <c r="X55" i="23"/>
  <c r="Z55" i="23" s="1"/>
  <c r="N55" i="23"/>
  <c r="L55" i="23"/>
  <c r="B55" i="23"/>
  <c r="Z54" i="23"/>
  <c r="X54" i="23"/>
  <c r="V54" i="23"/>
  <c r="N54" i="23"/>
  <c r="L54" i="23"/>
  <c r="B54" i="23"/>
  <c r="X53" i="23"/>
  <c r="Z53" i="23" s="1"/>
  <c r="V53" i="23"/>
  <c r="N53" i="23"/>
  <c r="L53" i="23"/>
  <c r="B53" i="23"/>
  <c r="X52" i="23"/>
  <c r="Z52" i="23" s="1"/>
  <c r="T52" i="23"/>
  <c r="P52" i="23"/>
  <c r="N52" i="23"/>
  <c r="H52" i="23"/>
  <c r="L52" i="23" s="1"/>
  <c r="D52" i="23"/>
  <c r="B52" i="23"/>
  <c r="X51" i="23"/>
  <c r="Z51" i="23" s="1"/>
  <c r="L51" i="23"/>
  <c r="N51" i="23" s="1"/>
  <c r="B51" i="23"/>
  <c r="T50" i="23"/>
  <c r="X50" i="23" s="1"/>
  <c r="P50" i="23"/>
  <c r="L50" i="23"/>
  <c r="N50" i="23" s="1"/>
  <c r="H50" i="23"/>
  <c r="D50" i="23"/>
  <c r="B50" i="23"/>
  <c r="Z49" i="23"/>
  <c r="X49" i="23"/>
  <c r="V49" i="23"/>
  <c r="N49" i="23"/>
  <c r="L49" i="23"/>
  <c r="B49" i="23"/>
  <c r="Z48" i="23"/>
  <c r="X48" i="23"/>
  <c r="T48" i="23"/>
  <c r="P48" i="23"/>
  <c r="H48" i="23"/>
  <c r="N48" i="23" s="1"/>
  <c r="D48" i="23"/>
  <c r="L48" i="23" s="1"/>
  <c r="B48" i="23"/>
  <c r="Z47" i="23"/>
  <c r="X47" i="23"/>
  <c r="N47" i="23"/>
  <c r="L47" i="23"/>
  <c r="B47" i="23"/>
  <c r="T46" i="23"/>
  <c r="Z46" i="23" s="1"/>
  <c r="P46" i="23"/>
  <c r="X46" i="23" s="1"/>
  <c r="H46" i="23"/>
  <c r="D46" i="23"/>
  <c r="L46" i="23" s="1"/>
  <c r="N46" i="23" s="1"/>
  <c r="B46" i="23"/>
  <c r="Z45" i="23"/>
  <c r="X45" i="23"/>
  <c r="L45" i="23"/>
  <c r="N45" i="23" s="1"/>
  <c r="B45" i="23"/>
  <c r="T44" i="23"/>
  <c r="P44" i="23"/>
  <c r="X44" i="23" s="1"/>
  <c r="Z44" i="23" s="1"/>
  <c r="H44" i="23"/>
  <c r="D44" i="23"/>
  <c r="B44" i="23"/>
  <c r="Z43" i="23"/>
  <c r="X43" i="23"/>
  <c r="N43" i="23"/>
  <c r="L43" i="23"/>
  <c r="B43" i="23"/>
  <c r="T42" i="23"/>
  <c r="Z42" i="23" s="1"/>
  <c r="P42" i="23"/>
  <c r="N42" i="23"/>
  <c r="L42" i="23"/>
  <c r="H42" i="23"/>
  <c r="D42" i="23"/>
  <c r="B42" i="23"/>
  <c r="X41" i="23"/>
  <c r="Z41" i="23" s="1"/>
  <c r="V41" i="23"/>
  <c r="N41" i="23"/>
  <c r="L41" i="23"/>
  <c r="B41" i="23"/>
  <c r="X40" i="23"/>
  <c r="Z40" i="23" s="1"/>
  <c r="T40" i="23"/>
  <c r="P40" i="23"/>
  <c r="H40" i="23"/>
  <c r="N40" i="23" s="1"/>
  <c r="D40" i="23"/>
  <c r="L40" i="23" s="1"/>
  <c r="B40" i="23"/>
  <c r="Z39" i="23"/>
  <c r="X39" i="23"/>
  <c r="N39" i="23"/>
  <c r="L39" i="23"/>
  <c r="B39" i="23"/>
  <c r="Z38" i="23"/>
  <c r="X38" i="23"/>
  <c r="N38" i="23"/>
  <c r="L38" i="23"/>
  <c r="B38" i="23"/>
  <c r="X37" i="23"/>
  <c r="Z37" i="23" s="1"/>
  <c r="V37" i="23"/>
  <c r="N37" i="23"/>
  <c r="L37" i="23"/>
  <c r="B37" i="23"/>
  <c r="X36" i="23"/>
  <c r="Z36" i="23" s="1"/>
  <c r="L36" i="23"/>
  <c r="N36" i="23" s="1"/>
  <c r="B36" i="23"/>
  <c r="Z35" i="23"/>
  <c r="X35" i="23"/>
  <c r="N35" i="23"/>
  <c r="L35" i="23"/>
  <c r="B35" i="23"/>
  <c r="Z34" i="23"/>
  <c r="X34" i="23"/>
  <c r="N34" i="23"/>
  <c r="L34" i="23"/>
  <c r="B34" i="23"/>
  <c r="Z33" i="23"/>
  <c r="X33" i="23"/>
  <c r="V33" i="23"/>
  <c r="N33" i="23"/>
  <c r="L33" i="23"/>
  <c r="B33" i="23"/>
  <c r="Z32" i="23"/>
  <c r="X32" i="23"/>
  <c r="V32" i="23"/>
  <c r="N32" i="23"/>
  <c r="L32" i="23"/>
  <c r="B32" i="23"/>
  <c r="Z31" i="23"/>
  <c r="X31" i="23"/>
  <c r="N31" i="23"/>
  <c r="L31" i="23"/>
  <c r="B31" i="23"/>
  <c r="Z30" i="23"/>
  <c r="X30" i="23"/>
  <c r="V30" i="23"/>
  <c r="N30" i="23"/>
  <c r="L30" i="23"/>
  <c r="B30" i="23"/>
  <c r="X29" i="23"/>
  <c r="V29" i="23"/>
  <c r="T29" i="23"/>
  <c r="Z29" i="23" s="1"/>
  <c r="P29" i="23"/>
  <c r="N29" i="23"/>
  <c r="L29" i="23"/>
  <c r="H29" i="23"/>
  <c r="D29" i="23"/>
  <c r="B29" i="23"/>
  <c r="X28" i="23"/>
  <c r="Z28" i="23" s="1"/>
  <c r="V28" i="23"/>
  <c r="L28" i="23"/>
  <c r="N28" i="23" s="1"/>
  <c r="B28" i="23"/>
  <c r="Z27" i="23"/>
  <c r="X27" i="23"/>
  <c r="N27" i="23"/>
  <c r="L27" i="23"/>
  <c r="B27" i="23"/>
  <c r="Z26" i="23"/>
  <c r="X26" i="23"/>
  <c r="V26" i="23"/>
  <c r="N26" i="23"/>
  <c r="L26" i="23"/>
  <c r="B26" i="23"/>
  <c r="Z25" i="23"/>
  <c r="X25" i="23"/>
  <c r="V25" i="23"/>
  <c r="N25" i="23"/>
  <c r="L25" i="23"/>
  <c r="B25" i="23"/>
  <c r="X24" i="23"/>
  <c r="Z24" i="23" s="1"/>
  <c r="V24" i="23"/>
  <c r="L24" i="23"/>
  <c r="N24" i="23" s="1"/>
  <c r="B24" i="23"/>
  <c r="Z23" i="23"/>
  <c r="X23" i="23"/>
  <c r="N23" i="23"/>
  <c r="L23" i="23"/>
  <c r="B23" i="23"/>
  <c r="Z22" i="23"/>
  <c r="X22" i="23"/>
  <c r="N22" i="23"/>
  <c r="L22" i="23"/>
  <c r="B22" i="23"/>
  <c r="Z21" i="23"/>
  <c r="X21" i="23"/>
  <c r="V21" i="23"/>
  <c r="L21" i="23"/>
  <c r="N21" i="23" s="1"/>
  <c r="B21" i="23"/>
  <c r="X20" i="23"/>
  <c r="Z20" i="23" s="1"/>
  <c r="V20" i="23"/>
  <c r="L20" i="23"/>
  <c r="N20" i="23" s="1"/>
  <c r="B20" i="23"/>
  <c r="Z19" i="23"/>
  <c r="X19" i="23"/>
  <c r="T19" i="23"/>
  <c r="P19" i="23"/>
  <c r="H19" i="23"/>
  <c r="D19" i="23"/>
  <c r="L19" i="23" s="1"/>
  <c r="B19" i="23"/>
  <c r="T18" i="23" a="1"/>
  <c r="T18" i="23" s="1"/>
  <c r="P18" i="23" a="1"/>
  <c r="P18" i="23"/>
  <c r="H18" i="23" a="1"/>
  <c r="H18" i="23" s="1"/>
  <c r="D18" i="23" a="1"/>
  <c r="D18" i="23"/>
  <c r="V14" i="23"/>
  <c r="T14" i="23"/>
  <c r="T16" i="23" s="1"/>
  <c r="P14" i="23"/>
  <c r="X14" i="23" s="1"/>
  <c r="L14" i="23"/>
  <c r="H14" i="23"/>
  <c r="N14" i="23" s="1"/>
  <c r="D14" i="23"/>
  <c r="Z12" i="23"/>
  <c r="T12" i="23"/>
  <c r="V45" i="23" s="1"/>
  <c r="P12" i="23"/>
  <c r="R63" i="23" s="1"/>
  <c r="H12" i="23"/>
  <c r="J77" i="23" s="1"/>
  <c r="D12" i="23"/>
  <c r="F48" i="23" s="1"/>
  <c r="D6" i="23"/>
  <c r="D4" i="23"/>
  <c r="Z79" i="22"/>
  <c r="X79" i="22"/>
  <c r="N79" i="22"/>
  <c r="L79" i="22"/>
  <c r="Z75" i="22"/>
  <c r="T75" i="22"/>
  <c r="P75" i="22"/>
  <c r="X75" i="22" s="1"/>
  <c r="H75" i="22"/>
  <c r="N75" i="22" s="1"/>
  <c r="D75" i="22"/>
  <c r="L75" i="22" s="1"/>
  <c r="X73" i="22"/>
  <c r="Z73" i="22" s="1"/>
  <c r="N73" i="22"/>
  <c r="L73" i="22"/>
  <c r="B73" i="22"/>
  <c r="T72" i="22"/>
  <c r="X72" i="22" s="1"/>
  <c r="Z72" i="22" s="1"/>
  <c r="P72" i="22"/>
  <c r="H72" i="22"/>
  <c r="N72" i="22" s="1"/>
  <c r="D72" i="22"/>
  <c r="L72" i="22" s="1"/>
  <c r="B72" i="22"/>
  <c r="Z71" i="22"/>
  <c r="X71" i="22"/>
  <c r="N71" i="22"/>
  <c r="L71" i="22"/>
  <c r="B71" i="22"/>
  <c r="T70" i="22"/>
  <c r="P70" i="22"/>
  <c r="X70" i="22" s="1"/>
  <c r="N70" i="22"/>
  <c r="H70" i="22"/>
  <c r="D70" i="22"/>
  <c r="L70" i="22" s="1"/>
  <c r="B70" i="22"/>
  <c r="X69" i="22"/>
  <c r="Z69" i="22" s="1"/>
  <c r="L69" i="22"/>
  <c r="N69" i="22" s="1"/>
  <c r="B69" i="22"/>
  <c r="T68" i="22"/>
  <c r="P68" i="22"/>
  <c r="X68" i="22" s="1"/>
  <c r="Z68" i="22" s="1"/>
  <c r="L68" i="22"/>
  <c r="H68" i="22"/>
  <c r="N68" i="22" s="1"/>
  <c r="D68" i="22"/>
  <c r="B68" i="22"/>
  <c r="Z67" i="22"/>
  <c r="X67" i="22"/>
  <c r="N67" i="22"/>
  <c r="L67" i="22"/>
  <c r="B67" i="22"/>
  <c r="X66" i="22"/>
  <c r="Z66" i="22" s="1"/>
  <c r="L66" i="22"/>
  <c r="N66" i="22" s="1"/>
  <c r="B66" i="22"/>
  <c r="T65" i="22"/>
  <c r="P65" i="22"/>
  <c r="X65" i="22" s="1"/>
  <c r="Z65" i="22" s="1"/>
  <c r="H65" i="22"/>
  <c r="N65" i="22" s="1"/>
  <c r="D65" i="22"/>
  <c r="L65" i="22" s="1"/>
  <c r="B65" i="22"/>
  <c r="Z64" i="22"/>
  <c r="X64" i="22"/>
  <c r="N64" i="22"/>
  <c r="L64" i="22"/>
  <c r="B64" i="22"/>
  <c r="T63" i="22"/>
  <c r="Z63" i="22" s="1"/>
  <c r="P63" i="22"/>
  <c r="X63" i="22" s="1"/>
  <c r="L63" i="22"/>
  <c r="N63" i="22" s="1"/>
  <c r="H63" i="22"/>
  <c r="D63" i="22"/>
  <c r="B63" i="22"/>
  <c r="Z62" i="22"/>
  <c r="X62" i="22"/>
  <c r="N62" i="22"/>
  <c r="L62" i="22"/>
  <c r="B62" i="22"/>
  <c r="X61" i="22"/>
  <c r="Z61" i="22" s="1"/>
  <c r="L61" i="22"/>
  <c r="N61" i="22" s="1"/>
  <c r="B61" i="22"/>
  <c r="T60" i="22"/>
  <c r="X60" i="22" s="1"/>
  <c r="Z60" i="22" s="1"/>
  <c r="P60" i="22"/>
  <c r="H60" i="22"/>
  <c r="N60" i="22" s="1"/>
  <c r="D60" i="22"/>
  <c r="L60" i="22" s="1"/>
  <c r="B60" i="22"/>
  <c r="Z59" i="22"/>
  <c r="X59" i="22"/>
  <c r="N59" i="22"/>
  <c r="L59" i="22"/>
  <c r="B59" i="22"/>
  <c r="X58" i="22"/>
  <c r="Z58" i="22" s="1"/>
  <c r="N58" i="22"/>
  <c r="L58" i="22"/>
  <c r="B58" i="22"/>
  <c r="X57" i="22"/>
  <c r="Z57" i="22" s="1"/>
  <c r="N57" i="22"/>
  <c r="L57" i="22"/>
  <c r="B57" i="22"/>
  <c r="T56" i="22"/>
  <c r="P56" i="22"/>
  <c r="H56" i="22"/>
  <c r="N56" i="22" s="1"/>
  <c r="D56" i="22"/>
  <c r="L56" i="22" s="1"/>
  <c r="B56" i="22"/>
  <c r="Z55" i="22"/>
  <c r="X55" i="22"/>
  <c r="N55" i="22"/>
  <c r="L55" i="22"/>
  <c r="B55" i="22"/>
  <c r="T54" i="22"/>
  <c r="P54" i="22"/>
  <c r="X54" i="22" s="1"/>
  <c r="H54" i="22"/>
  <c r="D54" i="22"/>
  <c r="L54" i="22" s="1"/>
  <c r="N54" i="22" s="1"/>
  <c r="B54" i="22"/>
  <c r="Z53" i="22"/>
  <c r="X53" i="22"/>
  <c r="N53" i="22"/>
  <c r="L53" i="22"/>
  <c r="B53" i="22"/>
  <c r="Z52" i="22"/>
  <c r="T52" i="22"/>
  <c r="P52" i="22"/>
  <c r="X52" i="22" s="1"/>
  <c r="L52" i="22"/>
  <c r="H52" i="22"/>
  <c r="N52" i="22" s="1"/>
  <c r="D52" i="22"/>
  <c r="B52" i="22"/>
  <c r="Z51" i="22"/>
  <c r="X51" i="22"/>
  <c r="N51" i="22"/>
  <c r="L51" i="22"/>
  <c r="B51" i="22"/>
  <c r="X50" i="22"/>
  <c r="T50" i="22"/>
  <c r="Z50" i="22" s="1"/>
  <c r="P50" i="22"/>
  <c r="H50" i="22"/>
  <c r="D50" i="22"/>
  <c r="B50" i="22"/>
  <c r="X49" i="22"/>
  <c r="Z49" i="22" s="1"/>
  <c r="N49" i="22"/>
  <c r="L49" i="22"/>
  <c r="B49" i="22"/>
  <c r="T48" i="22"/>
  <c r="P48" i="22"/>
  <c r="H48" i="22"/>
  <c r="N48" i="22" s="1"/>
  <c r="D48" i="22"/>
  <c r="L48" i="22" s="1"/>
  <c r="B48" i="22"/>
  <c r="Z47" i="22"/>
  <c r="X47" i="22"/>
  <c r="N47" i="22"/>
  <c r="L47" i="22"/>
  <c r="B47" i="22"/>
  <c r="T46" i="22"/>
  <c r="Z46" i="22" s="1"/>
  <c r="P46" i="22"/>
  <c r="X46" i="22" s="1"/>
  <c r="H46" i="22"/>
  <c r="D46" i="22"/>
  <c r="L46" i="22" s="1"/>
  <c r="N46" i="22" s="1"/>
  <c r="B46" i="22"/>
  <c r="Z45" i="22"/>
  <c r="X45" i="22"/>
  <c r="L45" i="22"/>
  <c r="N45" i="22" s="1"/>
  <c r="B45" i="22"/>
  <c r="T44" i="22"/>
  <c r="P44" i="22"/>
  <c r="X44" i="22" s="1"/>
  <c r="Z44" i="22" s="1"/>
  <c r="L44" i="22"/>
  <c r="H44" i="22"/>
  <c r="N44" i="22" s="1"/>
  <c r="D44" i="22"/>
  <c r="B44" i="22"/>
  <c r="Z43" i="22"/>
  <c r="X43" i="22"/>
  <c r="N43" i="22"/>
  <c r="L43" i="22"/>
  <c r="B43" i="22"/>
  <c r="X42" i="22"/>
  <c r="T42" i="22"/>
  <c r="Z42" i="22" s="1"/>
  <c r="P42" i="22"/>
  <c r="H42" i="22"/>
  <c r="D42" i="22"/>
  <c r="B42" i="22"/>
  <c r="X41" i="22"/>
  <c r="Z41" i="22" s="1"/>
  <c r="N41" i="22"/>
  <c r="L41" i="22"/>
  <c r="B41" i="22"/>
  <c r="T40" i="22"/>
  <c r="P40" i="22"/>
  <c r="H40" i="22"/>
  <c r="N40" i="22" s="1"/>
  <c r="D40" i="22"/>
  <c r="L40" i="22" s="1"/>
  <c r="B40" i="22"/>
  <c r="Z39" i="22"/>
  <c r="X39" i="22"/>
  <c r="N39" i="22"/>
  <c r="L39" i="22"/>
  <c r="B39" i="22"/>
  <c r="Z38" i="22"/>
  <c r="X38" i="22"/>
  <c r="N38" i="22"/>
  <c r="L38" i="22"/>
  <c r="B38" i="22"/>
  <c r="Z37" i="22"/>
  <c r="X37" i="22"/>
  <c r="N37" i="22"/>
  <c r="L37" i="22"/>
  <c r="B37" i="22"/>
  <c r="Z36" i="22"/>
  <c r="X36" i="22"/>
  <c r="N36" i="22"/>
  <c r="L36" i="22"/>
  <c r="B36" i="22"/>
  <c r="Z35" i="22"/>
  <c r="X35" i="22"/>
  <c r="N35" i="22"/>
  <c r="L35" i="22"/>
  <c r="B35" i="22"/>
  <c r="Z34" i="22"/>
  <c r="X34" i="22"/>
  <c r="N34" i="22"/>
  <c r="L34" i="22"/>
  <c r="B34" i="22"/>
  <c r="Z33" i="22"/>
  <c r="X33" i="22"/>
  <c r="N33" i="22"/>
  <c r="L33" i="22"/>
  <c r="B33" i="22"/>
  <c r="Z32" i="22"/>
  <c r="X32" i="22"/>
  <c r="N32" i="22"/>
  <c r="L32" i="22"/>
  <c r="F32" i="22"/>
  <c r="B32" i="22"/>
  <c r="Z31" i="22"/>
  <c r="X31" i="22"/>
  <c r="N31" i="22"/>
  <c r="L31" i="22"/>
  <c r="B31" i="22"/>
  <c r="X30" i="22"/>
  <c r="Z30" i="22" s="1"/>
  <c r="L30" i="22"/>
  <c r="N30" i="22" s="1"/>
  <c r="B30" i="22"/>
  <c r="T29" i="22"/>
  <c r="P29" i="22"/>
  <c r="X29" i="22" s="1"/>
  <c r="Z29" i="22" s="1"/>
  <c r="H29" i="22"/>
  <c r="D29" i="22"/>
  <c r="B29" i="22"/>
  <c r="Z28" i="22"/>
  <c r="X28" i="22"/>
  <c r="N28" i="22"/>
  <c r="L28" i="22"/>
  <c r="F28" i="22"/>
  <c r="B28" i="22"/>
  <c r="Z27" i="22"/>
  <c r="X27" i="22"/>
  <c r="N27" i="22"/>
  <c r="L27" i="22"/>
  <c r="F27" i="22"/>
  <c r="B27" i="22"/>
  <c r="X26" i="22"/>
  <c r="Z26" i="22" s="1"/>
  <c r="L26" i="22"/>
  <c r="N26" i="22" s="1"/>
  <c r="B26" i="22"/>
  <c r="Z25" i="22"/>
  <c r="X25" i="22"/>
  <c r="N25" i="22"/>
  <c r="L25" i="22"/>
  <c r="B25" i="22"/>
  <c r="Z24" i="22"/>
  <c r="X24" i="22"/>
  <c r="N24" i="22"/>
  <c r="L24" i="22"/>
  <c r="B24" i="22"/>
  <c r="Z23" i="22"/>
  <c r="X23" i="22"/>
  <c r="N23" i="22"/>
  <c r="L23" i="22"/>
  <c r="F23" i="22"/>
  <c r="B23" i="22"/>
  <c r="X22" i="22"/>
  <c r="Z22" i="22" s="1"/>
  <c r="L22" i="22"/>
  <c r="N22" i="22" s="1"/>
  <c r="B22" i="22"/>
  <c r="Z21" i="22"/>
  <c r="X21" i="22"/>
  <c r="L21" i="22"/>
  <c r="N21" i="22" s="1"/>
  <c r="B21" i="22"/>
  <c r="Z20" i="22"/>
  <c r="X20" i="22"/>
  <c r="N20" i="22"/>
  <c r="L20" i="22"/>
  <c r="F20" i="22"/>
  <c r="B20" i="22"/>
  <c r="T19" i="22"/>
  <c r="P19" i="22"/>
  <c r="H19" i="22"/>
  <c r="D19" i="22"/>
  <c r="L19" i="22" s="1"/>
  <c r="N19" i="22" s="1"/>
  <c r="B19" i="22"/>
  <c r="V18" i="22"/>
  <c r="T18" i="22" a="1"/>
  <c r="T18" i="22" s="1"/>
  <c r="P18" i="22" a="1"/>
  <c r="P18" i="22" s="1"/>
  <c r="X18" i="22" s="1"/>
  <c r="H18" i="22" a="1"/>
  <c r="H18" i="22" s="1"/>
  <c r="D18" i="22" a="1"/>
  <c r="D18" i="22" s="1"/>
  <c r="L18" i="22" s="1"/>
  <c r="V16" i="22"/>
  <c r="N16" i="22"/>
  <c r="H16" i="22"/>
  <c r="F16" i="22"/>
  <c r="D16" i="22"/>
  <c r="V14" i="22"/>
  <c r="T14" i="22"/>
  <c r="Z14" i="22" s="1"/>
  <c r="P14" i="22"/>
  <c r="X14" i="22" s="1"/>
  <c r="N14" i="22"/>
  <c r="L14" i="22"/>
  <c r="H14" i="22"/>
  <c r="F14" i="22"/>
  <c r="D14" i="22"/>
  <c r="X12" i="22"/>
  <c r="T12" i="22"/>
  <c r="T16" i="22" s="1"/>
  <c r="P12" i="22"/>
  <c r="R29" i="22" s="1"/>
  <c r="H12" i="22"/>
  <c r="J27" i="22" s="1"/>
  <c r="D12" i="22"/>
  <c r="F64" i="22" s="1"/>
  <c r="D6" i="22"/>
  <c r="D4" i="22"/>
  <c r="Z34" i="21"/>
  <c r="X34" i="21"/>
  <c r="N34" i="21"/>
  <c r="L34" i="21"/>
  <c r="Z30" i="21"/>
  <c r="X30" i="21"/>
  <c r="T30" i="21"/>
  <c r="P30" i="21"/>
  <c r="H30" i="21"/>
  <c r="N30" i="21" s="1"/>
  <c r="D30" i="21"/>
  <c r="X28" i="21"/>
  <c r="Z28" i="21" s="1"/>
  <c r="N28" i="21"/>
  <c r="L28" i="21"/>
  <c r="B28" i="21"/>
  <c r="Z27" i="21"/>
  <c r="X27" i="21"/>
  <c r="N27" i="21"/>
  <c r="L27" i="21"/>
  <c r="B27" i="21"/>
  <c r="T26" i="21"/>
  <c r="Z26" i="21" s="1"/>
  <c r="P26" i="21"/>
  <c r="X26" i="21" s="1"/>
  <c r="L26" i="21"/>
  <c r="H26" i="21"/>
  <c r="N26" i="21" s="1"/>
  <c r="D26" i="21"/>
  <c r="B26" i="21"/>
  <c r="Z25" i="21"/>
  <c r="X25" i="21"/>
  <c r="L25" i="21"/>
  <c r="N25" i="21" s="1"/>
  <c r="B25" i="21"/>
  <c r="X24" i="21"/>
  <c r="T24" i="21"/>
  <c r="Z24" i="21" s="1"/>
  <c r="P24" i="21"/>
  <c r="H24" i="21"/>
  <c r="D24" i="21"/>
  <c r="B24" i="21"/>
  <c r="Z23" i="21"/>
  <c r="X23" i="21"/>
  <c r="N23" i="21"/>
  <c r="L23" i="21"/>
  <c r="B23" i="21"/>
  <c r="T22" i="21"/>
  <c r="P22" i="21"/>
  <c r="H22" i="21"/>
  <c r="D22" i="21"/>
  <c r="L22" i="21" s="1"/>
  <c r="N22" i="21" s="1"/>
  <c r="B22" i="21"/>
  <c r="X21" i="21"/>
  <c r="Z21" i="21" s="1"/>
  <c r="N21" i="21"/>
  <c r="L21" i="21"/>
  <c r="J21" i="21"/>
  <c r="B21" i="21"/>
  <c r="Z20" i="21"/>
  <c r="X20" i="21"/>
  <c r="N20" i="21"/>
  <c r="L20" i="21"/>
  <c r="B20" i="21"/>
  <c r="T19" i="21"/>
  <c r="P19" i="21"/>
  <c r="X19" i="21" s="1"/>
  <c r="Z19" i="21" s="1"/>
  <c r="L19" i="21"/>
  <c r="J19" i="21"/>
  <c r="H19" i="21"/>
  <c r="N19" i="21" s="1"/>
  <c r="D19" i="21"/>
  <c r="B19" i="21"/>
  <c r="T18" i="21" a="1"/>
  <c r="T18" i="21" s="1"/>
  <c r="P18" i="21" a="1"/>
  <c r="P18" i="21"/>
  <c r="X18" i="21" s="1"/>
  <c r="J18" i="21"/>
  <c r="H18" i="21" a="1"/>
  <c r="H18" i="21" s="1"/>
  <c r="D18" i="21" a="1"/>
  <c r="D18" i="21"/>
  <c r="L18" i="21" s="1"/>
  <c r="T14" i="21"/>
  <c r="T16" i="21" s="1"/>
  <c r="P14" i="21"/>
  <c r="N14" i="21"/>
  <c r="H14" i="21"/>
  <c r="D14" i="21"/>
  <c r="L14" i="21" s="1"/>
  <c r="T12" i="21"/>
  <c r="P12" i="21"/>
  <c r="R39" i="21" s="1"/>
  <c r="H12" i="21"/>
  <c r="J30" i="21" s="1"/>
  <c r="D12" i="21"/>
  <c r="F24" i="21" s="1"/>
  <c r="D6" i="21"/>
  <c r="D4" i="21"/>
  <c r="X29" i="20"/>
  <c r="Z29" i="20" s="1"/>
  <c r="T29" i="20"/>
  <c r="P29" i="20"/>
  <c r="H29" i="20"/>
  <c r="N29" i="20" s="1"/>
  <c r="D29" i="20"/>
  <c r="L29" i="20" s="1"/>
  <c r="T28" i="20"/>
  <c r="P28" i="20"/>
  <c r="X28" i="20" s="1"/>
  <c r="Z28" i="20" s="1"/>
  <c r="J28" i="20"/>
  <c r="H28" i="20"/>
  <c r="D28" i="20"/>
  <c r="R26" i="20"/>
  <c r="Z24" i="20"/>
  <c r="X24" i="20"/>
  <c r="N24" i="20"/>
  <c r="L24" i="20"/>
  <c r="J22" i="20"/>
  <c r="X20" i="20"/>
  <c r="T20" i="20"/>
  <c r="Z20" i="20" s="1"/>
  <c r="R20" i="20"/>
  <c r="P20" i="20"/>
  <c r="H20" i="20"/>
  <c r="N20" i="20" s="1"/>
  <c r="D20" i="20"/>
  <c r="L20" i="20" s="1"/>
  <c r="Z18" i="20"/>
  <c r="T18" i="20"/>
  <c r="P18" i="20"/>
  <c r="X18" i="20" s="1"/>
  <c r="J18" i="20"/>
  <c r="H18" i="20"/>
  <c r="N18" i="20" s="1"/>
  <c r="D18" i="20"/>
  <c r="L18" i="20" s="1"/>
  <c r="R16" i="20"/>
  <c r="H16" i="20"/>
  <c r="H22" i="20" s="1"/>
  <c r="Z14" i="20"/>
  <c r="T14" i="20"/>
  <c r="P14" i="20"/>
  <c r="P16" i="20" s="1"/>
  <c r="J14" i="20"/>
  <c r="H14" i="20"/>
  <c r="N14" i="20" s="1"/>
  <c r="D14" i="20"/>
  <c r="L14" i="20" s="1"/>
  <c r="X12" i="20"/>
  <c r="T12" i="20"/>
  <c r="V31" i="20" s="1"/>
  <c r="P12" i="20"/>
  <c r="R24" i="20" s="1"/>
  <c r="N12" i="20"/>
  <c r="L12" i="20"/>
  <c r="H12" i="20"/>
  <c r="J29" i="20" s="1"/>
  <c r="D12" i="20"/>
  <c r="F31" i="20" s="1"/>
  <c r="D6" i="20"/>
  <c r="D4" i="20"/>
  <c r="X83" i="19"/>
  <c r="Z83" i="19" s="1"/>
  <c r="L83" i="19"/>
  <c r="N83" i="19" s="1"/>
  <c r="X79" i="19"/>
  <c r="Z79" i="19" s="1"/>
  <c r="P79" i="19"/>
  <c r="D79" i="19"/>
  <c r="L79" i="19" s="1"/>
  <c r="N79" i="19" s="1"/>
  <c r="B79" i="19"/>
  <c r="Z78" i="19"/>
  <c r="P78" i="19"/>
  <c r="X78" i="19" s="1"/>
  <c r="N78" i="19"/>
  <c r="L78" i="19"/>
  <c r="D78" i="19"/>
  <c r="B78" i="19"/>
  <c r="Z77" i="19"/>
  <c r="X77" i="19"/>
  <c r="P77" i="19"/>
  <c r="N77" i="19"/>
  <c r="D77" i="19"/>
  <c r="L77" i="19" s="1"/>
  <c r="B77" i="19"/>
  <c r="T76" i="19"/>
  <c r="H76" i="19"/>
  <c r="Z74" i="19"/>
  <c r="X74" i="19"/>
  <c r="L74" i="19"/>
  <c r="N74" i="19" s="1"/>
  <c r="B74" i="19"/>
  <c r="T73" i="19"/>
  <c r="P73" i="19"/>
  <c r="X73" i="19" s="1"/>
  <c r="H73" i="19"/>
  <c r="D73" i="19"/>
  <c r="B73" i="19"/>
  <c r="Z72" i="19"/>
  <c r="X72" i="19"/>
  <c r="N72" i="19"/>
  <c r="L72" i="19"/>
  <c r="B72" i="19"/>
  <c r="X71" i="19"/>
  <c r="Z71" i="19" s="1"/>
  <c r="N71" i="19"/>
  <c r="L71" i="19"/>
  <c r="B71" i="19"/>
  <c r="T70" i="19"/>
  <c r="Z70" i="19" s="1"/>
  <c r="P70" i="19"/>
  <c r="X70" i="19" s="1"/>
  <c r="H70" i="19"/>
  <c r="D70" i="19"/>
  <c r="L70" i="19" s="1"/>
  <c r="N70" i="19" s="1"/>
  <c r="B70" i="19"/>
  <c r="Z69" i="19"/>
  <c r="X69" i="19"/>
  <c r="N69" i="19"/>
  <c r="L69" i="19"/>
  <c r="B69" i="19"/>
  <c r="Z68" i="19"/>
  <c r="T68" i="19"/>
  <c r="P68" i="19"/>
  <c r="X68" i="19" s="1"/>
  <c r="N68" i="19"/>
  <c r="L68" i="19"/>
  <c r="H68" i="19"/>
  <c r="D68" i="19"/>
  <c r="B68" i="19"/>
  <c r="X67" i="19"/>
  <c r="Z67" i="19" s="1"/>
  <c r="N67" i="19"/>
  <c r="L67" i="19"/>
  <c r="B67" i="19"/>
  <c r="X66" i="19"/>
  <c r="Z66" i="19" s="1"/>
  <c r="T66" i="19"/>
  <c r="P66" i="19"/>
  <c r="H66" i="19"/>
  <c r="D66" i="19"/>
  <c r="B66" i="19"/>
  <c r="X65" i="19"/>
  <c r="Z65" i="19" s="1"/>
  <c r="L65" i="19"/>
  <c r="N65" i="19" s="1"/>
  <c r="B65" i="19"/>
  <c r="T64" i="19"/>
  <c r="P64" i="19"/>
  <c r="H64" i="19"/>
  <c r="N64" i="19" s="1"/>
  <c r="D64" i="19"/>
  <c r="L64" i="19" s="1"/>
  <c r="B64" i="19"/>
  <c r="X63" i="19"/>
  <c r="Z63" i="19" s="1"/>
  <c r="N63" i="19"/>
  <c r="L63" i="19"/>
  <c r="B63" i="19"/>
  <c r="T62" i="19"/>
  <c r="Z62" i="19" s="1"/>
  <c r="P62" i="19"/>
  <c r="X62" i="19" s="1"/>
  <c r="H62" i="19"/>
  <c r="D62" i="19"/>
  <c r="L62" i="19" s="1"/>
  <c r="N62" i="19" s="1"/>
  <c r="B62" i="19"/>
  <c r="X61" i="19"/>
  <c r="Z61" i="19" s="1"/>
  <c r="N61" i="19"/>
  <c r="L61" i="19"/>
  <c r="B61" i="19"/>
  <c r="T60" i="19"/>
  <c r="P60" i="19"/>
  <c r="X60" i="19" s="1"/>
  <c r="Z60" i="19" s="1"/>
  <c r="L60" i="19"/>
  <c r="N60" i="19" s="1"/>
  <c r="H60" i="19"/>
  <c r="D60" i="19"/>
  <c r="B60" i="19"/>
  <c r="Z59" i="19"/>
  <c r="X59" i="19"/>
  <c r="N59" i="19"/>
  <c r="L59" i="19"/>
  <c r="B59" i="19"/>
  <c r="T58" i="19"/>
  <c r="Z58" i="19" s="1"/>
  <c r="P58" i="19"/>
  <c r="X58" i="19" s="1"/>
  <c r="H58" i="19"/>
  <c r="N58" i="19" s="1"/>
  <c r="D58" i="19"/>
  <c r="L58" i="19" s="1"/>
  <c r="B58" i="19"/>
  <c r="X57" i="19"/>
  <c r="Z57" i="19" s="1"/>
  <c r="L57" i="19"/>
  <c r="N57" i="19" s="1"/>
  <c r="B57" i="19"/>
  <c r="T56" i="19"/>
  <c r="P56" i="19"/>
  <c r="X56" i="19" s="1"/>
  <c r="L56" i="19"/>
  <c r="H56" i="19"/>
  <c r="N56" i="19" s="1"/>
  <c r="D56" i="19"/>
  <c r="B56" i="19"/>
  <c r="Z55" i="19"/>
  <c r="X55" i="19"/>
  <c r="N55" i="19"/>
  <c r="L55" i="19"/>
  <c r="B55" i="19"/>
  <c r="Z54" i="19"/>
  <c r="X54" i="19"/>
  <c r="N54" i="19"/>
  <c r="L54" i="19"/>
  <c r="B54" i="19"/>
  <c r="Z53" i="19"/>
  <c r="X53" i="19"/>
  <c r="N53" i="19"/>
  <c r="L53" i="19"/>
  <c r="B53" i="19"/>
  <c r="X52" i="19"/>
  <c r="Z52" i="19" s="1"/>
  <c r="L52" i="19"/>
  <c r="N52" i="19" s="1"/>
  <c r="B52" i="19"/>
  <c r="Z51" i="19"/>
  <c r="X51" i="19"/>
  <c r="N51" i="19"/>
  <c r="L51" i="19"/>
  <c r="B51" i="19"/>
  <c r="Z50" i="19"/>
  <c r="X50" i="19"/>
  <c r="N50" i="19"/>
  <c r="L50" i="19"/>
  <c r="B50" i="19"/>
  <c r="Z49" i="19"/>
  <c r="X49" i="19"/>
  <c r="N49" i="19"/>
  <c r="L49" i="19"/>
  <c r="B49" i="19"/>
  <c r="Z48" i="19"/>
  <c r="X48" i="19"/>
  <c r="N48" i="19"/>
  <c r="L48" i="19"/>
  <c r="B48" i="19"/>
  <c r="Z47" i="19"/>
  <c r="X47" i="19"/>
  <c r="N47" i="19"/>
  <c r="L47" i="19"/>
  <c r="B47" i="19"/>
  <c r="Z46" i="19"/>
  <c r="X46" i="19"/>
  <c r="N46" i="19"/>
  <c r="L46" i="19"/>
  <c r="B46" i="19"/>
  <c r="T45" i="19"/>
  <c r="P45" i="19"/>
  <c r="X45" i="19" s="1"/>
  <c r="H45" i="19"/>
  <c r="D45" i="19"/>
  <c r="L45" i="19" s="1"/>
  <c r="N45" i="19" s="1"/>
  <c r="B45" i="19"/>
  <c r="X44" i="19"/>
  <c r="Z44" i="19" s="1"/>
  <c r="L44" i="19"/>
  <c r="N44" i="19" s="1"/>
  <c r="B44" i="19"/>
  <c r="X43" i="19"/>
  <c r="Z43" i="19" s="1"/>
  <c r="L43" i="19"/>
  <c r="N43" i="19" s="1"/>
  <c r="B43" i="19"/>
  <c r="X42" i="19"/>
  <c r="Z42" i="19" s="1"/>
  <c r="L42" i="19"/>
  <c r="N42" i="19" s="1"/>
  <c r="B42" i="19"/>
  <c r="Z41" i="19"/>
  <c r="X41" i="19"/>
  <c r="N41" i="19"/>
  <c r="L41" i="19"/>
  <c r="B41" i="19"/>
  <c r="Z40" i="19"/>
  <c r="X40" i="19"/>
  <c r="N40" i="19"/>
  <c r="L40" i="19"/>
  <c r="B40" i="19"/>
  <c r="X39" i="19"/>
  <c r="Z39" i="19" s="1"/>
  <c r="L39" i="19"/>
  <c r="N39" i="19" s="1"/>
  <c r="B39" i="19"/>
  <c r="X38" i="19"/>
  <c r="Z38" i="19" s="1"/>
  <c r="L38" i="19"/>
  <c r="N38" i="19" s="1"/>
  <c r="B38" i="19"/>
  <c r="X37" i="19"/>
  <c r="Z37" i="19" s="1"/>
  <c r="N37" i="19"/>
  <c r="L37" i="19"/>
  <c r="B37" i="19"/>
  <c r="X36" i="19"/>
  <c r="Z36" i="19" s="1"/>
  <c r="L36" i="19"/>
  <c r="N36" i="19" s="1"/>
  <c r="B36" i="19"/>
  <c r="X35" i="19"/>
  <c r="Z35" i="19" s="1"/>
  <c r="L35" i="19"/>
  <c r="N35" i="19" s="1"/>
  <c r="B35" i="19"/>
  <c r="T34" i="19"/>
  <c r="P34" i="19"/>
  <c r="X34" i="19" s="1"/>
  <c r="H34" i="19"/>
  <c r="D34" i="19"/>
  <c r="L34" i="19" s="1"/>
  <c r="B34" i="19"/>
  <c r="T33" i="19" a="1"/>
  <c r="T33" i="19" s="1"/>
  <c r="P33" i="19" a="1"/>
  <c r="P33" i="19" s="1"/>
  <c r="X33" i="19" s="1"/>
  <c r="H33" i="19" a="1"/>
  <c r="H33" i="19" s="1"/>
  <c r="D33" i="19" a="1"/>
  <c r="D33" i="19" s="1"/>
  <c r="Z29" i="19"/>
  <c r="X29" i="19"/>
  <c r="N29" i="19"/>
  <c r="L29" i="19"/>
  <c r="B29" i="19"/>
  <c r="Z28" i="19"/>
  <c r="X28" i="19"/>
  <c r="N28" i="19"/>
  <c r="L28" i="19"/>
  <c r="B28" i="19"/>
  <c r="Z27" i="19"/>
  <c r="X27" i="19"/>
  <c r="N27" i="19"/>
  <c r="L27" i="19"/>
  <c r="B27" i="19"/>
  <c r="Z26" i="19"/>
  <c r="X26" i="19"/>
  <c r="N26" i="19"/>
  <c r="L26" i="19"/>
  <c r="B26" i="19"/>
  <c r="Z25" i="19"/>
  <c r="X25" i="19"/>
  <c r="N25" i="19"/>
  <c r="L25" i="19"/>
  <c r="B25" i="19"/>
  <c r="Z24" i="19"/>
  <c r="X24" i="19"/>
  <c r="N24" i="19"/>
  <c r="L24" i="19"/>
  <c r="B24" i="19"/>
  <c r="Z23" i="19"/>
  <c r="X23" i="19"/>
  <c r="N23" i="19"/>
  <c r="L23" i="19"/>
  <c r="B23" i="19"/>
  <c r="Z22" i="19"/>
  <c r="X22" i="19"/>
  <c r="N22" i="19"/>
  <c r="L22" i="19"/>
  <c r="B22" i="19"/>
  <c r="Z21" i="19"/>
  <c r="X21" i="19"/>
  <c r="V21" i="19"/>
  <c r="N21" i="19"/>
  <c r="L21" i="19"/>
  <c r="B21" i="19"/>
  <c r="X20" i="19"/>
  <c r="Z20" i="19" s="1"/>
  <c r="L20" i="19"/>
  <c r="N20" i="19" s="1"/>
  <c r="B20" i="19"/>
  <c r="T19" i="19"/>
  <c r="P19" i="19"/>
  <c r="X19" i="19" s="1"/>
  <c r="Z19" i="19" s="1"/>
  <c r="L19" i="19"/>
  <c r="H19" i="19"/>
  <c r="N19" i="19" s="1"/>
  <c r="D19" i="19"/>
  <c r="Z17" i="19"/>
  <c r="X17" i="19"/>
  <c r="P17" i="19"/>
  <c r="N17" i="19"/>
  <c r="L17" i="19"/>
  <c r="D17" i="19"/>
  <c r="B17" i="19"/>
  <c r="Z16" i="19"/>
  <c r="P16" i="19"/>
  <c r="P12" i="19" s="1"/>
  <c r="N16" i="19"/>
  <c r="D16" i="19"/>
  <c r="L16" i="19" s="1"/>
  <c r="B16" i="19"/>
  <c r="Z15" i="19"/>
  <c r="X15" i="19"/>
  <c r="P15" i="19"/>
  <c r="N15" i="19"/>
  <c r="D15" i="19"/>
  <c r="L15" i="19" s="1"/>
  <c r="B15" i="19"/>
  <c r="Z14" i="19"/>
  <c r="X14" i="19"/>
  <c r="P14" i="19"/>
  <c r="L14" i="19"/>
  <c r="N14" i="19" s="1"/>
  <c r="D14" i="19"/>
  <c r="B14" i="19"/>
  <c r="Z13" i="19"/>
  <c r="X13" i="19"/>
  <c r="P13" i="19"/>
  <c r="D13" i="19"/>
  <c r="L13" i="19" s="1"/>
  <c r="N13" i="19" s="1"/>
  <c r="B13" i="19"/>
  <c r="T12" i="19"/>
  <c r="V74" i="19" s="1"/>
  <c r="H12" i="19"/>
  <c r="J79" i="19" s="1"/>
  <c r="D4" i="19"/>
  <c r="Z77" i="18"/>
  <c r="X77" i="18"/>
  <c r="L77" i="18"/>
  <c r="N77" i="18" s="1"/>
  <c r="P73" i="18"/>
  <c r="P72" i="18" s="1"/>
  <c r="X72" i="18" s="1"/>
  <c r="Z72" i="18" s="1"/>
  <c r="D73" i="18"/>
  <c r="L73" i="18" s="1"/>
  <c r="N73" i="18" s="1"/>
  <c r="B73" i="18"/>
  <c r="T72" i="18"/>
  <c r="H72" i="18"/>
  <c r="Z70" i="18"/>
  <c r="X70" i="18"/>
  <c r="N70" i="18"/>
  <c r="L70" i="18"/>
  <c r="B70" i="18"/>
  <c r="T69" i="18"/>
  <c r="Z69" i="18" s="1"/>
  <c r="P69" i="18"/>
  <c r="X69" i="18" s="1"/>
  <c r="H69" i="18"/>
  <c r="N69" i="18" s="1"/>
  <c r="D69" i="18"/>
  <c r="L69" i="18" s="1"/>
  <c r="B69" i="18"/>
  <c r="Z68" i="18"/>
  <c r="X68" i="18"/>
  <c r="N68" i="18"/>
  <c r="L68" i="18"/>
  <c r="B68" i="18"/>
  <c r="T67" i="18"/>
  <c r="Z67" i="18" s="1"/>
  <c r="P67" i="18"/>
  <c r="X67" i="18" s="1"/>
  <c r="H67" i="18"/>
  <c r="D67" i="18"/>
  <c r="L67" i="18" s="1"/>
  <c r="N67" i="18" s="1"/>
  <c r="B67" i="18"/>
  <c r="Z66" i="18"/>
  <c r="X66" i="18"/>
  <c r="N66" i="18"/>
  <c r="L66" i="18"/>
  <c r="B66" i="18"/>
  <c r="Z65" i="18"/>
  <c r="X65" i="18"/>
  <c r="N65" i="18"/>
  <c r="L65" i="18"/>
  <c r="B65" i="18"/>
  <c r="Z64" i="18"/>
  <c r="X64" i="18"/>
  <c r="N64" i="18"/>
  <c r="L64" i="18"/>
  <c r="B64" i="18"/>
  <c r="T63" i="18"/>
  <c r="P63" i="18"/>
  <c r="X63" i="18" s="1"/>
  <c r="H63" i="18"/>
  <c r="D63" i="18"/>
  <c r="L63" i="18" s="1"/>
  <c r="N63" i="18" s="1"/>
  <c r="B63" i="18"/>
  <c r="X62" i="18"/>
  <c r="Z62" i="18" s="1"/>
  <c r="N62" i="18"/>
  <c r="L62" i="18"/>
  <c r="B62" i="18"/>
  <c r="T61" i="18"/>
  <c r="P61" i="18"/>
  <c r="X61" i="18" s="1"/>
  <c r="Z61" i="18" s="1"/>
  <c r="L61" i="18"/>
  <c r="H61" i="18"/>
  <c r="N61" i="18" s="1"/>
  <c r="D61" i="18"/>
  <c r="B61" i="18"/>
  <c r="Z60" i="18"/>
  <c r="X60" i="18"/>
  <c r="N60" i="18"/>
  <c r="L60" i="18"/>
  <c r="B60" i="18"/>
  <c r="X59" i="18"/>
  <c r="Z59" i="18" s="1"/>
  <c r="L59" i="18"/>
  <c r="N59" i="18" s="1"/>
  <c r="B59" i="18"/>
  <c r="X58" i="18"/>
  <c r="Z58" i="18" s="1"/>
  <c r="N58" i="18"/>
  <c r="L58" i="18"/>
  <c r="B58" i="18"/>
  <c r="T57" i="18"/>
  <c r="P57" i="18"/>
  <c r="X57" i="18" s="1"/>
  <c r="Z57" i="18" s="1"/>
  <c r="L57" i="18"/>
  <c r="N57" i="18" s="1"/>
  <c r="H57" i="18"/>
  <c r="D57" i="18"/>
  <c r="B57" i="18"/>
  <c r="Z56" i="18"/>
  <c r="X56" i="18"/>
  <c r="N56" i="18"/>
  <c r="L56" i="18"/>
  <c r="B56" i="18"/>
  <c r="X55" i="18"/>
  <c r="T55" i="18"/>
  <c r="Z55" i="18" s="1"/>
  <c r="P55" i="18"/>
  <c r="H55" i="18"/>
  <c r="D55" i="18"/>
  <c r="B55" i="18"/>
  <c r="Z54" i="18"/>
  <c r="X54" i="18"/>
  <c r="N54" i="18"/>
  <c r="L54" i="18"/>
  <c r="B54" i="18"/>
  <c r="T53" i="18"/>
  <c r="P53" i="18"/>
  <c r="H53" i="18"/>
  <c r="D53" i="18"/>
  <c r="L53" i="18" s="1"/>
  <c r="B53" i="18"/>
  <c r="X52" i="18"/>
  <c r="Z52" i="18" s="1"/>
  <c r="N52" i="18"/>
  <c r="L52" i="18"/>
  <c r="B52" i="18"/>
  <c r="T51" i="18"/>
  <c r="Z51" i="18" s="1"/>
  <c r="P51" i="18"/>
  <c r="X51" i="18" s="1"/>
  <c r="H51" i="18"/>
  <c r="N51" i="18" s="1"/>
  <c r="D51" i="18"/>
  <c r="L51" i="18" s="1"/>
  <c r="B51" i="18"/>
  <c r="Z50" i="18"/>
  <c r="X50" i="18"/>
  <c r="N50" i="18"/>
  <c r="L50" i="18"/>
  <c r="B50" i="18"/>
  <c r="Z49" i="18"/>
  <c r="X49" i="18"/>
  <c r="N49" i="18"/>
  <c r="L49" i="18"/>
  <c r="B49" i="18"/>
  <c r="T48" i="18"/>
  <c r="P48" i="18"/>
  <c r="X48" i="18" s="1"/>
  <c r="Z48" i="18" s="1"/>
  <c r="N48" i="18"/>
  <c r="L48" i="18"/>
  <c r="H48" i="18"/>
  <c r="D48" i="18"/>
  <c r="B48" i="18"/>
  <c r="X47" i="18"/>
  <c r="Z47" i="18" s="1"/>
  <c r="L47" i="18"/>
  <c r="N47" i="18" s="1"/>
  <c r="B47" i="18"/>
  <c r="Z46" i="18"/>
  <c r="X46" i="18"/>
  <c r="T46" i="18"/>
  <c r="P46" i="18"/>
  <c r="H46" i="18"/>
  <c r="D46" i="18"/>
  <c r="L46" i="18" s="1"/>
  <c r="B46" i="18"/>
  <c r="X45" i="18"/>
  <c r="Z45" i="18" s="1"/>
  <c r="N45" i="18"/>
  <c r="L45" i="18"/>
  <c r="B45" i="18"/>
  <c r="T44" i="18"/>
  <c r="P44" i="18"/>
  <c r="X44" i="18" s="1"/>
  <c r="H44" i="18"/>
  <c r="D44" i="18"/>
  <c r="L44" i="18" s="1"/>
  <c r="N44" i="18" s="1"/>
  <c r="B44" i="18"/>
  <c r="X43" i="18"/>
  <c r="Z43" i="18" s="1"/>
  <c r="L43" i="18"/>
  <c r="N43" i="18" s="1"/>
  <c r="B43" i="18"/>
  <c r="T42" i="18"/>
  <c r="P42" i="18"/>
  <c r="X42" i="18" s="1"/>
  <c r="Z42" i="18" s="1"/>
  <c r="L42" i="18"/>
  <c r="H42" i="18"/>
  <c r="N42" i="18" s="1"/>
  <c r="D42" i="18"/>
  <c r="B42" i="18"/>
  <c r="Z41" i="18"/>
  <c r="X41" i="18"/>
  <c r="N41" i="18"/>
  <c r="L41" i="18"/>
  <c r="B41" i="18"/>
  <c r="Z40" i="18"/>
  <c r="X40" i="18"/>
  <c r="N40" i="18"/>
  <c r="L40" i="18"/>
  <c r="B40" i="18"/>
  <c r="Z39" i="18"/>
  <c r="X39" i="18"/>
  <c r="N39" i="18"/>
  <c r="L39" i="18"/>
  <c r="B39" i="18"/>
  <c r="Z38" i="18"/>
  <c r="X38" i="18"/>
  <c r="L38" i="18"/>
  <c r="N38" i="18" s="1"/>
  <c r="B38" i="18"/>
  <c r="Z37" i="18"/>
  <c r="X37" i="18"/>
  <c r="N37" i="18"/>
  <c r="L37" i="18"/>
  <c r="B37" i="18"/>
  <c r="Z36" i="18"/>
  <c r="X36" i="18"/>
  <c r="N36" i="18"/>
  <c r="L36" i="18"/>
  <c r="B36" i="18"/>
  <c r="X35" i="18"/>
  <c r="Z35" i="18" s="1"/>
  <c r="N35" i="18"/>
  <c r="L35" i="18"/>
  <c r="B35" i="18"/>
  <c r="Z34" i="18"/>
  <c r="X34" i="18"/>
  <c r="N34" i="18"/>
  <c r="L34" i="18"/>
  <c r="B34" i="18"/>
  <c r="Z33" i="18"/>
  <c r="X33" i="18"/>
  <c r="L33" i="18"/>
  <c r="N33" i="18" s="1"/>
  <c r="B33" i="18"/>
  <c r="X32" i="18"/>
  <c r="Z32" i="18" s="1"/>
  <c r="L32" i="18"/>
  <c r="N32" i="18" s="1"/>
  <c r="B32" i="18"/>
  <c r="T31" i="18"/>
  <c r="Z31" i="18" s="1"/>
  <c r="P31" i="18"/>
  <c r="X31" i="18" s="1"/>
  <c r="H31" i="18"/>
  <c r="D31" i="18"/>
  <c r="L31" i="18" s="1"/>
  <c r="B31" i="18"/>
  <c r="Z30" i="18"/>
  <c r="X30" i="18"/>
  <c r="N30" i="18"/>
  <c r="L30" i="18"/>
  <c r="B30" i="18"/>
  <c r="X29" i="18"/>
  <c r="Z29" i="18" s="1"/>
  <c r="L29" i="18"/>
  <c r="N29" i="18" s="1"/>
  <c r="B29" i="18"/>
  <c r="Z28" i="18"/>
  <c r="X28" i="18"/>
  <c r="N28" i="18"/>
  <c r="L28" i="18"/>
  <c r="B28" i="18"/>
  <c r="Z27" i="18"/>
  <c r="X27" i="18"/>
  <c r="N27" i="18"/>
  <c r="L27" i="18"/>
  <c r="B27" i="18"/>
  <c r="Z26" i="18"/>
  <c r="X26" i="18"/>
  <c r="N26" i="18"/>
  <c r="L26" i="18"/>
  <c r="B26" i="18"/>
  <c r="X25" i="18"/>
  <c r="Z25" i="18" s="1"/>
  <c r="L25" i="18"/>
  <c r="N25" i="18" s="1"/>
  <c r="B25" i="18"/>
  <c r="Z24" i="18"/>
  <c r="X24" i="18"/>
  <c r="L24" i="18"/>
  <c r="N24" i="18" s="1"/>
  <c r="B24" i="18"/>
  <c r="X23" i="18"/>
  <c r="Z23" i="18" s="1"/>
  <c r="L23" i="18"/>
  <c r="N23" i="18" s="1"/>
  <c r="B23" i="18"/>
  <c r="Z22" i="18"/>
  <c r="X22" i="18"/>
  <c r="N22" i="18"/>
  <c r="L22" i="18"/>
  <c r="B22" i="18"/>
  <c r="X21" i="18"/>
  <c r="Z21" i="18" s="1"/>
  <c r="L21" i="18"/>
  <c r="N21" i="18" s="1"/>
  <c r="B21" i="18"/>
  <c r="X20" i="18"/>
  <c r="Z20" i="18" s="1"/>
  <c r="T20" i="18"/>
  <c r="P20" i="18"/>
  <c r="H20" i="18"/>
  <c r="L20" i="18" s="1"/>
  <c r="N20" i="18" s="1"/>
  <c r="D20" i="18"/>
  <c r="B20" i="18"/>
  <c r="T19" i="18" a="1"/>
  <c r="T19" i="18" s="1"/>
  <c r="P19" i="18" a="1"/>
  <c r="P19" i="18" s="1"/>
  <c r="H19" i="18" a="1"/>
  <c r="H19" i="18" s="1"/>
  <c r="D19" i="18" a="1"/>
  <c r="D19" i="18" s="1"/>
  <c r="T17" i="18"/>
  <c r="V15" i="18"/>
  <c r="T15" i="18"/>
  <c r="Z15" i="18" s="1"/>
  <c r="P15" i="18"/>
  <c r="X15" i="18" s="1"/>
  <c r="L15" i="18"/>
  <c r="H15" i="18"/>
  <c r="N15" i="18" s="1"/>
  <c r="D15" i="18"/>
  <c r="X13" i="18"/>
  <c r="Z13" i="18" s="1"/>
  <c r="P13" i="18"/>
  <c r="D13" i="18"/>
  <c r="L13" i="18" s="1"/>
  <c r="N13" i="18" s="1"/>
  <c r="B13" i="18"/>
  <c r="T12" i="18"/>
  <c r="V60" i="18" s="1"/>
  <c r="P12" i="18"/>
  <c r="R73" i="18" s="1"/>
  <c r="H12" i="18"/>
  <c r="J72" i="18" s="1"/>
  <c r="D12" i="18"/>
  <c r="F77" i="18" s="1"/>
  <c r="D4" i="18"/>
  <c r="X104" i="17"/>
  <c r="Z104" i="17" s="1"/>
  <c r="L104" i="17"/>
  <c r="N104" i="17" s="1"/>
  <c r="X100" i="17"/>
  <c r="T100" i="17"/>
  <c r="Z100" i="17" s="1"/>
  <c r="P100" i="17"/>
  <c r="L100" i="17"/>
  <c r="H100" i="17"/>
  <c r="N100" i="17" s="1"/>
  <c r="D100" i="17"/>
  <c r="Z98" i="17"/>
  <c r="X98" i="17"/>
  <c r="N98" i="17"/>
  <c r="L98" i="17"/>
  <c r="B98" i="17"/>
  <c r="Z97" i="17"/>
  <c r="X97" i="17"/>
  <c r="N97" i="17"/>
  <c r="L97" i="17"/>
  <c r="B97" i="17"/>
  <c r="X96" i="17"/>
  <c r="T96" i="17"/>
  <c r="Z96" i="17" s="1"/>
  <c r="P96" i="17"/>
  <c r="H96" i="17"/>
  <c r="N96" i="17" s="1"/>
  <c r="D96" i="17"/>
  <c r="L96" i="17" s="1"/>
  <c r="B96" i="17"/>
  <c r="X95" i="17"/>
  <c r="Z95" i="17" s="1"/>
  <c r="N95" i="17"/>
  <c r="L95" i="17"/>
  <c r="B95" i="17"/>
  <c r="T94" i="17"/>
  <c r="Z94" i="17" s="1"/>
  <c r="P94" i="17"/>
  <c r="X94" i="17" s="1"/>
  <c r="H94" i="17"/>
  <c r="D94" i="17"/>
  <c r="L94" i="17" s="1"/>
  <c r="N94" i="17" s="1"/>
  <c r="B94" i="17"/>
  <c r="X93" i="17"/>
  <c r="Z93" i="17" s="1"/>
  <c r="N93" i="17"/>
  <c r="L93" i="17"/>
  <c r="B93" i="17"/>
  <c r="Z92" i="17"/>
  <c r="X92" i="17"/>
  <c r="L92" i="17"/>
  <c r="N92" i="17" s="1"/>
  <c r="B92" i="17"/>
  <c r="T91" i="17"/>
  <c r="P91" i="17"/>
  <c r="X91" i="17" s="1"/>
  <c r="Z91" i="17" s="1"/>
  <c r="L91" i="17"/>
  <c r="N91" i="17" s="1"/>
  <c r="H91" i="17"/>
  <c r="D91" i="17"/>
  <c r="B91" i="17"/>
  <c r="X90" i="17"/>
  <c r="Z90" i="17" s="1"/>
  <c r="N90" i="17"/>
  <c r="L90" i="17"/>
  <c r="B90" i="17"/>
  <c r="Z89" i="17"/>
  <c r="X89" i="17"/>
  <c r="N89" i="17"/>
  <c r="L89" i="17"/>
  <c r="B89" i="17"/>
  <c r="Z88" i="17"/>
  <c r="X88" i="17"/>
  <c r="L88" i="17"/>
  <c r="N88" i="17" s="1"/>
  <c r="B88" i="17"/>
  <c r="Z87" i="17"/>
  <c r="X87" i="17"/>
  <c r="N87" i="17"/>
  <c r="L87" i="17"/>
  <c r="B87" i="17"/>
  <c r="Z86" i="17"/>
  <c r="X86" i="17"/>
  <c r="L86" i="17"/>
  <c r="N86" i="17" s="1"/>
  <c r="B86" i="17"/>
  <c r="Z85" i="17"/>
  <c r="X85" i="17"/>
  <c r="L85" i="17"/>
  <c r="N85" i="17" s="1"/>
  <c r="B85" i="17"/>
  <c r="X84" i="17"/>
  <c r="Z84" i="17" s="1"/>
  <c r="N84" i="17"/>
  <c r="L84" i="17"/>
  <c r="B84" i="17"/>
  <c r="Z83" i="17"/>
  <c r="X83" i="17"/>
  <c r="N83" i="17"/>
  <c r="L83" i="17"/>
  <c r="B83" i="17"/>
  <c r="X82" i="17"/>
  <c r="Z82" i="17" s="1"/>
  <c r="L82" i="17"/>
  <c r="N82" i="17" s="1"/>
  <c r="B82" i="17"/>
  <c r="X81" i="17"/>
  <c r="Z81" i="17" s="1"/>
  <c r="T81" i="17"/>
  <c r="P81" i="17"/>
  <c r="H81" i="17"/>
  <c r="N81" i="17" s="1"/>
  <c r="D81" i="17"/>
  <c r="L81" i="17" s="1"/>
  <c r="B81" i="17"/>
  <c r="X80" i="17"/>
  <c r="Z80" i="17" s="1"/>
  <c r="N80" i="17"/>
  <c r="L80" i="17"/>
  <c r="B80" i="17"/>
  <c r="T79" i="17"/>
  <c r="P79" i="17"/>
  <c r="X79" i="17" s="1"/>
  <c r="H79" i="17"/>
  <c r="N79" i="17" s="1"/>
  <c r="D79" i="17"/>
  <c r="L79" i="17" s="1"/>
  <c r="B79" i="17"/>
  <c r="Z78" i="17"/>
  <c r="X78" i="17"/>
  <c r="L78" i="17"/>
  <c r="N78" i="17" s="1"/>
  <c r="B78" i="17"/>
  <c r="Z77" i="17"/>
  <c r="X77" i="17"/>
  <c r="L77" i="17"/>
  <c r="N77" i="17" s="1"/>
  <c r="B77" i="17"/>
  <c r="X76" i="17"/>
  <c r="Z76" i="17" s="1"/>
  <c r="N76" i="17"/>
  <c r="L76" i="17"/>
  <c r="B76" i="17"/>
  <c r="Z75" i="17"/>
  <c r="X75" i="17"/>
  <c r="L75" i="17"/>
  <c r="N75" i="17" s="1"/>
  <c r="B75" i="17"/>
  <c r="T74" i="17"/>
  <c r="Z74" i="17" s="1"/>
  <c r="P74" i="17"/>
  <c r="X74" i="17" s="1"/>
  <c r="L74" i="17"/>
  <c r="H74" i="17"/>
  <c r="N74" i="17" s="1"/>
  <c r="D74" i="17"/>
  <c r="B74" i="17"/>
  <c r="Z73" i="17"/>
  <c r="X73" i="17"/>
  <c r="L73" i="17"/>
  <c r="N73" i="17" s="1"/>
  <c r="B73" i="17"/>
  <c r="X72" i="17"/>
  <c r="Z72" i="17" s="1"/>
  <c r="N72" i="17"/>
  <c r="L72" i="17"/>
  <c r="B72" i="17"/>
  <c r="Z71" i="17"/>
  <c r="X71" i="17"/>
  <c r="L71" i="17"/>
  <c r="N71" i="17" s="1"/>
  <c r="B71" i="17"/>
  <c r="T70" i="17"/>
  <c r="Z70" i="17" s="1"/>
  <c r="P70" i="17"/>
  <c r="X70" i="17" s="1"/>
  <c r="L70" i="17"/>
  <c r="H70" i="17"/>
  <c r="N70" i="17" s="1"/>
  <c r="D70" i="17"/>
  <c r="B70" i="17"/>
  <c r="Z69" i="17"/>
  <c r="X69" i="17"/>
  <c r="N69" i="17"/>
  <c r="L69" i="17"/>
  <c r="B69" i="17"/>
  <c r="X68" i="17"/>
  <c r="T68" i="17"/>
  <c r="Z68" i="17" s="1"/>
  <c r="P68" i="17"/>
  <c r="H68" i="17"/>
  <c r="L68" i="17" s="1"/>
  <c r="D68" i="17"/>
  <c r="B68" i="17"/>
  <c r="X67" i="17"/>
  <c r="Z67" i="17" s="1"/>
  <c r="N67" i="17"/>
  <c r="L67" i="17"/>
  <c r="B67" i="17"/>
  <c r="T66" i="17"/>
  <c r="X66" i="17" s="1"/>
  <c r="P66" i="17"/>
  <c r="H66" i="17"/>
  <c r="D66" i="17"/>
  <c r="L66" i="17" s="1"/>
  <c r="N66" i="17" s="1"/>
  <c r="B66" i="17"/>
  <c r="X65" i="17"/>
  <c r="Z65" i="17" s="1"/>
  <c r="N65" i="17"/>
  <c r="L65" i="17"/>
  <c r="B65" i="17"/>
  <c r="T64" i="17"/>
  <c r="P64" i="17"/>
  <c r="X64" i="17" s="1"/>
  <c r="Z64" i="17" s="1"/>
  <c r="H64" i="17"/>
  <c r="N64" i="17" s="1"/>
  <c r="D64" i="17"/>
  <c r="L64" i="17" s="1"/>
  <c r="B64" i="17"/>
  <c r="Z63" i="17"/>
  <c r="X63" i="17"/>
  <c r="N63" i="17"/>
  <c r="L63" i="17"/>
  <c r="B63" i="17"/>
  <c r="T62" i="17"/>
  <c r="Z62" i="17" s="1"/>
  <c r="P62" i="17"/>
  <c r="X62" i="17" s="1"/>
  <c r="L62" i="17"/>
  <c r="H62" i="17"/>
  <c r="N62" i="17" s="1"/>
  <c r="D62" i="17"/>
  <c r="B62" i="17"/>
  <c r="Z61" i="17"/>
  <c r="X61" i="17"/>
  <c r="L61" i="17"/>
  <c r="N61" i="17" s="1"/>
  <c r="B61" i="17"/>
  <c r="X60" i="17"/>
  <c r="T60" i="17"/>
  <c r="Z60" i="17" s="1"/>
  <c r="P60" i="17"/>
  <c r="H60" i="17"/>
  <c r="L60" i="17" s="1"/>
  <c r="D60" i="17"/>
  <c r="B60" i="17"/>
  <c r="X59" i="17"/>
  <c r="Z59" i="17" s="1"/>
  <c r="N59" i="17"/>
  <c r="L59" i="17"/>
  <c r="B59" i="17"/>
  <c r="T58" i="17"/>
  <c r="X58" i="17" s="1"/>
  <c r="P58" i="17"/>
  <c r="H58" i="17"/>
  <c r="N58" i="17" s="1"/>
  <c r="D58" i="17"/>
  <c r="L58" i="17" s="1"/>
  <c r="B58" i="17"/>
  <c r="X57" i="17"/>
  <c r="Z57" i="17" s="1"/>
  <c r="N57" i="17"/>
  <c r="L57" i="17"/>
  <c r="B57" i="17"/>
  <c r="T56" i="17"/>
  <c r="Z56" i="17" s="1"/>
  <c r="P56" i="17"/>
  <c r="X56" i="17" s="1"/>
  <c r="H56" i="17"/>
  <c r="N56" i="17" s="1"/>
  <c r="D56" i="17"/>
  <c r="L56" i="17" s="1"/>
  <c r="B56" i="17"/>
  <c r="Z55" i="17"/>
  <c r="X55" i="17"/>
  <c r="N55" i="17"/>
  <c r="L55" i="17"/>
  <c r="B55" i="17"/>
  <c r="T54" i="17"/>
  <c r="Z54" i="17" s="1"/>
  <c r="P54" i="17"/>
  <c r="X54" i="17" s="1"/>
  <c r="H54" i="17"/>
  <c r="D54" i="17"/>
  <c r="L54" i="17" s="1"/>
  <c r="N54" i="17" s="1"/>
  <c r="B54" i="17"/>
  <c r="Z53" i="17"/>
  <c r="X53" i="17"/>
  <c r="L53" i="17"/>
  <c r="N53" i="17" s="1"/>
  <c r="B53" i="17"/>
  <c r="T52" i="17"/>
  <c r="Z52" i="17" s="1"/>
  <c r="P52" i="17"/>
  <c r="X52" i="17" s="1"/>
  <c r="H52" i="17"/>
  <c r="D52" i="17"/>
  <c r="B52" i="17"/>
  <c r="Z51" i="17"/>
  <c r="X51" i="17"/>
  <c r="N51" i="17"/>
  <c r="L51" i="17"/>
  <c r="B51" i="17"/>
  <c r="T50" i="17"/>
  <c r="P50" i="17"/>
  <c r="H50" i="17"/>
  <c r="D50" i="17"/>
  <c r="L50" i="17" s="1"/>
  <c r="N50" i="17" s="1"/>
  <c r="B50" i="17"/>
  <c r="Z49" i="17"/>
  <c r="X49" i="17"/>
  <c r="N49" i="17"/>
  <c r="L49" i="17"/>
  <c r="B49" i="17"/>
  <c r="Z48" i="17"/>
  <c r="X48" i="17"/>
  <c r="N48" i="17"/>
  <c r="L48" i="17"/>
  <c r="B48" i="17"/>
  <c r="Z47" i="17"/>
  <c r="X47" i="17"/>
  <c r="N47" i="17"/>
  <c r="L47" i="17"/>
  <c r="B47" i="17"/>
  <c r="X46" i="17"/>
  <c r="Z46" i="17" s="1"/>
  <c r="N46" i="17"/>
  <c r="L46" i="17"/>
  <c r="B46" i="17"/>
  <c r="Z45" i="17"/>
  <c r="X45" i="17"/>
  <c r="N45" i="17"/>
  <c r="L45" i="17"/>
  <c r="B45" i="17"/>
  <c r="X44" i="17"/>
  <c r="Z44" i="17" s="1"/>
  <c r="L44" i="17"/>
  <c r="N44" i="17" s="1"/>
  <c r="B44" i="17"/>
  <c r="Z43" i="17"/>
  <c r="X43" i="17"/>
  <c r="L43" i="17"/>
  <c r="N43" i="17" s="1"/>
  <c r="B43" i="17"/>
  <c r="Z42" i="17"/>
  <c r="X42" i="17"/>
  <c r="N42" i="17"/>
  <c r="L42" i="17"/>
  <c r="B42" i="17"/>
  <c r="X41" i="17"/>
  <c r="Z41" i="17" s="1"/>
  <c r="N41" i="17"/>
  <c r="L41" i="17"/>
  <c r="B41" i="17"/>
  <c r="Z40" i="17"/>
  <c r="X40" i="17"/>
  <c r="N40" i="17"/>
  <c r="L40" i="17"/>
  <c r="B40" i="17"/>
  <c r="X39" i="17"/>
  <c r="Z39" i="17" s="1"/>
  <c r="T39" i="17"/>
  <c r="P39" i="17"/>
  <c r="H39" i="17"/>
  <c r="D39" i="17"/>
  <c r="B39" i="17"/>
  <c r="Z38" i="17"/>
  <c r="X38" i="17"/>
  <c r="N38" i="17"/>
  <c r="L38" i="17"/>
  <c r="B38" i="17"/>
  <c r="X37" i="17"/>
  <c r="Z37" i="17" s="1"/>
  <c r="N37" i="17"/>
  <c r="L37" i="17"/>
  <c r="B37" i="17"/>
  <c r="X36" i="17"/>
  <c r="Z36" i="17" s="1"/>
  <c r="L36" i="17"/>
  <c r="N36" i="17" s="1"/>
  <c r="B36" i="17"/>
  <c r="Z35" i="17"/>
  <c r="X35" i="17"/>
  <c r="N35" i="17"/>
  <c r="L35" i="17"/>
  <c r="B35" i="17"/>
  <c r="Z34" i="17"/>
  <c r="X34" i="17"/>
  <c r="N34" i="17"/>
  <c r="L34" i="17"/>
  <c r="B34" i="17"/>
  <c r="Z33" i="17"/>
  <c r="X33" i="17"/>
  <c r="L33" i="17"/>
  <c r="N33" i="17" s="1"/>
  <c r="B33" i="17"/>
  <c r="X32" i="17"/>
  <c r="Z32" i="17" s="1"/>
  <c r="L32" i="17"/>
  <c r="N32" i="17" s="1"/>
  <c r="B32" i="17"/>
  <c r="Z31" i="17"/>
  <c r="X31" i="17"/>
  <c r="L31" i="17"/>
  <c r="N31" i="17" s="1"/>
  <c r="B31" i="17"/>
  <c r="Z30" i="17"/>
  <c r="X30" i="17"/>
  <c r="N30" i="17"/>
  <c r="L30" i="17"/>
  <c r="B30" i="17"/>
  <c r="X29" i="17"/>
  <c r="Z29" i="17" s="1"/>
  <c r="N29" i="17"/>
  <c r="L29" i="17"/>
  <c r="B29" i="17"/>
  <c r="T28" i="17"/>
  <c r="P28" i="17"/>
  <c r="X28" i="17" s="1"/>
  <c r="Z28" i="17" s="1"/>
  <c r="H28" i="17"/>
  <c r="N28" i="17" s="1"/>
  <c r="D28" i="17"/>
  <c r="L28" i="17" s="1"/>
  <c r="B28" i="17"/>
  <c r="T27" i="17" a="1"/>
  <c r="T27" i="17" s="1"/>
  <c r="P27" i="17" a="1"/>
  <c r="P27" i="17" s="1"/>
  <c r="X27" i="17" s="1"/>
  <c r="H27" i="17" a="1"/>
  <c r="H27" i="17" s="1"/>
  <c r="D27" i="17" a="1"/>
  <c r="D27" i="17" s="1"/>
  <c r="L27" i="17" s="1"/>
  <c r="T25" i="17"/>
  <c r="Z23" i="17"/>
  <c r="X23" i="17"/>
  <c r="V23" i="17"/>
  <c r="N23" i="17"/>
  <c r="L23" i="17"/>
  <c r="B23" i="17"/>
  <c r="Z22" i="17"/>
  <c r="X22" i="17"/>
  <c r="N22" i="17"/>
  <c r="L22" i="17"/>
  <c r="B22" i="17"/>
  <c r="Z21" i="17"/>
  <c r="X21" i="17"/>
  <c r="V21" i="17"/>
  <c r="N21" i="17"/>
  <c r="L21" i="17"/>
  <c r="B21" i="17"/>
  <c r="T20" i="17"/>
  <c r="P20" i="17"/>
  <c r="X20" i="17" s="1"/>
  <c r="N20" i="17"/>
  <c r="L20" i="17"/>
  <c r="H20" i="17"/>
  <c r="D20" i="17"/>
  <c r="Z18" i="17"/>
  <c r="P18" i="17"/>
  <c r="X18" i="17" s="1"/>
  <c r="N18" i="17"/>
  <c r="D18" i="17"/>
  <c r="L18" i="17" s="1"/>
  <c r="B18" i="17"/>
  <c r="Z17" i="17"/>
  <c r="X17" i="17"/>
  <c r="P17" i="17"/>
  <c r="N17" i="17"/>
  <c r="L17" i="17"/>
  <c r="D17" i="17"/>
  <c r="B17" i="17"/>
  <c r="Z16" i="17"/>
  <c r="P16" i="17"/>
  <c r="X16" i="17" s="1"/>
  <c r="N16" i="17"/>
  <c r="D16" i="17"/>
  <c r="L16" i="17" s="1"/>
  <c r="B16" i="17"/>
  <c r="Z15" i="17"/>
  <c r="X15" i="17"/>
  <c r="P15" i="17"/>
  <c r="N15" i="17"/>
  <c r="D15" i="17"/>
  <c r="L15" i="17" s="1"/>
  <c r="B15" i="17"/>
  <c r="Z14" i="17"/>
  <c r="X14" i="17"/>
  <c r="P14" i="17"/>
  <c r="N14" i="17"/>
  <c r="L14" i="17"/>
  <c r="D14" i="17"/>
  <c r="B14" i="17"/>
  <c r="Z13" i="17"/>
  <c r="P13" i="17"/>
  <c r="X13" i="17" s="1"/>
  <c r="N13" i="17"/>
  <c r="D13" i="17"/>
  <c r="L13" i="17" s="1"/>
  <c r="B13" i="17"/>
  <c r="T12" i="17"/>
  <c r="V53" i="17" s="1"/>
  <c r="H12" i="17"/>
  <c r="J53" i="17" s="1"/>
  <c r="D4" i="17"/>
  <c r="Z118" i="16"/>
  <c r="X118" i="16"/>
  <c r="L118" i="16"/>
  <c r="N118" i="16" s="1"/>
  <c r="Z114" i="16"/>
  <c r="P114" i="16"/>
  <c r="X114" i="16" s="1"/>
  <c r="N114" i="16"/>
  <c r="D114" i="16"/>
  <c r="L114" i="16" s="1"/>
  <c r="B114" i="16"/>
  <c r="X113" i="16"/>
  <c r="Z113" i="16" s="1"/>
  <c r="P113" i="16"/>
  <c r="N113" i="16"/>
  <c r="D113" i="16"/>
  <c r="L113" i="16" s="1"/>
  <c r="B113" i="16"/>
  <c r="P112" i="16"/>
  <c r="X112" i="16" s="1"/>
  <c r="Z112" i="16" s="1"/>
  <c r="L112" i="16"/>
  <c r="N112" i="16" s="1"/>
  <c r="D112" i="16"/>
  <c r="B112" i="16"/>
  <c r="Z111" i="16"/>
  <c r="X111" i="16"/>
  <c r="P111" i="16"/>
  <c r="N111" i="16"/>
  <c r="D111" i="16"/>
  <c r="L111" i="16" s="1"/>
  <c r="B111" i="16"/>
  <c r="T110" i="16"/>
  <c r="P110" i="16"/>
  <c r="X110" i="16" s="1"/>
  <c r="Z110" i="16" s="1"/>
  <c r="H110" i="16"/>
  <c r="X108" i="16"/>
  <c r="Z108" i="16" s="1"/>
  <c r="N108" i="16"/>
  <c r="L108" i="16"/>
  <c r="B108" i="16"/>
  <c r="T107" i="16"/>
  <c r="P107" i="16"/>
  <c r="X107" i="16" s="1"/>
  <c r="H107" i="16"/>
  <c r="D107" i="16"/>
  <c r="L107" i="16" s="1"/>
  <c r="B107" i="16"/>
  <c r="Z106" i="16"/>
  <c r="X106" i="16"/>
  <c r="N106" i="16"/>
  <c r="L106" i="16"/>
  <c r="B106" i="16"/>
  <c r="Z105" i="16"/>
  <c r="X105" i="16"/>
  <c r="N105" i="16"/>
  <c r="L105" i="16"/>
  <c r="B105" i="16"/>
  <c r="X104" i="16"/>
  <c r="T104" i="16"/>
  <c r="Z104" i="16" s="1"/>
  <c r="P104" i="16"/>
  <c r="H104" i="16"/>
  <c r="N104" i="16" s="1"/>
  <c r="D104" i="16"/>
  <c r="L104" i="16" s="1"/>
  <c r="B104" i="16"/>
  <c r="Z103" i="16"/>
  <c r="X103" i="16"/>
  <c r="N103" i="16"/>
  <c r="L103" i="16"/>
  <c r="B103" i="16"/>
  <c r="T102" i="16"/>
  <c r="P102" i="16"/>
  <c r="N102" i="16"/>
  <c r="H102" i="16"/>
  <c r="D102" i="16"/>
  <c r="L102" i="16" s="1"/>
  <c r="B102" i="16"/>
  <c r="X101" i="16"/>
  <c r="Z101" i="16" s="1"/>
  <c r="N101" i="16"/>
  <c r="L101" i="16"/>
  <c r="J101" i="16"/>
  <c r="B101" i="16"/>
  <c r="Z100" i="16"/>
  <c r="X100" i="16"/>
  <c r="L100" i="16"/>
  <c r="N100" i="16" s="1"/>
  <c r="B100" i="16"/>
  <c r="T99" i="16"/>
  <c r="P99" i="16"/>
  <c r="X99" i="16" s="1"/>
  <c r="Z99" i="16" s="1"/>
  <c r="L99" i="16"/>
  <c r="N99" i="16" s="1"/>
  <c r="H99" i="16"/>
  <c r="D99" i="16"/>
  <c r="B99" i="16"/>
  <c r="X98" i="16"/>
  <c r="Z98" i="16" s="1"/>
  <c r="N98" i="16"/>
  <c r="L98" i="16"/>
  <c r="B98" i="16"/>
  <c r="X97" i="16"/>
  <c r="Z97" i="16" s="1"/>
  <c r="N97" i="16"/>
  <c r="L97" i="16"/>
  <c r="J97" i="16"/>
  <c r="B97" i="16"/>
  <c r="Z96" i="16"/>
  <c r="X96" i="16"/>
  <c r="L96" i="16"/>
  <c r="N96" i="16" s="1"/>
  <c r="B96" i="16"/>
  <c r="Z95" i="16"/>
  <c r="X95" i="16"/>
  <c r="N95" i="16"/>
  <c r="L95" i="16"/>
  <c r="B95" i="16"/>
  <c r="X94" i="16"/>
  <c r="Z94" i="16" s="1"/>
  <c r="L94" i="16"/>
  <c r="N94" i="16" s="1"/>
  <c r="B94" i="16"/>
  <c r="Z93" i="16"/>
  <c r="X93" i="16"/>
  <c r="V93" i="16"/>
  <c r="N93" i="16"/>
  <c r="L93" i="16"/>
  <c r="B93" i="16"/>
  <c r="X92" i="16"/>
  <c r="Z92" i="16" s="1"/>
  <c r="N92" i="16"/>
  <c r="L92" i="16"/>
  <c r="B92" i="16"/>
  <c r="Z91" i="16"/>
  <c r="X91" i="16"/>
  <c r="L91" i="16"/>
  <c r="N91" i="16" s="1"/>
  <c r="B91" i="16"/>
  <c r="X90" i="16"/>
  <c r="Z90" i="16" s="1"/>
  <c r="N90" i="16"/>
  <c r="L90" i="16"/>
  <c r="B90" i="16"/>
  <c r="Z89" i="16"/>
  <c r="X89" i="16"/>
  <c r="N89" i="16"/>
  <c r="L89" i="16"/>
  <c r="J89" i="16"/>
  <c r="B89" i="16"/>
  <c r="T88" i="16"/>
  <c r="P88" i="16"/>
  <c r="X88" i="16" s="1"/>
  <c r="Z88" i="16" s="1"/>
  <c r="H88" i="16"/>
  <c r="D88" i="16"/>
  <c r="L88" i="16" s="1"/>
  <c r="N88" i="16" s="1"/>
  <c r="B88" i="16"/>
  <c r="Z87" i="16"/>
  <c r="X87" i="16"/>
  <c r="L87" i="16"/>
  <c r="N87" i="16" s="1"/>
  <c r="B87" i="16"/>
  <c r="T86" i="16"/>
  <c r="P86" i="16"/>
  <c r="X86" i="16" s="1"/>
  <c r="Z86" i="16" s="1"/>
  <c r="L86" i="16"/>
  <c r="H86" i="16"/>
  <c r="D86" i="16"/>
  <c r="B86" i="16"/>
  <c r="X85" i="16"/>
  <c r="Z85" i="16" s="1"/>
  <c r="V85" i="16"/>
  <c r="L85" i="16"/>
  <c r="N85" i="16" s="1"/>
  <c r="B85" i="16"/>
  <c r="X84" i="16"/>
  <c r="Z84" i="16" s="1"/>
  <c r="N84" i="16"/>
  <c r="L84" i="16"/>
  <c r="B84" i="16"/>
  <c r="Z83" i="16"/>
  <c r="X83" i="16"/>
  <c r="L83" i="16"/>
  <c r="N83" i="16" s="1"/>
  <c r="B83" i="16"/>
  <c r="X82" i="16"/>
  <c r="Z82" i="16" s="1"/>
  <c r="L82" i="16"/>
  <c r="N82" i="16" s="1"/>
  <c r="B82" i="16"/>
  <c r="X81" i="16"/>
  <c r="Z81" i="16" s="1"/>
  <c r="L81" i="16"/>
  <c r="N81" i="16" s="1"/>
  <c r="J81" i="16"/>
  <c r="B81" i="16"/>
  <c r="T80" i="16"/>
  <c r="P80" i="16"/>
  <c r="X80" i="16" s="1"/>
  <c r="Z80" i="16" s="1"/>
  <c r="H80" i="16"/>
  <c r="D80" i="16"/>
  <c r="L80" i="16" s="1"/>
  <c r="N80" i="16" s="1"/>
  <c r="B80" i="16"/>
  <c r="Z79" i="16"/>
  <c r="X79" i="16"/>
  <c r="N79" i="16"/>
  <c r="L79" i="16"/>
  <c r="B79" i="16"/>
  <c r="T78" i="16"/>
  <c r="Z78" i="16" s="1"/>
  <c r="P78" i="16"/>
  <c r="X78" i="16" s="1"/>
  <c r="L78" i="16"/>
  <c r="H78" i="16"/>
  <c r="N78" i="16" s="1"/>
  <c r="D78" i="16"/>
  <c r="B78" i="16"/>
  <c r="Z77" i="16"/>
  <c r="X77" i="16"/>
  <c r="V77" i="16"/>
  <c r="L77" i="16"/>
  <c r="N77" i="16" s="1"/>
  <c r="B77" i="16"/>
  <c r="X76" i="16"/>
  <c r="Z76" i="16" s="1"/>
  <c r="N76" i="16"/>
  <c r="L76" i="16"/>
  <c r="B76" i="16"/>
  <c r="Z75" i="16"/>
  <c r="X75" i="16"/>
  <c r="N75" i="16"/>
  <c r="L75" i="16"/>
  <c r="B75" i="16"/>
  <c r="Z74" i="16"/>
  <c r="X74" i="16"/>
  <c r="N74" i="16"/>
  <c r="L74" i="16"/>
  <c r="B74" i="16"/>
  <c r="X73" i="16"/>
  <c r="T73" i="16"/>
  <c r="Z73" i="16" s="1"/>
  <c r="P73" i="16"/>
  <c r="H73" i="16"/>
  <c r="D73" i="16"/>
  <c r="L73" i="16" s="1"/>
  <c r="N73" i="16" s="1"/>
  <c r="B73" i="16"/>
  <c r="X72" i="16"/>
  <c r="Z72" i="16" s="1"/>
  <c r="N72" i="16"/>
  <c r="L72" i="16"/>
  <c r="B72" i="16"/>
  <c r="T71" i="16"/>
  <c r="P71" i="16"/>
  <c r="X71" i="16" s="1"/>
  <c r="Z71" i="16" s="1"/>
  <c r="J71" i="16"/>
  <c r="H71" i="16"/>
  <c r="D71" i="16"/>
  <c r="L71" i="16" s="1"/>
  <c r="N71" i="16" s="1"/>
  <c r="B71" i="16"/>
  <c r="Z70" i="16"/>
  <c r="X70" i="16"/>
  <c r="N70" i="16"/>
  <c r="L70" i="16"/>
  <c r="B70" i="16"/>
  <c r="Z69" i="16"/>
  <c r="V69" i="16"/>
  <c r="T69" i="16"/>
  <c r="P69" i="16"/>
  <c r="X69" i="16" s="1"/>
  <c r="H69" i="16"/>
  <c r="N69" i="16" s="1"/>
  <c r="D69" i="16"/>
  <c r="L69" i="16" s="1"/>
  <c r="B69" i="16"/>
  <c r="Z68" i="16"/>
  <c r="X68" i="16"/>
  <c r="L68" i="16"/>
  <c r="N68" i="16" s="1"/>
  <c r="B68" i="16"/>
  <c r="T67" i="16"/>
  <c r="P67" i="16"/>
  <c r="X67" i="16" s="1"/>
  <c r="L67" i="16"/>
  <c r="H67" i="16"/>
  <c r="N67" i="16" s="1"/>
  <c r="D67" i="16"/>
  <c r="B67" i="16"/>
  <c r="Z66" i="16"/>
  <c r="X66" i="16"/>
  <c r="L66" i="16"/>
  <c r="N66" i="16" s="1"/>
  <c r="B66" i="16"/>
  <c r="X65" i="16"/>
  <c r="T65" i="16"/>
  <c r="Z65" i="16" s="1"/>
  <c r="P65" i="16"/>
  <c r="N65" i="16"/>
  <c r="L65" i="16"/>
  <c r="H65" i="16"/>
  <c r="D65" i="16"/>
  <c r="B65" i="16"/>
  <c r="X64" i="16"/>
  <c r="Z64" i="16" s="1"/>
  <c r="N64" i="16"/>
  <c r="L64" i="16"/>
  <c r="B64" i="16"/>
  <c r="Z63" i="16"/>
  <c r="X63" i="16"/>
  <c r="N63" i="16"/>
  <c r="L63" i="16"/>
  <c r="B63" i="16"/>
  <c r="T62" i="16"/>
  <c r="P62" i="16"/>
  <c r="X62" i="16" s="1"/>
  <c r="Z62" i="16" s="1"/>
  <c r="N62" i="16"/>
  <c r="L62" i="16"/>
  <c r="H62" i="16"/>
  <c r="D62" i="16"/>
  <c r="B62" i="16"/>
  <c r="X61" i="16"/>
  <c r="Z61" i="16" s="1"/>
  <c r="V61" i="16"/>
  <c r="L61" i="16"/>
  <c r="N61" i="16" s="1"/>
  <c r="B61" i="16"/>
  <c r="X60" i="16"/>
  <c r="Z60" i="16" s="1"/>
  <c r="T60" i="16"/>
  <c r="P60" i="16"/>
  <c r="H60" i="16"/>
  <c r="D60" i="16"/>
  <c r="B60" i="16"/>
  <c r="X59" i="16"/>
  <c r="Z59" i="16" s="1"/>
  <c r="N59" i="16"/>
  <c r="L59" i="16"/>
  <c r="B59" i="16"/>
  <c r="T58" i="16"/>
  <c r="P58" i="16"/>
  <c r="H58" i="16"/>
  <c r="N58" i="16" s="1"/>
  <c r="D58" i="16"/>
  <c r="L58" i="16" s="1"/>
  <c r="B58" i="16"/>
  <c r="X57" i="16"/>
  <c r="Z57" i="16" s="1"/>
  <c r="N57" i="16"/>
  <c r="L57" i="16"/>
  <c r="J57" i="16"/>
  <c r="B57" i="16"/>
  <c r="Z56" i="16"/>
  <c r="X56" i="16"/>
  <c r="N56" i="16"/>
  <c r="L56" i="16"/>
  <c r="B56" i="16"/>
  <c r="T55" i="16"/>
  <c r="Z55" i="16" s="1"/>
  <c r="R55" i="16"/>
  <c r="P55" i="16"/>
  <c r="X55" i="16" s="1"/>
  <c r="L55" i="16"/>
  <c r="H55" i="16"/>
  <c r="N55" i="16" s="1"/>
  <c r="D55" i="16"/>
  <c r="B55" i="16"/>
  <c r="Z54" i="16"/>
  <c r="X54" i="16"/>
  <c r="L54" i="16"/>
  <c r="N54" i="16" s="1"/>
  <c r="B54" i="16"/>
  <c r="X53" i="16"/>
  <c r="T53" i="16"/>
  <c r="Z53" i="16" s="1"/>
  <c r="P53" i="16"/>
  <c r="N53" i="16"/>
  <c r="L53" i="16"/>
  <c r="H53" i="16"/>
  <c r="D53" i="16"/>
  <c r="B53" i="16"/>
  <c r="X52" i="16"/>
  <c r="Z52" i="16" s="1"/>
  <c r="N52" i="16"/>
  <c r="L52" i="16"/>
  <c r="B52" i="16"/>
  <c r="Z51" i="16"/>
  <c r="X51" i="16"/>
  <c r="T51" i="16"/>
  <c r="P51" i="16"/>
  <c r="J51" i="16"/>
  <c r="H51" i="16"/>
  <c r="D51" i="16"/>
  <c r="L51" i="16" s="1"/>
  <c r="B51" i="16"/>
  <c r="Z50" i="16"/>
  <c r="X50" i="16"/>
  <c r="N50" i="16"/>
  <c r="L50" i="16"/>
  <c r="B50" i="16"/>
  <c r="V49" i="16"/>
  <c r="T49" i="16"/>
  <c r="Z49" i="16" s="1"/>
  <c r="P49" i="16"/>
  <c r="X49" i="16" s="1"/>
  <c r="H49" i="16"/>
  <c r="N49" i="16" s="1"/>
  <c r="D49" i="16"/>
  <c r="L49" i="16" s="1"/>
  <c r="B49" i="16"/>
  <c r="Z48" i="16"/>
  <c r="X48" i="16"/>
  <c r="N48" i="16"/>
  <c r="L48" i="16"/>
  <c r="B48" i="16"/>
  <c r="Z47" i="16"/>
  <c r="X47" i="16"/>
  <c r="N47" i="16"/>
  <c r="L47" i="16"/>
  <c r="B47" i="16"/>
  <c r="Z46" i="16"/>
  <c r="X46" i="16"/>
  <c r="R46" i="16"/>
  <c r="N46" i="16"/>
  <c r="L46" i="16"/>
  <c r="B46" i="16"/>
  <c r="X45" i="16"/>
  <c r="Z45" i="16" s="1"/>
  <c r="V45" i="16"/>
  <c r="N45" i="16"/>
  <c r="L45" i="16"/>
  <c r="B45" i="16"/>
  <c r="Z44" i="16"/>
  <c r="X44" i="16"/>
  <c r="N44" i="16"/>
  <c r="L44" i="16"/>
  <c r="B44" i="16"/>
  <c r="Z43" i="16"/>
  <c r="X43" i="16"/>
  <c r="L43" i="16"/>
  <c r="N43" i="16" s="1"/>
  <c r="B43" i="16"/>
  <c r="Z42" i="16"/>
  <c r="X42" i="16"/>
  <c r="N42" i="16"/>
  <c r="L42" i="16"/>
  <c r="B42" i="16"/>
  <c r="Z41" i="16"/>
  <c r="X41" i="16"/>
  <c r="N41" i="16"/>
  <c r="L41" i="16"/>
  <c r="J41" i="16"/>
  <c r="B41" i="16"/>
  <c r="Z40" i="16"/>
  <c r="X40" i="16"/>
  <c r="L40" i="16"/>
  <c r="N40" i="16" s="1"/>
  <c r="B40" i="16"/>
  <c r="X39" i="16"/>
  <c r="Z39" i="16" s="1"/>
  <c r="N39" i="16"/>
  <c r="L39" i="16"/>
  <c r="B39" i="16"/>
  <c r="T38" i="16"/>
  <c r="P38" i="16"/>
  <c r="H38" i="16"/>
  <c r="D38" i="16"/>
  <c r="L38" i="16" s="1"/>
  <c r="N38" i="16" s="1"/>
  <c r="B38" i="16"/>
  <c r="X37" i="16"/>
  <c r="Z37" i="16" s="1"/>
  <c r="L37" i="16"/>
  <c r="N37" i="16" s="1"/>
  <c r="J37" i="16"/>
  <c r="B37" i="16"/>
  <c r="Z36" i="16"/>
  <c r="X36" i="16"/>
  <c r="L36" i="16"/>
  <c r="N36" i="16" s="1"/>
  <c r="B36" i="16"/>
  <c r="Z35" i="16"/>
  <c r="X35" i="16"/>
  <c r="N35" i="16"/>
  <c r="L35" i="16"/>
  <c r="B35" i="16"/>
  <c r="Z34" i="16"/>
  <c r="X34" i="16"/>
  <c r="R34" i="16"/>
  <c r="N34" i="16"/>
  <c r="L34" i="16"/>
  <c r="B34" i="16"/>
  <c r="Z33" i="16"/>
  <c r="X33" i="16"/>
  <c r="V33" i="16"/>
  <c r="N33" i="16"/>
  <c r="L33" i="16"/>
  <c r="B33" i="16"/>
  <c r="X32" i="16"/>
  <c r="Z32" i="16" s="1"/>
  <c r="N32" i="16"/>
  <c r="L32" i="16"/>
  <c r="B32" i="16"/>
  <c r="Z31" i="16"/>
  <c r="X31" i="16"/>
  <c r="L31" i="16"/>
  <c r="N31" i="16" s="1"/>
  <c r="B31" i="16"/>
  <c r="Z30" i="16"/>
  <c r="X30" i="16"/>
  <c r="L30" i="16"/>
  <c r="N30" i="16" s="1"/>
  <c r="B30" i="16"/>
  <c r="X29" i="16"/>
  <c r="Z29" i="16" s="1"/>
  <c r="L29" i="16"/>
  <c r="N29" i="16" s="1"/>
  <c r="J29" i="16"/>
  <c r="B29" i="16"/>
  <c r="Z28" i="16"/>
  <c r="X28" i="16"/>
  <c r="L28" i="16"/>
  <c r="N28" i="16" s="1"/>
  <c r="B28" i="16"/>
  <c r="T27" i="16"/>
  <c r="R27" i="16"/>
  <c r="P27" i="16"/>
  <c r="X27" i="16" s="1"/>
  <c r="H27" i="16"/>
  <c r="D27" i="16"/>
  <c r="L27" i="16" s="1"/>
  <c r="N27" i="16" s="1"/>
  <c r="B27" i="16"/>
  <c r="T26" i="16" a="1"/>
  <c r="T26" i="16" s="1"/>
  <c r="P26" i="16" a="1"/>
  <c r="P26" i="16"/>
  <c r="H26" i="16" a="1"/>
  <c r="H26" i="16" s="1"/>
  <c r="D26" i="16" a="1"/>
  <c r="D26" i="16" s="1"/>
  <c r="T24" i="16"/>
  <c r="Z22" i="16"/>
  <c r="X22" i="16"/>
  <c r="V22" i="16"/>
  <c r="R22" i="16"/>
  <c r="N22" i="16"/>
  <c r="L22" i="16"/>
  <c r="B22" i="16"/>
  <c r="Z21" i="16"/>
  <c r="X21" i="16"/>
  <c r="V21" i="16"/>
  <c r="N21" i="16"/>
  <c r="L21" i="16"/>
  <c r="J21" i="16"/>
  <c r="B21" i="16"/>
  <c r="X20" i="16"/>
  <c r="Z20" i="16" s="1"/>
  <c r="L20" i="16"/>
  <c r="N20" i="16" s="1"/>
  <c r="B20" i="16"/>
  <c r="Z19" i="16"/>
  <c r="X19" i="16"/>
  <c r="T19" i="16"/>
  <c r="P19" i="16"/>
  <c r="L19" i="16"/>
  <c r="J19" i="16"/>
  <c r="H19" i="16"/>
  <c r="N19" i="16" s="1"/>
  <c r="D19" i="16"/>
  <c r="Z17" i="16"/>
  <c r="P17" i="16"/>
  <c r="X17" i="16" s="1"/>
  <c r="N17" i="16"/>
  <c r="L17" i="16"/>
  <c r="D17" i="16"/>
  <c r="B17" i="16"/>
  <c r="X16" i="16"/>
  <c r="Z16" i="16" s="1"/>
  <c r="P16" i="16"/>
  <c r="D16" i="16"/>
  <c r="L16" i="16" s="1"/>
  <c r="N16" i="16" s="1"/>
  <c r="B16" i="16"/>
  <c r="Z15" i="16"/>
  <c r="P15" i="16"/>
  <c r="P12" i="16" s="1"/>
  <c r="R99" i="16" s="1"/>
  <c r="N15" i="16"/>
  <c r="D15" i="16"/>
  <c r="L15" i="16" s="1"/>
  <c r="B15" i="16"/>
  <c r="Z14" i="16"/>
  <c r="P14" i="16"/>
  <c r="X14" i="16" s="1"/>
  <c r="N14" i="16"/>
  <c r="D14" i="16"/>
  <c r="L14" i="16" s="1"/>
  <c r="B14" i="16"/>
  <c r="Z13" i="16"/>
  <c r="X13" i="16"/>
  <c r="P13" i="16"/>
  <c r="L13" i="16"/>
  <c r="N13" i="16" s="1"/>
  <c r="D13" i="16"/>
  <c r="B13" i="16"/>
  <c r="X12" i="16"/>
  <c r="Z12" i="16" s="1"/>
  <c r="T12" i="16"/>
  <c r="V112" i="16" s="1"/>
  <c r="H12" i="16"/>
  <c r="D4" i="16"/>
  <c r="Z120" i="15"/>
  <c r="X120" i="15"/>
  <c r="N120" i="15"/>
  <c r="L120" i="15"/>
  <c r="Z116" i="15"/>
  <c r="P116" i="15"/>
  <c r="X116" i="15" s="1"/>
  <c r="N116" i="15"/>
  <c r="D116" i="15"/>
  <c r="L116" i="15" s="1"/>
  <c r="B116" i="15"/>
  <c r="X115" i="15"/>
  <c r="Z115" i="15" s="1"/>
  <c r="P115" i="15"/>
  <c r="N115" i="15"/>
  <c r="D115" i="15"/>
  <c r="B115" i="15"/>
  <c r="P114" i="15"/>
  <c r="X114" i="15" s="1"/>
  <c r="Z114" i="15" s="1"/>
  <c r="L114" i="15"/>
  <c r="N114" i="15" s="1"/>
  <c r="D114" i="15"/>
  <c r="B114" i="15"/>
  <c r="P113" i="15"/>
  <c r="N113" i="15"/>
  <c r="D113" i="15"/>
  <c r="L113" i="15" s="1"/>
  <c r="B113" i="15"/>
  <c r="T112" i="15"/>
  <c r="J112" i="15"/>
  <c r="H112" i="15"/>
  <c r="Z110" i="15"/>
  <c r="X110" i="15"/>
  <c r="N110" i="15"/>
  <c r="L110" i="15"/>
  <c r="B110" i="15"/>
  <c r="T109" i="15"/>
  <c r="P109" i="15"/>
  <c r="H109" i="15"/>
  <c r="D109" i="15"/>
  <c r="L109" i="15" s="1"/>
  <c r="B109" i="15"/>
  <c r="Z108" i="15"/>
  <c r="X108" i="15"/>
  <c r="N108" i="15"/>
  <c r="L108" i="15"/>
  <c r="J108" i="15"/>
  <c r="B108" i="15"/>
  <c r="X107" i="15"/>
  <c r="Z107" i="15" s="1"/>
  <c r="N107" i="15"/>
  <c r="L107" i="15"/>
  <c r="B107" i="15"/>
  <c r="T106" i="15"/>
  <c r="Z106" i="15" s="1"/>
  <c r="P106" i="15"/>
  <c r="X106" i="15" s="1"/>
  <c r="N106" i="15"/>
  <c r="H106" i="15"/>
  <c r="D106" i="15"/>
  <c r="L106" i="15" s="1"/>
  <c r="B106" i="15"/>
  <c r="Z105" i="15"/>
  <c r="X105" i="15"/>
  <c r="N105" i="15"/>
  <c r="L105" i="15"/>
  <c r="B105" i="15"/>
  <c r="T104" i="15"/>
  <c r="P104" i="15"/>
  <c r="X104" i="15" s="1"/>
  <c r="Z104" i="15" s="1"/>
  <c r="N104" i="15"/>
  <c r="L104" i="15"/>
  <c r="H104" i="15"/>
  <c r="D104" i="15"/>
  <c r="B104" i="15"/>
  <c r="X103" i="15"/>
  <c r="Z103" i="15" s="1"/>
  <c r="L103" i="15"/>
  <c r="N103" i="15" s="1"/>
  <c r="B103" i="15"/>
  <c r="Z102" i="15"/>
  <c r="X102" i="15"/>
  <c r="N102" i="15"/>
  <c r="L102" i="15"/>
  <c r="B102" i="15"/>
  <c r="T101" i="15"/>
  <c r="P101" i="15"/>
  <c r="X101" i="15" s="1"/>
  <c r="Z101" i="15" s="1"/>
  <c r="L101" i="15"/>
  <c r="N101" i="15" s="1"/>
  <c r="H101" i="15"/>
  <c r="D101" i="15"/>
  <c r="B101" i="15"/>
  <c r="X100" i="15"/>
  <c r="Z100" i="15" s="1"/>
  <c r="V100" i="15"/>
  <c r="N100" i="15"/>
  <c r="L100" i="15"/>
  <c r="B100" i="15"/>
  <c r="X99" i="15"/>
  <c r="Z99" i="15" s="1"/>
  <c r="L99" i="15"/>
  <c r="N99" i="15" s="1"/>
  <c r="B99" i="15"/>
  <c r="Z98" i="15"/>
  <c r="X98" i="15"/>
  <c r="N98" i="15"/>
  <c r="L98" i="15"/>
  <c r="B98" i="15"/>
  <c r="Z97" i="15"/>
  <c r="X97" i="15"/>
  <c r="N97" i="15"/>
  <c r="L97" i="15"/>
  <c r="B97" i="15"/>
  <c r="Z96" i="15"/>
  <c r="X96" i="15"/>
  <c r="L96" i="15"/>
  <c r="N96" i="15" s="1"/>
  <c r="J96" i="15"/>
  <c r="B96" i="15"/>
  <c r="X95" i="15"/>
  <c r="Z95" i="15" s="1"/>
  <c r="N95" i="15"/>
  <c r="L95" i="15"/>
  <c r="B95" i="15"/>
  <c r="Z94" i="15"/>
  <c r="X94" i="15"/>
  <c r="N94" i="15"/>
  <c r="L94" i="15"/>
  <c r="B94" i="15"/>
  <c r="X93" i="15"/>
  <c r="Z93" i="15" s="1"/>
  <c r="N93" i="15"/>
  <c r="L93" i="15"/>
  <c r="B93" i="15"/>
  <c r="X92" i="15"/>
  <c r="Z92" i="15" s="1"/>
  <c r="V92" i="15"/>
  <c r="N92" i="15"/>
  <c r="L92" i="15"/>
  <c r="B92" i="15"/>
  <c r="X91" i="15"/>
  <c r="Z91" i="15" s="1"/>
  <c r="L91" i="15"/>
  <c r="N91" i="15" s="1"/>
  <c r="B91" i="15"/>
  <c r="Z90" i="15"/>
  <c r="X90" i="15"/>
  <c r="T90" i="15"/>
  <c r="P90" i="15"/>
  <c r="L90" i="15"/>
  <c r="J90" i="15"/>
  <c r="H90" i="15"/>
  <c r="N90" i="15" s="1"/>
  <c r="D90" i="15"/>
  <c r="B90" i="15"/>
  <c r="X89" i="15"/>
  <c r="Z89" i="15" s="1"/>
  <c r="N89" i="15"/>
  <c r="L89" i="15"/>
  <c r="B89" i="15"/>
  <c r="X88" i="15"/>
  <c r="V88" i="15"/>
  <c r="T88" i="15"/>
  <c r="Z88" i="15" s="1"/>
  <c r="P88" i="15"/>
  <c r="H88" i="15"/>
  <c r="D88" i="15"/>
  <c r="L88" i="15" s="1"/>
  <c r="B88" i="15"/>
  <c r="X87" i="15"/>
  <c r="Z87" i="15" s="1"/>
  <c r="L87" i="15"/>
  <c r="N87" i="15" s="1"/>
  <c r="B87" i="15"/>
  <c r="Z86" i="15"/>
  <c r="X86" i="15"/>
  <c r="N86" i="15"/>
  <c r="L86" i="15"/>
  <c r="B86" i="15"/>
  <c r="X85" i="15"/>
  <c r="Z85" i="15" s="1"/>
  <c r="N85" i="15"/>
  <c r="L85" i="15"/>
  <c r="B85" i="15"/>
  <c r="X84" i="15"/>
  <c r="Z84" i="15" s="1"/>
  <c r="V84" i="15"/>
  <c r="L84" i="15"/>
  <c r="N84" i="15" s="1"/>
  <c r="B84" i="15"/>
  <c r="X83" i="15"/>
  <c r="Z83" i="15" s="1"/>
  <c r="L83" i="15"/>
  <c r="N83" i="15" s="1"/>
  <c r="B83" i="15"/>
  <c r="Z82" i="15"/>
  <c r="X82" i="15"/>
  <c r="T82" i="15"/>
  <c r="P82" i="15"/>
  <c r="L82" i="15"/>
  <c r="J82" i="15"/>
  <c r="H82" i="15"/>
  <c r="N82" i="15" s="1"/>
  <c r="D82" i="15"/>
  <c r="B82" i="15"/>
  <c r="Z81" i="15"/>
  <c r="X81" i="15"/>
  <c r="N81" i="15"/>
  <c r="L81" i="15"/>
  <c r="B81" i="15"/>
  <c r="Z80" i="15"/>
  <c r="X80" i="15"/>
  <c r="V80" i="15"/>
  <c r="N80" i="15"/>
  <c r="L80" i="15"/>
  <c r="B80" i="15"/>
  <c r="X79" i="15"/>
  <c r="Z79" i="15" s="1"/>
  <c r="T79" i="15"/>
  <c r="P79" i="15"/>
  <c r="H79" i="15"/>
  <c r="D79" i="15"/>
  <c r="B79" i="15"/>
  <c r="Z78" i="15"/>
  <c r="X78" i="15"/>
  <c r="N78" i="15"/>
  <c r="L78" i="15"/>
  <c r="B78" i="15"/>
  <c r="Z77" i="15"/>
  <c r="X77" i="15"/>
  <c r="N77" i="15"/>
  <c r="L77" i="15"/>
  <c r="B77" i="15"/>
  <c r="X76" i="15"/>
  <c r="Z76" i="15" s="1"/>
  <c r="V76" i="15"/>
  <c r="N76" i="15"/>
  <c r="L76" i="15"/>
  <c r="B76" i="15"/>
  <c r="X75" i="15"/>
  <c r="Z75" i="15" s="1"/>
  <c r="N75" i="15"/>
  <c r="L75" i="15"/>
  <c r="B75" i="15"/>
  <c r="Z74" i="15"/>
  <c r="X74" i="15"/>
  <c r="T74" i="15"/>
  <c r="P74" i="15"/>
  <c r="L74" i="15"/>
  <c r="J74" i="15"/>
  <c r="H74" i="15"/>
  <c r="N74" i="15" s="1"/>
  <c r="D74" i="15"/>
  <c r="B74" i="15"/>
  <c r="Z73" i="15"/>
  <c r="X73" i="15"/>
  <c r="N73" i="15"/>
  <c r="L73" i="15"/>
  <c r="B73" i="15"/>
  <c r="X72" i="15"/>
  <c r="V72" i="15"/>
  <c r="T72" i="15"/>
  <c r="Z72" i="15" s="1"/>
  <c r="P72" i="15"/>
  <c r="H72" i="15"/>
  <c r="D72" i="15"/>
  <c r="L72" i="15" s="1"/>
  <c r="B72" i="15"/>
  <c r="Z71" i="15"/>
  <c r="X71" i="15"/>
  <c r="N71" i="15"/>
  <c r="L71" i="15"/>
  <c r="B71" i="15"/>
  <c r="T70" i="15"/>
  <c r="Z70" i="15" s="1"/>
  <c r="P70" i="15"/>
  <c r="X70" i="15" s="1"/>
  <c r="H70" i="15"/>
  <c r="N70" i="15" s="1"/>
  <c r="D70" i="15"/>
  <c r="L70" i="15" s="1"/>
  <c r="B70" i="15"/>
  <c r="Z69" i="15"/>
  <c r="X69" i="15"/>
  <c r="N69" i="15"/>
  <c r="L69" i="15"/>
  <c r="B69" i="15"/>
  <c r="T68" i="15"/>
  <c r="P68" i="15"/>
  <c r="X68" i="15" s="1"/>
  <c r="N68" i="15"/>
  <c r="L68" i="15"/>
  <c r="H68" i="15"/>
  <c r="D68" i="15"/>
  <c r="B68" i="15"/>
  <c r="X67" i="15"/>
  <c r="Z67" i="15" s="1"/>
  <c r="L67" i="15"/>
  <c r="N67" i="15" s="1"/>
  <c r="B67" i="15"/>
  <c r="Z66" i="15"/>
  <c r="X66" i="15"/>
  <c r="T66" i="15"/>
  <c r="P66" i="15"/>
  <c r="L66" i="15"/>
  <c r="J66" i="15"/>
  <c r="H66" i="15"/>
  <c r="N66" i="15" s="1"/>
  <c r="D66" i="15"/>
  <c r="B66" i="15"/>
  <c r="Z65" i="15"/>
  <c r="X65" i="15"/>
  <c r="N65" i="15"/>
  <c r="L65" i="15"/>
  <c r="B65" i="15"/>
  <c r="X64" i="15"/>
  <c r="Z64" i="15" s="1"/>
  <c r="V64" i="15"/>
  <c r="N64" i="15"/>
  <c r="L64" i="15"/>
  <c r="B64" i="15"/>
  <c r="X63" i="15"/>
  <c r="Z63" i="15" s="1"/>
  <c r="T63" i="15"/>
  <c r="P63" i="15"/>
  <c r="H63" i="15"/>
  <c r="D63" i="15"/>
  <c r="B63" i="15"/>
  <c r="Z62" i="15"/>
  <c r="X62" i="15"/>
  <c r="N62" i="15"/>
  <c r="L62" i="15"/>
  <c r="B62" i="15"/>
  <c r="T61" i="15"/>
  <c r="P61" i="15"/>
  <c r="H61" i="15"/>
  <c r="D61" i="15"/>
  <c r="L61" i="15" s="1"/>
  <c r="N61" i="15" s="1"/>
  <c r="B61" i="15"/>
  <c r="X60" i="15"/>
  <c r="Z60" i="15" s="1"/>
  <c r="N60" i="15"/>
  <c r="L60" i="15"/>
  <c r="J60" i="15"/>
  <c r="B60" i="15"/>
  <c r="T59" i="15"/>
  <c r="Z59" i="15" s="1"/>
  <c r="P59" i="15"/>
  <c r="X59" i="15" s="1"/>
  <c r="H59" i="15"/>
  <c r="N59" i="15" s="1"/>
  <c r="D59" i="15"/>
  <c r="L59" i="15" s="1"/>
  <c r="B59" i="15"/>
  <c r="Z58" i="15"/>
  <c r="X58" i="15"/>
  <c r="N58" i="15"/>
  <c r="L58" i="15"/>
  <c r="B58" i="15"/>
  <c r="Z57" i="15"/>
  <c r="X57" i="15"/>
  <c r="N57" i="15"/>
  <c r="L57" i="15"/>
  <c r="B57" i="15"/>
  <c r="T56" i="15"/>
  <c r="Z56" i="15" s="1"/>
  <c r="P56" i="15"/>
  <c r="X56" i="15" s="1"/>
  <c r="N56" i="15"/>
  <c r="L56" i="15"/>
  <c r="H56" i="15"/>
  <c r="D56" i="15"/>
  <c r="B56" i="15"/>
  <c r="X55" i="15"/>
  <c r="Z55" i="15" s="1"/>
  <c r="L55" i="15"/>
  <c r="N55" i="15" s="1"/>
  <c r="B55" i="15"/>
  <c r="Z54" i="15"/>
  <c r="X54" i="15"/>
  <c r="T54" i="15"/>
  <c r="P54" i="15"/>
  <c r="L54" i="15"/>
  <c r="J54" i="15"/>
  <c r="H54" i="15"/>
  <c r="N54" i="15" s="1"/>
  <c r="D54" i="15"/>
  <c r="B54" i="15"/>
  <c r="Z53" i="15"/>
  <c r="X53" i="15"/>
  <c r="N53" i="15"/>
  <c r="L53" i="15"/>
  <c r="B53" i="15"/>
  <c r="X52" i="15"/>
  <c r="V52" i="15"/>
  <c r="T52" i="15"/>
  <c r="Z52" i="15" s="1"/>
  <c r="P52" i="15"/>
  <c r="H52" i="15"/>
  <c r="D52" i="15"/>
  <c r="L52" i="15" s="1"/>
  <c r="B52" i="15"/>
  <c r="Z51" i="15"/>
  <c r="X51" i="15"/>
  <c r="N51" i="15"/>
  <c r="L51" i="15"/>
  <c r="B51" i="15"/>
  <c r="T50" i="15"/>
  <c r="Z50" i="15" s="1"/>
  <c r="P50" i="15"/>
  <c r="X50" i="15" s="1"/>
  <c r="H50" i="15"/>
  <c r="N50" i="15" s="1"/>
  <c r="D50" i="15"/>
  <c r="L50" i="15" s="1"/>
  <c r="B50" i="15"/>
  <c r="Z49" i="15"/>
  <c r="X49" i="15"/>
  <c r="N49" i="15"/>
  <c r="L49" i="15"/>
  <c r="B49" i="15"/>
  <c r="Z48" i="15"/>
  <c r="X48" i="15"/>
  <c r="N48" i="15"/>
  <c r="L48" i="15"/>
  <c r="J48" i="15"/>
  <c r="B48" i="15"/>
  <c r="X47" i="15"/>
  <c r="Z47" i="15" s="1"/>
  <c r="L47" i="15"/>
  <c r="N47" i="15" s="1"/>
  <c r="B47" i="15"/>
  <c r="Z46" i="15"/>
  <c r="X46" i="15"/>
  <c r="N46" i="15"/>
  <c r="L46" i="15"/>
  <c r="B46" i="15"/>
  <c r="Z45" i="15"/>
  <c r="X45" i="15"/>
  <c r="N45" i="15"/>
  <c r="L45" i="15"/>
  <c r="B45" i="15"/>
  <c r="X44" i="15"/>
  <c r="Z44" i="15" s="1"/>
  <c r="V44" i="15"/>
  <c r="L44" i="15"/>
  <c r="N44" i="15" s="1"/>
  <c r="B44" i="15"/>
  <c r="X43" i="15"/>
  <c r="Z43" i="15" s="1"/>
  <c r="L43" i="15"/>
  <c r="N43" i="15" s="1"/>
  <c r="B43" i="15"/>
  <c r="Z42" i="15"/>
  <c r="X42" i="15"/>
  <c r="N42" i="15"/>
  <c r="L42" i="15"/>
  <c r="B42" i="15"/>
  <c r="Z41" i="15"/>
  <c r="X41" i="15"/>
  <c r="N41" i="15"/>
  <c r="L41" i="15"/>
  <c r="B41" i="15"/>
  <c r="X40" i="15"/>
  <c r="Z40" i="15" s="1"/>
  <c r="L40" i="15"/>
  <c r="N40" i="15" s="1"/>
  <c r="J40" i="15"/>
  <c r="B40" i="15"/>
  <c r="T39" i="15"/>
  <c r="P39" i="15"/>
  <c r="X39" i="15" s="1"/>
  <c r="Z39" i="15" s="1"/>
  <c r="H39" i="15"/>
  <c r="D39" i="15"/>
  <c r="L39" i="15" s="1"/>
  <c r="B39" i="15"/>
  <c r="Z38" i="15"/>
  <c r="X38" i="15"/>
  <c r="N38" i="15"/>
  <c r="L38" i="15"/>
  <c r="B38" i="15"/>
  <c r="Z37" i="15"/>
  <c r="X37" i="15"/>
  <c r="N37" i="15"/>
  <c r="L37" i="15"/>
  <c r="B37" i="15"/>
  <c r="X36" i="15"/>
  <c r="Z36" i="15" s="1"/>
  <c r="L36" i="15"/>
  <c r="N36" i="15" s="1"/>
  <c r="J36" i="15"/>
  <c r="B36" i="15"/>
  <c r="Z35" i="15"/>
  <c r="X35" i="15"/>
  <c r="N35" i="15"/>
  <c r="L35" i="15"/>
  <c r="B35" i="15"/>
  <c r="Z34" i="15"/>
  <c r="X34" i="15"/>
  <c r="N34" i="15"/>
  <c r="L34" i="15"/>
  <c r="B34" i="15"/>
  <c r="Z33" i="15"/>
  <c r="X33" i="15"/>
  <c r="V33" i="15"/>
  <c r="N33" i="15"/>
  <c r="L33" i="15"/>
  <c r="B33" i="15"/>
  <c r="X32" i="15"/>
  <c r="Z32" i="15" s="1"/>
  <c r="V32" i="15"/>
  <c r="L32" i="15"/>
  <c r="N32" i="15" s="1"/>
  <c r="B32" i="15"/>
  <c r="X31" i="15"/>
  <c r="Z31" i="15" s="1"/>
  <c r="L31" i="15"/>
  <c r="N31" i="15" s="1"/>
  <c r="B31" i="15"/>
  <c r="Z30" i="15"/>
  <c r="X30" i="15"/>
  <c r="N30" i="15"/>
  <c r="L30" i="15"/>
  <c r="B30" i="15"/>
  <c r="Z29" i="15"/>
  <c r="X29" i="15"/>
  <c r="L29" i="15"/>
  <c r="N29" i="15" s="1"/>
  <c r="B29" i="15"/>
  <c r="T28" i="15"/>
  <c r="Z28" i="15" s="1"/>
  <c r="P28" i="15"/>
  <c r="X28" i="15" s="1"/>
  <c r="N28" i="15"/>
  <c r="L28" i="15"/>
  <c r="H28" i="15"/>
  <c r="D28" i="15"/>
  <c r="B28" i="15"/>
  <c r="T27" i="15" a="1"/>
  <c r="T27" i="15" s="1"/>
  <c r="P27" i="15" a="1"/>
  <c r="P27" i="15" s="1"/>
  <c r="L27" i="15"/>
  <c r="H27" i="15" a="1"/>
  <c r="H27" i="15" s="1"/>
  <c r="D27" i="15" a="1"/>
  <c r="D27" i="15" s="1"/>
  <c r="T25" i="15"/>
  <c r="H25" i="15"/>
  <c r="Z23" i="15"/>
  <c r="X23" i="15"/>
  <c r="V23" i="15"/>
  <c r="N23" i="15"/>
  <c r="L23" i="15"/>
  <c r="B23" i="15"/>
  <c r="Z22" i="15"/>
  <c r="X22" i="15"/>
  <c r="N22" i="15"/>
  <c r="L22" i="15"/>
  <c r="B22" i="15"/>
  <c r="Z21" i="15"/>
  <c r="X21" i="15"/>
  <c r="V21" i="15"/>
  <c r="L21" i="15"/>
  <c r="N21" i="15" s="1"/>
  <c r="B21" i="15"/>
  <c r="X20" i="15"/>
  <c r="V20" i="15"/>
  <c r="T20" i="15"/>
  <c r="Z20" i="15" s="1"/>
  <c r="P20" i="15"/>
  <c r="L20" i="15"/>
  <c r="H20" i="15"/>
  <c r="N20" i="15" s="1"/>
  <c r="D20" i="15"/>
  <c r="Z18" i="15"/>
  <c r="P18" i="15"/>
  <c r="X18" i="15" s="1"/>
  <c r="N18" i="15"/>
  <c r="D18" i="15"/>
  <c r="L18" i="15" s="1"/>
  <c r="B18" i="15"/>
  <c r="Z17" i="15"/>
  <c r="X17" i="15"/>
  <c r="P17" i="15"/>
  <c r="N17" i="15"/>
  <c r="L17" i="15"/>
  <c r="D17" i="15"/>
  <c r="B17" i="15"/>
  <c r="P16" i="15"/>
  <c r="X16" i="15" s="1"/>
  <c r="Z16" i="15" s="1"/>
  <c r="D16" i="15"/>
  <c r="L16" i="15" s="1"/>
  <c r="N16" i="15" s="1"/>
  <c r="B16" i="15"/>
  <c r="Z15" i="15"/>
  <c r="X15" i="15"/>
  <c r="P15" i="15"/>
  <c r="N15" i="15"/>
  <c r="D15" i="15"/>
  <c r="L15" i="15" s="1"/>
  <c r="B15" i="15"/>
  <c r="Z14" i="15"/>
  <c r="P14" i="15"/>
  <c r="N14" i="15"/>
  <c r="L14" i="15"/>
  <c r="D14" i="15"/>
  <c r="B14" i="15"/>
  <c r="P13" i="15"/>
  <c r="X13" i="15" s="1"/>
  <c r="Z13" i="15" s="1"/>
  <c r="N13" i="15"/>
  <c r="D13" i="15"/>
  <c r="L13" i="15" s="1"/>
  <c r="B13" i="15"/>
  <c r="T12" i="15"/>
  <c r="V113" i="15" s="1"/>
  <c r="H12" i="15"/>
  <c r="J105" i="15" s="1"/>
  <c r="D4" i="15"/>
  <c r="Z126" i="14"/>
  <c r="X126" i="14"/>
  <c r="L126" i="14"/>
  <c r="N126" i="14" s="1"/>
  <c r="Z122" i="14"/>
  <c r="P122" i="14"/>
  <c r="X122" i="14" s="1"/>
  <c r="N122" i="14"/>
  <c r="J122" i="14"/>
  <c r="D122" i="14"/>
  <c r="L122" i="14" s="1"/>
  <c r="B122" i="14"/>
  <c r="P121" i="14"/>
  <c r="N121" i="14"/>
  <c r="D121" i="14"/>
  <c r="L121" i="14" s="1"/>
  <c r="B121" i="14"/>
  <c r="X120" i="14"/>
  <c r="Z120" i="14" s="1"/>
  <c r="P120" i="14"/>
  <c r="D120" i="14"/>
  <c r="L120" i="14" s="1"/>
  <c r="N120" i="14" s="1"/>
  <c r="B120" i="14"/>
  <c r="P119" i="14"/>
  <c r="X119" i="14" s="1"/>
  <c r="Z119" i="14" s="1"/>
  <c r="N119" i="14"/>
  <c r="L119" i="14"/>
  <c r="D119" i="14"/>
  <c r="B119" i="14"/>
  <c r="T118" i="14"/>
  <c r="H118" i="14"/>
  <c r="X116" i="14"/>
  <c r="Z116" i="14" s="1"/>
  <c r="N116" i="14"/>
  <c r="L116" i="14"/>
  <c r="B116" i="14"/>
  <c r="T115" i="14"/>
  <c r="P115" i="14"/>
  <c r="X115" i="14" s="1"/>
  <c r="H115" i="14"/>
  <c r="D115" i="14"/>
  <c r="L115" i="14" s="1"/>
  <c r="N115" i="14" s="1"/>
  <c r="B115" i="14"/>
  <c r="Z114" i="14"/>
  <c r="X114" i="14"/>
  <c r="N114" i="14"/>
  <c r="L114" i="14"/>
  <c r="B114" i="14"/>
  <c r="Z113" i="14"/>
  <c r="X113" i="14"/>
  <c r="N113" i="14"/>
  <c r="L113" i="14"/>
  <c r="B113" i="14"/>
  <c r="X112" i="14"/>
  <c r="Z112" i="14" s="1"/>
  <c r="T112" i="14"/>
  <c r="P112" i="14"/>
  <c r="L112" i="14"/>
  <c r="H112" i="14"/>
  <c r="N112" i="14" s="1"/>
  <c r="D112" i="14"/>
  <c r="B112" i="14"/>
  <c r="X111" i="14"/>
  <c r="Z111" i="14" s="1"/>
  <c r="V111" i="14"/>
  <c r="N111" i="14"/>
  <c r="L111" i="14"/>
  <c r="B111" i="14"/>
  <c r="X110" i="14"/>
  <c r="T110" i="14"/>
  <c r="Z110" i="14" s="1"/>
  <c r="P110" i="14"/>
  <c r="H110" i="14"/>
  <c r="D110" i="14"/>
  <c r="B110" i="14"/>
  <c r="X109" i="14"/>
  <c r="Z109" i="14" s="1"/>
  <c r="N109" i="14"/>
  <c r="L109" i="14"/>
  <c r="B109" i="14"/>
  <c r="Z108" i="14"/>
  <c r="X108" i="14"/>
  <c r="L108" i="14"/>
  <c r="N108" i="14" s="1"/>
  <c r="B108" i="14"/>
  <c r="X107" i="14"/>
  <c r="V107" i="14"/>
  <c r="T107" i="14"/>
  <c r="Z107" i="14" s="1"/>
  <c r="P107" i="14"/>
  <c r="L107" i="14"/>
  <c r="H107" i="14"/>
  <c r="N107" i="14" s="1"/>
  <c r="D107" i="14"/>
  <c r="B107" i="14"/>
  <c r="X106" i="14"/>
  <c r="Z106" i="14" s="1"/>
  <c r="L106" i="14"/>
  <c r="N106" i="14" s="1"/>
  <c r="B106" i="14"/>
  <c r="X105" i="14"/>
  <c r="Z105" i="14" s="1"/>
  <c r="N105" i="14"/>
  <c r="L105" i="14"/>
  <c r="B105" i="14"/>
  <c r="Z104" i="14"/>
  <c r="X104" i="14"/>
  <c r="L104" i="14"/>
  <c r="N104" i="14" s="1"/>
  <c r="B104" i="14"/>
  <c r="X103" i="14"/>
  <c r="Z103" i="14" s="1"/>
  <c r="V103" i="14"/>
  <c r="N103" i="14"/>
  <c r="L103" i="14"/>
  <c r="B103" i="14"/>
  <c r="X102" i="14"/>
  <c r="Z102" i="14" s="1"/>
  <c r="L102" i="14"/>
  <c r="N102" i="14" s="1"/>
  <c r="B102" i="14"/>
  <c r="Z101" i="14"/>
  <c r="X101" i="14"/>
  <c r="L101" i="14"/>
  <c r="N101" i="14" s="1"/>
  <c r="B101" i="14"/>
  <c r="X100" i="14"/>
  <c r="Z100" i="14" s="1"/>
  <c r="N100" i="14"/>
  <c r="L100" i="14"/>
  <c r="B100" i="14"/>
  <c r="Z99" i="14"/>
  <c r="X99" i="14"/>
  <c r="L99" i="14"/>
  <c r="N99" i="14" s="1"/>
  <c r="J99" i="14"/>
  <c r="B99" i="14"/>
  <c r="X98" i="14"/>
  <c r="Z98" i="14" s="1"/>
  <c r="L98" i="14"/>
  <c r="N98" i="14" s="1"/>
  <c r="B98" i="14"/>
  <c r="X97" i="14"/>
  <c r="Z97" i="14" s="1"/>
  <c r="N97" i="14"/>
  <c r="L97" i="14"/>
  <c r="B97" i="14"/>
  <c r="T96" i="14"/>
  <c r="P96" i="14"/>
  <c r="H96" i="14"/>
  <c r="D96" i="14"/>
  <c r="L96" i="14" s="1"/>
  <c r="N96" i="14" s="1"/>
  <c r="B96" i="14"/>
  <c r="Z95" i="14"/>
  <c r="X95" i="14"/>
  <c r="L95" i="14"/>
  <c r="N95" i="14" s="1"/>
  <c r="J95" i="14"/>
  <c r="B95" i="14"/>
  <c r="X94" i="14"/>
  <c r="Z94" i="14" s="1"/>
  <c r="N94" i="14"/>
  <c r="L94" i="14"/>
  <c r="B94" i="14"/>
  <c r="X93" i="14"/>
  <c r="T93" i="14"/>
  <c r="Z93" i="14" s="1"/>
  <c r="P93" i="14"/>
  <c r="H93" i="14"/>
  <c r="D93" i="14"/>
  <c r="L93" i="14" s="1"/>
  <c r="N93" i="14" s="1"/>
  <c r="B93" i="14"/>
  <c r="X92" i="14"/>
  <c r="Z92" i="14" s="1"/>
  <c r="N92" i="14"/>
  <c r="L92" i="14"/>
  <c r="B92" i="14"/>
  <c r="Z91" i="14"/>
  <c r="X91" i="14"/>
  <c r="L91" i="14"/>
  <c r="N91" i="14" s="1"/>
  <c r="J91" i="14"/>
  <c r="B91" i="14"/>
  <c r="X90" i="14"/>
  <c r="Z90" i="14" s="1"/>
  <c r="L90" i="14"/>
  <c r="N90" i="14" s="1"/>
  <c r="B90" i="14"/>
  <c r="X89" i="14"/>
  <c r="Z89" i="14" s="1"/>
  <c r="N89" i="14"/>
  <c r="L89" i="14"/>
  <c r="B89" i="14"/>
  <c r="Z88" i="14"/>
  <c r="X88" i="14"/>
  <c r="L88" i="14"/>
  <c r="N88" i="14" s="1"/>
  <c r="B88" i="14"/>
  <c r="X87" i="14"/>
  <c r="V87" i="14"/>
  <c r="T87" i="14"/>
  <c r="Z87" i="14" s="1"/>
  <c r="P87" i="14"/>
  <c r="L87" i="14"/>
  <c r="H87" i="14"/>
  <c r="N87" i="14" s="1"/>
  <c r="D87" i="14"/>
  <c r="B87" i="14"/>
  <c r="Z86" i="14"/>
  <c r="X86" i="14"/>
  <c r="N86" i="14"/>
  <c r="L86" i="14"/>
  <c r="B86" i="14"/>
  <c r="X85" i="14"/>
  <c r="T85" i="14"/>
  <c r="Z85" i="14" s="1"/>
  <c r="P85" i="14"/>
  <c r="N85" i="14"/>
  <c r="H85" i="14"/>
  <c r="D85" i="14"/>
  <c r="L85" i="14" s="1"/>
  <c r="B85" i="14"/>
  <c r="X84" i="14"/>
  <c r="Z84" i="14" s="1"/>
  <c r="N84" i="14"/>
  <c r="L84" i="14"/>
  <c r="B84" i="14"/>
  <c r="Z83" i="14"/>
  <c r="X83" i="14"/>
  <c r="N83" i="14"/>
  <c r="L83" i="14"/>
  <c r="J83" i="14"/>
  <c r="B83" i="14"/>
  <c r="X82" i="14"/>
  <c r="Z82" i="14" s="1"/>
  <c r="N82" i="14"/>
  <c r="L82" i="14"/>
  <c r="B82" i="14"/>
  <c r="X81" i="14"/>
  <c r="Z81" i="14" s="1"/>
  <c r="N81" i="14"/>
  <c r="L81" i="14"/>
  <c r="B81" i="14"/>
  <c r="T80" i="14"/>
  <c r="P80" i="14"/>
  <c r="H80" i="14"/>
  <c r="D80" i="14"/>
  <c r="L80" i="14" s="1"/>
  <c r="N80" i="14" s="1"/>
  <c r="B80" i="14"/>
  <c r="Z79" i="14"/>
  <c r="X79" i="14"/>
  <c r="L79" i="14"/>
  <c r="N79" i="14" s="1"/>
  <c r="J79" i="14"/>
  <c r="B79" i="14"/>
  <c r="T78" i="14"/>
  <c r="P78" i="14"/>
  <c r="X78" i="14" s="1"/>
  <c r="Z78" i="14" s="1"/>
  <c r="L78" i="14"/>
  <c r="N78" i="14" s="1"/>
  <c r="H78" i="14"/>
  <c r="D78" i="14"/>
  <c r="B78" i="14"/>
  <c r="Z77" i="14"/>
  <c r="X77" i="14"/>
  <c r="N77" i="14"/>
  <c r="L77" i="14"/>
  <c r="B77" i="14"/>
  <c r="X76" i="14"/>
  <c r="Z76" i="14" s="1"/>
  <c r="T76" i="14"/>
  <c r="P76" i="14"/>
  <c r="L76" i="14"/>
  <c r="H76" i="14"/>
  <c r="N76" i="14" s="1"/>
  <c r="D76" i="14"/>
  <c r="B76" i="14"/>
  <c r="Z75" i="14"/>
  <c r="X75" i="14"/>
  <c r="V75" i="14"/>
  <c r="N75" i="14"/>
  <c r="L75" i="14"/>
  <c r="B75" i="14"/>
  <c r="X74" i="14"/>
  <c r="T74" i="14"/>
  <c r="Z74" i="14" s="1"/>
  <c r="P74" i="14"/>
  <c r="H74" i="14"/>
  <c r="N74" i="14" s="1"/>
  <c r="D74" i="14"/>
  <c r="L74" i="14" s="1"/>
  <c r="B74" i="14"/>
  <c r="X73" i="14"/>
  <c r="Z73" i="14" s="1"/>
  <c r="N73" i="14"/>
  <c r="L73" i="14"/>
  <c r="B73" i="14"/>
  <c r="T72" i="14"/>
  <c r="P72" i="14"/>
  <c r="H72" i="14"/>
  <c r="D72" i="14"/>
  <c r="L72" i="14" s="1"/>
  <c r="N72" i="14" s="1"/>
  <c r="B72" i="14"/>
  <c r="Z71" i="14"/>
  <c r="X71" i="14"/>
  <c r="L71" i="14"/>
  <c r="N71" i="14" s="1"/>
  <c r="J71" i="14"/>
  <c r="B71" i="14"/>
  <c r="T70" i="14"/>
  <c r="P70" i="14"/>
  <c r="X70" i="14" s="1"/>
  <c r="Z70" i="14" s="1"/>
  <c r="L70" i="14"/>
  <c r="N70" i="14" s="1"/>
  <c r="H70" i="14"/>
  <c r="D70" i="14"/>
  <c r="B70" i="14"/>
  <c r="Z69" i="14"/>
  <c r="X69" i="14"/>
  <c r="L69" i="14"/>
  <c r="N69" i="14" s="1"/>
  <c r="B69" i="14"/>
  <c r="X68" i="14"/>
  <c r="Z68" i="14" s="1"/>
  <c r="N68" i="14"/>
  <c r="L68" i="14"/>
  <c r="B68" i="14"/>
  <c r="T67" i="14"/>
  <c r="P67" i="14"/>
  <c r="X67" i="14" s="1"/>
  <c r="Z67" i="14" s="1"/>
  <c r="N67" i="14"/>
  <c r="H67" i="14"/>
  <c r="D67" i="14"/>
  <c r="L67" i="14" s="1"/>
  <c r="B67" i="14"/>
  <c r="X66" i="14"/>
  <c r="Z66" i="14" s="1"/>
  <c r="L66" i="14"/>
  <c r="N66" i="14" s="1"/>
  <c r="B66" i="14"/>
  <c r="Z65" i="14"/>
  <c r="T65" i="14"/>
  <c r="P65" i="14"/>
  <c r="X65" i="14" s="1"/>
  <c r="L65" i="14"/>
  <c r="J65" i="14"/>
  <c r="H65" i="14"/>
  <c r="N65" i="14" s="1"/>
  <c r="D65" i="14"/>
  <c r="B65" i="14"/>
  <c r="Z64" i="14"/>
  <c r="X64" i="14"/>
  <c r="L64" i="14"/>
  <c r="N64" i="14" s="1"/>
  <c r="B64" i="14"/>
  <c r="X63" i="14"/>
  <c r="V63" i="14"/>
  <c r="T63" i="14"/>
  <c r="Z63" i="14" s="1"/>
  <c r="P63" i="14"/>
  <c r="L63" i="14"/>
  <c r="H63" i="14"/>
  <c r="N63" i="14" s="1"/>
  <c r="D63" i="14"/>
  <c r="B63" i="14"/>
  <c r="X62" i="14"/>
  <c r="Z62" i="14" s="1"/>
  <c r="N62" i="14"/>
  <c r="L62" i="14"/>
  <c r="B62" i="14"/>
  <c r="X61" i="14"/>
  <c r="T61" i="14"/>
  <c r="Z61" i="14" s="1"/>
  <c r="P61" i="14"/>
  <c r="N61" i="14"/>
  <c r="H61" i="14"/>
  <c r="D61" i="14"/>
  <c r="L61" i="14" s="1"/>
  <c r="B61" i="14"/>
  <c r="X60" i="14"/>
  <c r="Z60" i="14" s="1"/>
  <c r="N60" i="14"/>
  <c r="L60" i="14"/>
  <c r="B60" i="14"/>
  <c r="Z59" i="14"/>
  <c r="X59" i="14"/>
  <c r="N59" i="14"/>
  <c r="L59" i="14"/>
  <c r="J59" i="14"/>
  <c r="B59" i="14"/>
  <c r="T58" i="14"/>
  <c r="P58" i="14"/>
  <c r="X58" i="14" s="1"/>
  <c r="Z58" i="14" s="1"/>
  <c r="L58" i="14"/>
  <c r="N58" i="14" s="1"/>
  <c r="H58" i="14"/>
  <c r="D58" i="14"/>
  <c r="B58" i="14"/>
  <c r="Z57" i="14"/>
  <c r="X57" i="14"/>
  <c r="L57" i="14"/>
  <c r="N57" i="14" s="1"/>
  <c r="B57" i="14"/>
  <c r="X56" i="14"/>
  <c r="Z56" i="14" s="1"/>
  <c r="T56" i="14"/>
  <c r="P56" i="14"/>
  <c r="L56" i="14"/>
  <c r="H56" i="14"/>
  <c r="D56" i="14"/>
  <c r="B56" i="14"/>
  <c r="X55" i="14"/>
  <c r="Z55" i="14" s="1"/>
  <c r="V55" i="14"/>
  <c r="N55" i="14"/>
  <c r="L55" i="14"/>
  <c r="B55" i="14"/>
  <c r="X54" i="14"/>
  <c r="T54" i="14"/>
  <c r="P54" i="14"/>
  <c r="H54" i="14"/>
  <c r="D54" i="14"/>
  <c r="B54" i="14"/>
  <c r="X53" i="14"/>
  <c r="Z53" i="14" s="1"/>
  <c r="N53" i="14"/>
  <c r="L53" i="14"/>
  <c r="B53" i="14"/>
  <c r="T52" i="14"/>
  <c r="P52" i="14"/>
  <c r="X52" i="14" s="1"/>
  <c r="H52" i="14"/>
  <c r="D52" i="14"/>
  <c r="L52" i="14" s="1"/>
  <c r="B52" i="14"/>
  <c r="Z51" i="14"/>
  <c r="X51" i="14"/>
  <c r="N51" i="14"/>
  <c r="L51" i="14"/>
  <c r="J51" i="14"/>
  <c r="B51" i="14"/>
  <c r="Z50" i="14"/>
  <c r="X50" i="14"/>
  <c r="N50" i="14"/>
  <c r="L50" i="14"/>
  <c r="B50" i="14"/>
  <c r="X49" i="14"/>
  <c r="Z49" i="14" s="1"/>
  <c r="N49" i="14"/>
  <c r="L49" i="14"/>
  <c r="B49" i="14"/>
  <c r="Z48" i="14"/>
  <c r="X48" i="14"/>
  <c r="N48" i="14"/>
  <c r="L48" i="14"/>
  <c r="B48" i="14"/>
  <c r="Z47" i="14"/>
  <c r="X47" i="14"/>
  <c r="V47" i="14"/>
  <c r="N47" i="14"/>
  <c r="L47" i="14"/>
  <c r="B47" i="14"/>
  <c r="X46" i="14"/>
  <c r="Z46" i="14" s="1"/>
  <c r="L46" i="14"/>
  <c r="N46" i="14" s="1"/>
  <c r="B46" i="14"/>
  <c r="Z45" i="14"/>
  <c r="X45" i="14"/>
  <c r="L45" i="14"/>
  <c r="N45" i="14" s="1"/>
  <c r="B45" i="14"/>
  <c r="Z44" i="14"/>
  <c r="X44" i="14"/>
  <c r="N44" i="14"/>
  <c r="L44" i="14"/>
  <c r="B44" i="14"/>
  <c r="Z43" i="14"/>
  <c r="X43" i="14"/>
  <c r="L43" i="14"/>
  <c r="N43" i="14" s="1"/>
  <c r="J43" i="14"/>
  <c r="B43" i="14"/>
  <c r="X42" i="14"/>
  <c r="Z42" i="14" s="1"/>
  <c r="L42" i="14"/>
  <c r="N42" i="14" s="1"/>
  <c r="B42" i="14"/>
  <c r="X41" i="14"/>
  <c r="T41" i="14"/>
  <c r="Z41" i="14" s="1"/>
  <c r="P41" i="14"/>
  <c r="H41" i="14"/>
  <c r="D41" i="14"/>
  <c r="L41" i="14" s="1"/>
  <c r="N41" i="14" s="1"/>
  <c r="B41" i="14"/>
  <c r="X40" i="14"/>
  <c r="Z40" i="14" s="1"/>
  <c r="N40" i="14"/>
  <c r="L40" i="14"/>
  <c r="B40" i="14"/>
  <c r="Z39" i="14"/>
  <c r="X39" i="14"/>
  <c r="L39" i="14"/>
  <c r="N39" i="14" s="1"/>
  <c r="J39" i="14"/>
  <c r="B39" i="14"/>
  <c r="X38" i="14"/>
  <c r="Z38" i="14" s="1"/>
  <c r="L38" i="14"/>
  <c r="N38" i="14" s="1"/>
  <c r="B38" i="14"/>
  <c r="Z37" i="14"/>
  <c r="X37" i="14"/>
  <c r="N37" i="14"/>
  <c r="L37" i="14"/>
  <c r="B37" i="14"/>
  <c r="Z36" i="14"/>
  <c r="X36" i="14"/>
  <c r="N36" i="14"/>
  <c r="L36" i="14"/>
  <c r="B36" i="14"/>
  <c r="X35" i="14"/>
  <c r="Z35" i="14" s="1"/>
  <c r="V35" i="14"/>
  <c r="N35" i="14"/>
  <c r="L35" i="14"/>
  <c r="B35" i="14"/>
  <c r="X34" i="14"/>
  <c r="Z34" i="14" s="1"/>
  <c r="L34" i="14"/>
  <c r="N34" i="14" s="1"/>
  <c r="B34" i="14"/>
  <c r="Z33" i="14"/>
  <c r="X33" i="14"/>
  <c r="L33" i="14"/>
  <c r="N33" i="14" s="1"/>
  <c r="B33" i="14"/>
  <c r="X32" i="14"/>
  <c r="Z32" i="14" s="1"/>
  <c r="N32" i="14"/>
  <c r="L32" i="14"/>
  <c r="B32" i="14"/>
  <c r="Z31" i="14"/>
  <c r="X31" i="14"/>
  <c r="L31" i="14"/>
  <c r="N31" i="14" s="1"/>
  <c r="J31" i="14"/>
  <c r="B31" i="14"/>
  <c r="T30" i="14"/>
  <c r="P30" i="14"/>
  <c r="X30" i="14" s="1"/>
  <c r="L30" i="14"/>
  <c r="N30" i="14" s="1"/>
  <c r="H30" i="14"/>
  <c r="D30" i="14"/>
  <c r="B30" i="14"/>
  <c r="T29" i="14" a="1"/>
  <c r="T29" i="14" s="1"/>
  <c r="T124" i="14" s="1"/>
  <c r="P29" i="14" a="1"/>
  <c r="P29" i="14" s="1"/>
  <c r="H29" i="14" a="1"/>
  <c r="H29" i="14" s="1"/>
  <c r="J29" i="14" s="1"/>
  <c r="D29" i="14" a="1"/>
  <c r="D29" i="14" s="1"/>
  <c r="L29" i="14" s="1"/>
  <c r="T27" i="14"/>
  <c r="Z25" i="14"/>
  <c r="X25" i="14"/>
  <c r="V25" i="14"/>
  <c r="N25" i="14"/>
  <c r="L25" i="14"/>
  <c r="J25" i="14"/>
  <c r="B25" i="14"/>
  <c r="Z24" i="14"/>
  <c r="X24" i="14"/>
  <c r="N24" i="14"/>
  <c r="L24" i="14"/>
  <c r="J24" i="14"/>
  <c r="B24" i="14"/>
  <c r="Z23" i="14"/>
  <c r="X23" i="14"/>
  <c r="V23" i="14"/>
  <c r="L23" i="14"/>
  <c r="N23" i="14" s="1"/>
  <c r="B23" i="14"/>
  <c r="X22" i="14"/>
  <c r="T22" i="14"/>
  <c r="Z22" i="14" s="1"/>
  <c r="P22" i="14"/>
  <c r="H22" i="14"/>
  <c r="D22" i="14"/>
  <c r="Z20" i="14"/>
  <c r="P20" i="14"/>
  <c r="X20" i="14" s="1"/>
  <c r="N20" i="14"/>
  <c r="D20" i="14"/>
  <c r="L20" i="14" s="1"/>
  <c r="B20" i="14"/>
  <c r="Z19" i="14"/>
  <c r="X19" i="14"/>
  <c r="P19" i="14"/>
  <c r="N19" i="14"/>
  <c r="L19" i="14"/>
  <c r="D19" i="14"/>
  <c r="B19" i="14"/>
  <c r="Z18" i="14"/>
  <c r="P18" i="14"/>
  <c r="X18" i="14" s="1"/>
  <c r="N18" i="14"/>
  <c r="D18" i="14"/>
  <c r="L18" i="14" s="1"/>
  <c r="B18" i="14"/>
  <c r="P17" i="14"/>
  <c r="X17" i="14" s="1"/>
  <c r="Z17" i="14" s="1"/>
  <c r="D17" i="14"/>
  <c r="L17" i="14" s="1"/>
  <c r="N17" i="14" s="1"/>
  <c r="B17" i="14"/>
  <c r="Z16" i="14"/>
  <c r="X16" i="14"/>
  <c r="P16" i="14"/>
  <c r="N16" i="14"/>
  <c r="L16" i="14"/>
  <c r="D16" i="14"/>
  <c r="B16" i="14"/>
  <c r="Z15" i="14"/>
  <c r="P15" i="14"/>
  <c r="X15" i="14" s="1"/>
  <c r="N15" i="14"/>
  <c r="D15" i="14"/>
  <c r="L15" i="14" s="1"/>
  <c r="B15" i="14"/>
  <c r="Z14" i="14"/>
  <c r="X14" i="14"/>
  <c r="P14" i="14"/>
  <c r="N14" i="14"/>
  <c r="D14" i="14"/>
  <c r="L14" i="14" s="1"/>
  <c r="B14" i="14"/>
  <c r="P13" i="14"/>
  <c r="X13" i="14" s="1"/>
  <c r="Z13" i="14" s="1"/>
  <c r="L13" i="14"/>
  <c r="N13" i="14" s="1"/>
  <c r="D13" i="14"/>
  <c r="B13" i="14"/>
  <c r="T12" i="14"/>
  <c r="P12" i="14"/>
  <c r="R48" i="14" s="1"/>
  <c r="H12" i="14"/>
  <c r="J116" i="14" s="1"/>
  <c r="D4" i="14"/>
  <c r="X132" i="13"/>
  <c r="Z132" i="13" s="1"/>
  <c r="N132" i="13"/>
  <c r="L132" i="13"/>
  <c r="Z128" i="13"/>
  <c r="X128" i="13"/>
  <c r="P128" i="13"/>
  <c r="N128" i="13"/>
  <c r="L128" i="13"/>
  <c r="F128" i="13"/>
  <c r="D128" i="13"/>
  <c r="B128" i="13"/>
  <c r="P127" i="13"/>
  <c r="X127" i="13" s="1"/>
  <c r="Z127" i="13" s="1"/>
  <c r="N127" i="13"/>
  <c r="L127" i="13"/>
  <c r="D127" i="13"/>
  <c r="B127" i="13"/>
  <c r="Z126" i="13"/>
  <c r="P126" i="13"/>
  <c r="X126" i="13" s="1"/>
  <c r="D126" i="13"/>
  <c r="L126" i="13" s="1"/>
  <c r="N126" i="13" s="1"/>
  <c r="B126" i="13"/>
  <c r="X125" i="13"/>
  <c r="Z125" i="13" s="1"/>
  <c r="P125" i="13"/>
  <c r="P124" i="13" s="1"/>
  <c r="X124" i="13" s="1"/>
  <c r="N125" i="13"/>
  <c r="D125" i="13"/>
  <c r="L125" i="13" s="1"/>
  <c r="B125" i="13"/>
  <c r="T124" i="13"/>
  <c r="H124" i="13"/>
  <c r="Z122" i="13"/>
  <c r="X122" i="13"/>
  <c r="L122" i="13"/>
  <c r="N122" i="13" s="1"/>
  <c r="B122" i="13"/>
  <c r="T121" i="13"/>
  <c r="P121" i="13"/>
  <c r="X121" i="13" s="1"/>
  <c r="Z121" i="13" s="1"/>
  <c r="L121" i="13"/>
  <c r="H121" i="13"/>
  <c r="N121" i="13" s="1"/>
  <c r="D121" i="13"/>
  <c r="B121" i="13"/>
  <c r="Z120" i="13"/>
  <c r="X120" i="13"/>
  <c r="L120" i="13"/>
  <c r="N120" i="13" s="1"/>
  <c r="B120" i="13"/>
  <c r="X119" i="13"/>
  <c r="Z119" i="13" s="1"/>
  <c r="N119" i="13"/>
  <c r="L119" i="13"/>
  <c r="B119" i="13"/>
  <c r="T118" i="13"/>
  <c r="P118" i="13"/>
  <c r="X118" i="13" s="1"/>
  <c r="Z118" i="13" s="1"/>
  <c r="N118" i="13"/>
  <c r="H118" i="13"/>
  <c r="D118" i="13"/>
  <c r="L118" i="13" s="1"/>
  <c r="B118" i="13"/>
  <c r="Z117" i="13"/>
  <c r="X117" i="13"/>
  <c r="N117" i="13"/>
  <c r="L117" i="13"/>
  <c r="B117" i="13"/>
  <c r="Z116" i="13"/>
  <c r="T116" i="13"/>
  <c r="P116" i="13"/>
  <c r="X116" i="13" s="1"/>
  <c r="H116" i="13"/>
  <c r="N116" i="13" s="1"/>
  <c r="D116" i="13"/>
  <c r="L116" i="13" s="1"/>
  <c r="B116" i="13"/>
  <c r="Z115" i="13"/>
  <c r="X115" i="13"/>
  <c r="L115" i="13"/>
  <c r="N115" i="13" s="1"/>
  <c r="B115" i="13"/>
  <c r="T114" i="13"/>
  <c r="P114" i="13"/>
  <c r="X114" i="13" s="1"/>
  <c r="L114" i="13"/>
  <c r="N114" i="13" s="1"/>
  <c r="H114" i="13"/>
  <c r="D114" i="13"/>
  <c r="B114" i="13"/>
  <c r="Z113" i="13"/>
  <c r="X113" i="13"/>
  <c r="L113" i="13"/>
  <c r="N113" i="13" s="1"/>
  <c r="B113" i="13"/>
  <c r="Z112" i="13"/>
  <c r="X112" i="13"/>
  <c r="N112" i="13"/>
  <c r="L112" i="13"/>
  <c r="B112" i="13"/>
  <c r="Z111" i="13"/>
  <c r="X111" i="13"/>
  <c r="L111" i="13"/>
  <c r="N111" i="13" s="1"/>
  <c r="B111" i="13"/>
  <c r="X110" i="13"/>
  <c r="Z110" i="13" s="1"/>
  <c r="N110" i="13"/>
  <c r="L110" i="13"/>
  <c r="B110" i="13"/>
  <c r="X109" i="13"/>
  <c r="Z109" i="13" s="1"/>
  <c r="N109" i="13"/>
  <c r="L109" i="13"/>
  <c r="B109" i="13"/>
  <c r="Z108" i="13"/>
  <c r="X108" i="13"/>
  <c r="V108" i="13"/>
  <c r="N108" i="13"/>
  <c r="L108" i="13"/>
  <c r="B108" i="13"/>
  <c r="X107" i="13"/>
  <c r="T107" i="13"/>
  <c r="Z107" i="13" s="1"/>
  <c r="P107" i="13"/>
  <c r="H107" i="13"/>
  <c r="D107" i="13"/>
  <c r="B107" i="13"/>
  <c r="X106" i="13"/>
  <c r="Z106" i="13" s="1"/>
  <c r="N106" i="13"/>
  <c r="L106" i="13"/>
  <c r="B106" i="13"/>
  <c r="X105" i="13"/>
  <c r="Z105" i="13" s="1"/>
  <c r="N105" i="13"/>
  <c r="L105" i="13"/>
  <c r="B105" i="13"/>
  <c r="T104" i="13"/>
  <c r="P104" i="13"/>
  <c r="X104" i="13" s="1"/>
  <c r="Z104" i="13" s="1"/>
  <c r="H104" i="13"/>
  <c r="N104" i="13" s="1"/>
  <c r="D104" i="13"/>
  <c r="L104" i="13" s="1"/>
  <c r="B104" i="13"/>
  <c r="Z103" i="13"/>
  <c r="X103" i="13"/>
  <c r="N103" i="13"/>
  <c r="L103" i="13"/>
  <c r="B103" i="13"/>
  <c r="X102" i="13"/>
  <c r="Z102" i="13" s="1"/>
  <c r="N102" i="13"/>
  <c r="L102" i="13"/>
  <c r="B102" i="13"/>
  <c r="Z101" i="13"/>
  <c r="X101" i="13"/>
  <c r="N101" i="13"/>
  <c r="L101" i="13"/>
  <c r="B101" i="13"/>
  <c r="V100" i="13"/>
  <c r="T100" i="13"/>
  <c r="P100" i="13"/>
  <c r="X100" i="13" s="1"/>
  <c r="Z100" i="13" s="1"/>
  <c r="H100" i="13"/>
  <c r="D100" i="13"/>
  <c r="L100" i="13" s="1"/>
  <c r="B100" i="13"/>
  <c r="Z99" i="13"/>
  <c r="X99" i="13"/>
  <c r="N99" i="13"/>
  <c r="L99" i="13"/>
  <c r="B99" i="13"/>
  <c r="X98" i="13"/>
  <c r="Z98" i="13" s="1"/>
  <c r="N98" i="13"/>
  <c r="L98" i="13"/>
  <c r="B98" i="13"/>
  <c r="X97" i="13"/>
  <c r="Z97" i="13" s="1"/>
  <c r="N97" i="13"/>
  <c r="L97" i="13"/>
  <c r="B97" i="13"/>
  <c r="Z96" i="13"/>
  <c r="T96" i="13"/>
  <c r="P96" i="13"/>
  <c r="X96" i="13" s="1"/>
  <c r="H96" i="13"/>
  <c r="D96" i="13"/>
  <c r="L96" i="13" s="1"/>
  <c r="N96" i="13" s="1"/>
  <c r="B96" i="13"/>
  <c r="Z95" i="13"/>
  <c r="X95" i="13"/>
  <c r="N95" i="13"/>
  <c r="L95" i="13"/>
  <c r="B95" i="13"/>
  <c r="X94" i="13"/>
  <c r="Z94" i="13" s="1"/>
  <c r="V94" i="13"/>
  <c r="N94" i="13"/>
  <c r="L94" i="13"/>
  <c r="B94" i="13"/>
  <c r="T93" i="13"/>
  <c r="P93" i="13"/>
  <c r="H93" i="13"/>
  <c r="D93" i="13"/>
  <c r="L93" i="13" s="1"/>
  <c r="B93" i="13"/>
  <c r="X92" i="13"/>
  <c r="Z92" i="13" s="1"/>
  <c r="N92" i="13"/>
  <c r="L92" i="13"/>
  <c r="B92" i="13"/>
  <c r="T91" i="13"/>
  <c r="P91" i="13"/>
  <c r="X91" i="13" s="1"/>
  <c r="H91" i="13"/>
  <c r="D91" i="13"/>
  <c r="L91" i="13" s="1"/>
  <c r="N91" i="13" s="1"/>
  <c r="B91" i="13"/>
  <c r="Z90" i="13"/>
  <c r="X90" i="13"/>
  <c r="N90" i="13"/>
  <c r="L90" i="13"/>
  <c r="J90" i="13"/>
  <c r="B90" i="13"/>
  <c r="T89" i="13"/>
  <c r="P89" i="13"/>
  <c r="X89" i="13" s="1"/>
  <c r="Z89" i="13" s="1"/>
  <c r="L89" i="13"/>
  <c r="H89" i="13"/>
  <c r="N89" i="13" s="1"/>
  <c r="D89" i="13"/>
  <c r="B89" i="13"/>
  <c r="Z88" i="13"/>
  <c r="X88" i="13"/>
  <c r="L88" i="13"/>
  <c r="N88" i="13" s="1"/>
  <c r="B88" i="13"/>
  <c r="X87" i="13"/>
  <c r="T87" i="13"/>
  <c r="Z87" i="13" s="1"/>
  <c r="P87" i="13"/>
  <c r="L87" i="13"/>
  <c r="H87" i="13"/>
  <c r="D87" i="13"/>
  <c r="B87" i="13"/>
  <c r="X86" i="13"/>
  <c r="Z86" i="13" s="1"/>
  <c r="N86" i="13"/>
  <c r="L86" i="13"/>
  <c r="B86" i="13"/>
  <c r="T85" i="13"/>
  <c r="P85" i="13"/>
  <c r="H85" i="13"/>
  <c r="D85" i="13"/>
  <c r="L85" i="13" s="1"/>
  <c r="B85" i="13"/>
  <c r="X84" i="13"/>
  <c r="Z84" i="13" s="1"/>
  <c r="N84" i="13"/>
  <c r="L84" i="13"/>
  <c r="B84" i="13"/>
  <c r="Z83" i="13"/>
  <c r="X83" i="13"/>
  <c r="N83" i="13"/>
  <c r="L83" i="13"/>
  <c r="B83" i="13"/>
  <c r="T82" i="13"/>
  <c r="P82" i="13"/>
  <c r="X82" i="13" s="1"/>
  <c r="Z82" i="13" s="1"/>
  <c r="L82" i="13"/>
  <c r="N82" i="13" s="1"/>
  <c r="H82" i="13"/>
  <c r="D82" i="13"/>
  <c r="B82" i="13"/>
  <c r="Z81" i="13"/>
  <c r="X81" i="13"/>
  <c r="N81" i="13"/>
  <c r="L81" i="13"/>
  <c r="B81" i="13"/>
  <c r="X80" i="13"/>
  <c r="Z80" i="13" s="1"/>
  <c r="N80" i="13"/>
  <c r="L80" i="13"/>
  <c r="B80" i="13"/>
  <c r="T79" i="13"/>
  <c r="P79" i="13"/>
  <c r="H79" i="13"/>
  <c r="D79" i="13"/>
  <c r="L79" i="13" s="1"/>
  <c r="N79" i="13" s="1"/>
  <c r="B79" i="13"/>
  <c r="Z78" i="13"/>
  <c r="X78" i="13"/>
  <c r="N78" i="13"/>
  <c r="L78" i="13"/>
  <c r="B78" i="13"/>
  <c r="Z77" i="13"/>
  <c r="T77" i="13"/>
  <c r="P77" i="13"/>
  <c r="X77" i="13" s="1"/>
  <c r="L77" i="13"/>
  <c r="H77" i="13"/>
  <c r="N77" i="13" s="1"/>
  <c r="D77" i="13"/>
  <c r="B77" i="13"/>
  <c r="Z76" i="13"/>
  <c r="X76" i="13"/>
  <c r="L76" i="13"/>
  <c r="N76" i="13" s="1"/>
  <c r="B76" i="13"/>
  <c r="X75" i="13"/>
  <c r="T75" i="13"/>
  <c r="Z75" i="13" s="1"/>
  <c r="P75" i="13"/>
  <c r="L75" i="13"/>
  <c r="H75" i="13"/>
  <c r="D75" i="13"/>
  <c r="B75" i="13"/>
  <c r="Z74" i="13"/>
  <c r="X74" i="13"/>
  <c r="N74" i="13"/>
  <c r="L74" i="13"/>
  <c r="B74" i="13"/>
  <c r="Z73" i="13"/>
  <c r="X73" i="13"/>
  <c r="N73" i="13"/>
  <c r="L73" i="13"/>
  <c r="B73" i="13"/>
  <c r="Z72" i="13"/>
  <c r="T72" i="13"/>
  <c r="P72" i="13"/>
  <c r="X72" i="13" s="1"/>
  <c r="N72" i="13"/>
  <c r="H72" i="13"/>
  <c r="D72" i="13"/>
  <c r="L72" i="13" s="1"/>
  <c r="B72" i="13"/>
  <c r="Z71" i="13"/>
  <c r="X71" i="13"/>
  <c r="L71" i="13"/>
  <c r="N71" i="13" s="1"/>
  <c r="B71" i="13"/>
  <c r="T70" i="13"/>
  <c r="Z70" i="13" s="1"/>
  <c r="P70" i="13"/>
  <c r="X70" i="13" s="1"/>
  <c r="L70" i="13"/>
  <c r="N70" i="13" s="1"/>
  <c r="H70" i="13"/>
  <c r="D70" i="13"/>
  <c r="B70" i="13"/>
  <c r="Z69" i="13"/>
  <c r="X69" i="13"/>
  <c r="L69" i="13"/>
  <c r="N69" i="13" s="1"/>
  <c r="B69" i="13"/>
  <c r="X68" i="13"/>
  <c r="Z68" i="13" s="1"/>
  <c r="T68" i="13"/>
  <c r="P68" i="13"/>
  <c r="N68" i="13"/>
  <c r="H68" i="13"/>
  <c r="L68" i="13" s="1"/>
  <c r="D68" i="13"/>
  <c r="B68" i="13"/>
  <c r="X67" i="13"/>
  <c r="Z67" i="13" s="1"/>
  <c r="N67" i="13"/>
  <c r="L67" i="13"/>
  <c r="B67" i="13"/>
  <c r="Z66" i="13"/>
  <c r="T66" i="13"/>
  <c r="X66" i="13" s="1"/>
  <c r="P66" i="13"/>
  <c r="N66" i="13"/>
  <c r="H66" i="13"/>
  <c r="D66" i="13"/>
  <c r="L66" i="13" s="1"/>
  <c r="B66" i="13"/>
  <c r="Z65" i="13"/>
  <c r="X65" i="13"/>
  <c r="N65" i="13"/>
  <c r="L65" i="13"/>
  <c r="J65" i="13"/>
  <c r="B65" i="13"/>
  <c r="Z64" i="13"/>
  <c r="X64" i="13"/>
  <c r="N64" i="13"/>
  <c r="L64" i="13"/>
  <c r="B64" i="13"/>
  <c r="X63" i="13"/>
  <c r="Z63" i="13" s="1"/>
  <c r="N63" i="13"/>
  <c r="L63" i="13"/>
  <c r="B63" i="13"/>
  <c r="Z62" i="13"/>
  <c r="X62" i="13"/>
  <c r="L62" i="13"/>
  <c r="N62" i="13" s="1"/>
  <c r="B62" i="13"/>
  <c r="Z61" i="13"/>
  <c r="X61" i="13"/>
  <c r="N61" i="13"/>
  <c r="L61" i="13"/>
  <c r="F61" i="13"/>
  <c r="B61" i="13"/>
  <c r="Z60" i="13"/>
  <c r="X60" i="13"/>
  <c r="N60" i="13"/>
  <c r="L60" i="13"/>
  <c r="B60" i="13"/>
  <c r="Z59" i="13"/>
  <c r="X59" i="13"/>
  <c r="L59" i="13"/>
  <c r="N59" i="13" s="1"/>
  <c r="B59" i="13"/>
  <c r="Z58" i="13"/>
  <c r="X58" i="13"/>
  <c r="N58" i="13"/>
  <c r="L58" i="13"/>
  <c r="B58" i="13"/>
  <c r="X57" i="13"/>
  <c r="Z57" i="13" s="1"/>
  <c r="N57" i="13"/>
  <c r="L57" i="13"/>
  <c r="B57" i="13"/>
  <c r="Z56" i="13"/>
  <c r="X56" i="13"/>
  <c r="N56" i="13"/>
  <c r="L56" i="13"/>
  <c r="B56" i="13"/>
  <c r="X55" i="13"/>
  <c r="T55" i="13"/>
  <c r="P55" i="13"/>
  <c r="L55" i="13"/>
  <c r="H55" i="13"/>
  <c r="D55" i="13"/>
  <c r="B55" i="13"/>
  <c r="X54" i="13"/>
  <c r="Z54" i="13" s="1"/>
  <c r="L54" i="13"/>
  <c r="N54" i="13" s="1"/>
  <c r="B54" i="13"/>
  <c r="X53" i="13"/>
  <c r="Z53" i="13" s="1"/>
  <c r="N53" i="13"/>
  <c r="L53" i="13"/>
  <c r="B53" i="13"/>
  <c r="Z52" i="13"/>
  <c r="X52" i="13"/>
  <c r="L52" i="13"/>
  <c r="N52" i="13" s="1"/>
  <c r="B52" i="13"/>
  <c r="Z51" i="13"/>
  <c r="X51" i="13"/>
  <c r="N51" i="13"/>
  <c r="L51" i="13"/>
  <c r="B51" i="13"/>
  <c r="Z50" i="13"/>
  <c r="X50" i="13"/>
  <c r="L50" i="13"/>
  <c r="N50" i="13" s="1"/>
  <c r="B50" i="13"/>
  <c r="Z49" i="13"/>
  <c r="X49" i="13"/>
  <c r="L49" i="13"/>
  <c r="N49" i="13" s="1"/>
  <c r="F49" i="13"/>
  <c r="B49" i="13"/>
  <c r="X48" i="13"/>
  <c r="Z48" i="13" s="1"/>
  <c r="N48" i="13"/>
  <c r="L48" i="13"/>
  <c r="B48" i="13"/>
  <c r="Z47" i="13"/>
  <c r="X47" i="13"/>
  <c r="L47" i="13"/>
  <c r="N47" i="13" s="1"/>
  <c r="B47" i="13"/>
  <c r="X46" i="13"/>
  <c r="Z46" i="13" s="1"/>
  <c r="N46" i="13"/>
  <c r="L46" i="13"/>
  <c r="B46" i="13"/>
  <c r="T45" i="13"/>
  <c r="P45" i="13"/>
  <c r="X45" i="13" s="1"/>
  <c r="H45" i="13"/>
  <c r="D45" i="13"/>
  <c r="B45" i="13"/>
  <c r="T44" i="13" a="1"/>
  <c r="T44" i="13"/>
  <c r="P44" i="13" a="1"/>
  <c r="P44" i="13" s="1"/>
  <c r="X44" i="13" s="1"/>
  <c r="H44" i="13" a="1"/>
  <c r="H44" i="13"/>
  <c r="D44" i="13" a="1"/>
  <c r="D44" i="13"/>
  <c r="L44" i="13" s="1"/>
  <c r="H42" i="13"/>
  <c r="Z40" i="13"/>
  <c r="X40" i="13"/>
  <c r="N40" i="13"/>
  <c r="L40" i="13"/>
  <c r="F40" i="13"/>
  <c r="B40" i="13"/>
  <c r="Z39" i="13"/>
  <c r="X39" i="13"/>
  <c r="N39" i="13"/>
  <c r="L39" i="13"/>
  <c r="J39" i="13"/>
  <c r="B39" i="13"/>
  <c r="Z38" i="13"/>
  <c r="X38" i="13"/>
  <c r="N38" i="13"/>
  <c r="L38" i="13"/>
  <c r="B38" i="13"/>
  <c r="Z37" i="13"/>
  <c r="X37" i="13"/>
  <c r="N37" i="13"/>
  <c r="L37" i="13"/>
  <c r="J37" i="13"/>
  <c r="B37" i="13"/>
  <c r="Z36" i="13"/>
  <c r="X36" i="13"/>
  <c r="N36" i="13"/>
  <c r="L36" i="13"/>
  <c r="B36" i="13"/>
  <c r="Z35" i="13"/>
  <c r="X35" i="13"/>
  <c r="V35" i="13"/>
  <c r="N35" i="13"/>
  <c r="L35" i="13"/>
  <c r="B35" i="13"/>
  <c r="Z34" i="13"/>
  <c r="X34" i="13"/>
  <c r="N34" i="13"/>
  <c r="L34" i="13"/>
  <c r="B34" i="13"/>
  <c r="Z33" i="13"/>
  <c r="X33" i="13"/>
  <c r="V33" i="13"/>
  <c r="N33" i="13"/>
  <c r="L33" i="13"/>
  <c r="B33" i="13"/>
  <c r="Z32" i="13"/>
  <c r="X32" i="13"/>
  <c r="N32" i="13"/>
  <c r="L32" i="13"/>
  <c r="F32" i="13"/>
  <c r="B32" i="13"/>
  <c r="Z31" i="13"/>
  <c r="X31" i="13"/>
  <c r="N31" i="13"/>
  <c r="L31" i="13"/>
  <c r="J31" i="13"/>
  <c r="B31" i="13"/>
  <c r="Z30" i="13"/>
  <c r="X30" i="13"/>
  <c r="N30" i="13"/>
  <c r="L30" i="13"/>
  <c r="B30" i="13"/>
  <c r="Z29" i="13"/>
  <c r="X29" i="13"/>
  <c r="N29" i="13"/>
  <c r="L29" i="13"/>
  <c r="J29" i="13"/>
  <c r="B29" i="13"/>
  <c r="Z28" i="13"/>
  <c r="X28" i="13"/>
  <c r="N28" i="13"/>
  <c r="L28" i="13"/>
  <c r="B28" i="13"/>
  <c r="Z27" i="13"/>
  <c r="X27" i="13"/>
  <c r="V27" i="13"/>
  <c r="N27" i="13"/>
  <c r="L27" i="13"/>
  <c r="B27" i="13"/>
  <c r="Z26" i="13"/>
  <c r="X26" i="13"/>
  <c r="N26" i="13"/>
  <c r="L26" i="13"/>
  <c r="B26" i="13"/>
  <c r="Z25" i="13"/>
  <c r="X25" i="13"/>
  <c r="V25" i="13"/>
  <c r="N25" i="13"/>
  <c r="L25" i="13"/>
  <c r="J25" i="13"/>
  <c r="B25" i="13"/>
  <c r="Z24" i="13"/>
  <c r="X24" i="13"/>
  <c r="N24" i="13"/>
  <c r="L24" i="13"/>
  <c r="F24" i="13"/>
  <c r="B24" i="13"/>
  <c r="Z23" i="13"/>
  <c r="X23" i="13"/>
  <c r="N23" i="13"/>
  <c r="L23" i="13"/>
  <c r="J23" i="13"/>
  <c r="B23" i="13"/>
  <c r="Z22" i="13"/>
  <c r="X22" i="13"/>
  <c r="N22" i="13"/>
  <c r="L22" i="13"/>
  <c r="J22" i="13"/>
  <c r="B22" i="13"/>
  <c r="Z21" i="13"/>
  <c r="X21" i="13"/>
  <c r="V21" i="13"/>
  <c r="N21" i="13"/>
  <c r="L21" i="13"/>
  <c r="J21" i="13"/>
  <c r="B21" i="13"/>
  <c r="X20" i="13"/>
  <c r="Z20" i="13" s="1"/>
  <c r="L20" i="13"/>
  <c r="N20" i="13" s="1"/>
  <c r="B20" i="13"/>
  <c r="V19" i="13"/>
  <c r="T19" i="13"/>
  <c r="P19" i="13"/>
  <c r="X19" i="13" s="1"/>
  <c r="Z19" i="13" s="1"/>
  <c r="J19" i="13"/>
  <c r="H19" i="13"/>
  <c r="N19" i="13" s="1"/>
  <c r="F19" i="13"/>
  <c r="D19" i="13"/>
  <c r="L19" i="13" s="1"/>
  <c r="Z17" i="13"/>
  <c r="X17" i="13"/>
  <c r="P17" i="13"/>
  <c r="N17" i="13"/>
  <c r="L17" i="13"/>
  <c r="D17" i="13"/>
  <c r="B17" i="13"/>
  <c r="Z16" i="13"/>
  <c r="X16" i="13"/>
  <c r="P16" i="13"/>
  <c r="N16" i="13"/>
  <c r="D16" i="13"/>
  <c r="L16" i="13" s="1"/>
  <c r="B16" i="13"/>
  <c r="Z15" i="13"/>
  <c r="P15" i="13"/>
  <c r="X15" i="13" s="1"/>
  <c r="N15" i="13"/>
  <c r="D15" i="13"/>
  <c r="L15" i="13" s="1"/>
  <c r="B15" i="13"/>
  <c r="X14" i="13"/>
  <c r="Z14" i="13" s="1"/>
  <c r="P14" i="13"/>
  <c r="N14" i="13"/>
  <c r="L14" i="13"/>
  <c r="D14" i="13"/>
  <c r="B14" i="13"/>
  <c r="P13" i="13"/>
  <c r="X13" i="13" s="1"/>
  <c r="Z13" i="13" s="1"/>
  <c r="L13" i="13"/>
  <c r="N13" i="13" s="1"/>
  <c r="D13" i="13"/>
  <c r="D12" i="13" s="1"/>
  <c r="B13" i="13"/>
  <c r="T12" i="13"/>
  <c r="H12" i="13"/>
  <c r="J96" i="13" s="1"/>
  <c r="D4" i="13"/>
  <c r="Z82" i="12"/>
  <c r="X82" i="12"/>
  <c r="V82" i="12"/>
  <c r="N82" i="12"/>
  <c r="L82" i="12"/>
  <c r="P78" i="12"/>
  <c r="X78" i="12" s="1"/>
  <c r="Z78" i="12" s="1"/>
  <c r="N78" i="12"/>
  <c r="L78" i="12"/>
  <c r="D78" i="12"/>
  <c r="B78" i="12"/>
  <c r="T77" i="12"/>
  <c r="P77" i="12"/>
  <c r="X77" i="12" s="1"/>
  <c r="H77" i="12"/>
  <c r="N77" i="12" s="1"/>
  <c r="D77" i="12"/>
  <c r="L77" i="12" s="1"/>
  <c r="X75" i="12"/>
  <c r="Z75" i="12" s="1"/>
  <c r="L75" i="12"/>
  <c r="N75" i="12" s="1"/>
  <c r="B75" i="12"/>
  <c r="T74" i="12"/>
  <c r="P74" i="12"/>
  <c r="X74" i="12" s="1"/>
  <c r="Z74" i="12" s="1"/>
  <c r="H74" i="12"/>
  <c r="D74" i="12"/>
  <c r="L74" i="12" s="1"/>
  <c r="N74" i="12" s="1"/>
  <c r="B74" i="12"/>
  <c r="X73" i="12"/>
  <c r="Z73" i="12" s="1"/>
  <c r="N73" i="12"/>
  <c r="L73" i="12"/>
  <c r="B73" i="12"/>
  <c r="Z72" i="12"/>
  <c r="X72" i="12"/>
  <c r="L72" i="12"/>
  <c r="N72" i="12" s="1"/>
  <c r="B72" i="12"/>
  <c r="X71" i="12"/>
  <c r="Z71" i="12" s="1"/>
  <c r="L71" i="12"/>
  <c r="N71" i="12" s="1"/>
  <c r="B71" i="12"/>
  <c r="Z70" i="12"/>
  <c r="X70" i="12"/>
  <c r="N70" i="12"/>
  <c r="L70" i="12"/>
  <c r="J70" i="12"/>
  <c r="B70" i="12"/>
  <c r="Z69" i="12"/>
  <c r="X69" i="12"/>
  <c r="N69" i="12"/>
  <c r="L69" i="12"/>
  <c r="B69" i="12"/>
  <c r="T68" i="12"/>
  <c r="Z68" i="12" s="1"/>
  <c r="P68" i="12"/>
  <c r="X68" i="12" s="1"/>
  <c r="H68" i="12"/>
  <c r="D68" i="12"/>
  <c r="L68" i="12" s="1"/>
  <c r="N68" i="12" s="1"/>
  <c r="B68" i="12"/>
  <c r="Z67" i="12"/>
  <c r="X67" i="12"/>
  <c r="N67" i="12"/>
  <c r="L67" i="12"/>
  <c r="B67" i="12"/>
  <c r="Z66" i="12"/>
  <c r="T66" i="12"/>
  <c r="P66" i="12"/>
  <c r="X66" i="12" s="1"/>
  <c r="N66" i="12"/>
  <c r="L66" i="12"/>
  <c r="H66" i="12"/>
  <c r="D66" i="12"/>
  <c r="B66" i="12"/>
  <c r="X65" i="12"/>
  <c r="Z65" i="12" s="1"/>
  <c r="N65" i="12"/>
  <c r="L65" i="12"/>
  <c r="B65" i="12"/>
  <c r="Z64" i="12"/>
  <c r="X64" i="12"/>
  <c r="T64" i="12"/>
  <c r="P64" i="12"/>
  <c r="J64" i="12"/>
  <c r="H64" i="12"/>
  <c r="N64" i="12" s="1"/>
  <c r="D64" i="12"/>
  <c r="L64" i="12" s="1"/>
  <c r="B64" i="12"/>
  <c r="Z63" i="12"/>
  <c r="X63" i="12"/>
  <c r="N63" i="12"/>
  <c r="L63" i="12"/>
  <c r="B63" i="12"/>
  <c r="Z62" i="12"/>
  <c r="X62" i="12"/>
  <c r="V62" i="12"/>
  <c r="N62" i="12"/>
  <c r="L62" i="12"/>
  <c r="B62" i="12"/>
  <c r="X61" i="12"/>
  <c r="Z61" i="12" s="1"/>
  <c r="N61" i="12"/>
  <c r="L61" i="12"/>
  <c r="B61" i="12"/>
  <c r="Z60" i="12"/>
  <c r="T60" i="12"/>
  <c r="P60" i="12"/>
  <c r="X60" i="12" s="1"/>
  <c r="J60" i="12"/>
  <c r="H60" i="12"/>
  <c r="D60" i="12"/>
  <c r="B60" i="12"/>
  <c r="Z59" i="12"/>
  <c r="X59" i="12"/>
  <c r="N59" i="12"/>
  <c r="L59" i="12"/>
  <c r="B59" i="12"/>
  <c r="V58" i="12"/>
  <c r="T58" i="12"/>
  <c r="Z58" i="12" s="1"/>
  <c r="P58" i="12"/>
  <c r="L58" i="12"/>
  <c r="H58" i="12"/>
  <c r="N58" i="12" s="1"/>
  <c r="D58" i="12"/>
  <c r="B58" i="12"/>
  <c r="Z57" i="12"/>
  <c r="X57" i="12"/>
  <c r="N57" i="12"/>
  <c r="L57" i="12"/>
  <c r="B57" i="12"/>
  <c r="X56" i="12"/>
  <c r="T56" i="12"/>
  <c r="Z56" i="12" s="1"/>
  <c r="P56" i="12"/>
  <c r="N56" i="12"/>
  <c r="H56" i="12"/>
  <c r="D56" i="12"/>
  <c r="L56" i="12" s="1"/>
  <c r="B56" i="12"/>
  <c r="X55" i="12"/>
  <c r="Z55" i="12" s="1"/>
  <c r="N55" i="12"/>
  <c r="L55" i="12"/>
  <c r="B55" i="12"/>
  <c r="Z54" i="12"/>
  <c r="X54" i="12"/>
  <c r="N54" i="12"/>
  <c r="L54" i="12"/>
  <c r="J54" i="12"/>
  <c r="B54" i="12"/>
  <c r="T53" i="12"/>
  <c r="Z53" i="12" s="1"/>
  <c r="P53" i="12"/>
  <c r="X53" i="12" s="1"/>
  <c r="L53" i="12"/>
  <c r="N53" i="12" s="1"/>
  <c r="H53" i="12"/>
  <c r="D53" i="12"/>
  <c r="B53" i="12"/>
  <c r="Z52" i="12"/>
  <c r="X52" i="12"/>
  <c r="L52" i="12"/>
  <c r="N52" i="12" s="1"/>
  <c r="B52" i="12"/>
  <c r="X51" i="12"/>
  <c r="Z51" i="12" s="1"/>
  <c r="T51" i="12"/>
  <c r="P51" i="12"/>
  <c r="L51" i="12"/>
  <c r="H51" i="12"/>
  <c r="D51" i="12"/>
  <c r="B51" i="12"/>
  <c r="Z50" i="12"/>
  <c r="X50" i="12"/>
  <c r="V50" i="12"/>
  <c r="N50" i="12"/>
  <c r="L50" i="12"/>
  <c r="B50" i="12"/>
  <c r="X49" i="12"/>
  <c r="T49" i="12"/>
  <c r="Z49" i="12" s="1"/>
  <c r="P49" i="12"/>
  <c r="H49" i="12"/>
  <c r="D49" i="12"/>
  <c r="L49" i="12" s="1"/>
  <c r="B49" i="12"/>
  <c r="X48" i="12"/>
  <c r="Z48" i="12" s="1"/>
  <c r="N48" i="12"/>
  <c r="L48" i="12"/>
  <c r="B48" i="12"/>
  <c r="T47" i="12"/>
  <c r="P47" i="12"/>
  <c r="X47" i="12" s="1"/>
  <c r="H47" i="12"/>
  <c r="N47" i="12" s="1"/>
  <c r="D47" i="12"/>
  <c r="L47" i="12" s="1"/>
  <c r="B47" i="12"/>
  <c r="Z46" i="12"/>
  <c r="X46" i="12"/>
  <c r="N46" i="12"/>
  <c r="L46" i="12"/>
  <c r="J46" i="12"/>
  <c r="B46" i="12"/>
  <c r="Z45" i="12"/>
  <c r="X45" i="12"/>
  <c r="N45" i="12"/>
  <c r="L45" i="12"/>
  <c r="B45" i="12"/>
  <c r="X44" i="12"/>
  <c r="Z44" i="12" s="1"/>
  <c r="N44" i="12"/>
  <c r="L44" i="12"/>
  <c r="B44" i="12"/>
  <c r="Z43" i="12"/>
  <c r="X43" i="12"/>
  <c r="N43" i="12"/>
  <c r="L43" i="12"/>
  <c r="B43" i="12"/>
  <c r="Z42" i="12"/>
  <c r="X42" i="12"/>
  <c r="V42" i="12"/>
  <c r="N42" i="12"/>
  <c r="L42" i="12"/>
  <c r="B42" i="12"/>
  <c r="Z41" i="12"/>
  <c r="X41" i="12"/>
  <c r="N41" i="12"/>
  <c r="L41" i="12"/>
  <c r="B41" i="12"/>
  <c r="Z40" i="12"/>
  <c r="X40" i="12"/>
  <c r="N40" i="12"/>
  <c r="L40" i="12"/>
  <c r="B40" i="12"/>
  <c r="Z39" i="12"/>
  <c r="X39" i="12"/>
  <c r="N39" i="12"/>
  <c r="L39" i="12"/>
  <c r="B39" i="12"/>
  <c r="Z38" i="12"/>
  <c r="X38" i="12"/>
  <c r="N38" i="12"/>
  <c r="L38" i="12"/>
  <c r="J38" i="12"/>
  <c r="B38" i="12"/>
  <c r="Z37" i="12"/>
  <c r="X37" i="12"/>
  <c r="N37" i="12"/>
  <c r="L37" i="12"/>
  <c r="B37" i="12"/>
  <c r="T36" i="12"/>
  <c r="Z36" i="12" s="1"/>
  <c r="P36" i="12"/>
  <c r="X36" i="12" s="1"/>
  <c r="H36" i="12"/>
  <c r="L36" i="12" s="1"/>
  <c r="N36" i="12" s="1"/>
  <c r="D36" i="12"/>
  <c r="B36" i="12"/>
  <c r="X35" i="12"/>
  <c r="Z35" i="12" s="1"/>
  <c r="N35" i="12"/>
  <c r="L35" i="12"/>
  <c r="B35" i="12"/>
  <c r="Z34" i="12"/>
  <c r="X34" i="12"/>
  <c r="N34" i="12"/>
  <c r="L34" i="12"/>
  <c r="J34" i="12"/>
  <c r="B34" i="12"/>
  <c r="Z33" i="12"/>
  <c r="X33" i="12"/>
  <c r="L33" i="12"/>
  <c r="N33" i="12" s="1"/>
  <c r="B33" i="12"/>
  <c r="Z32" i="12"/>
  <c r="X32" i="12"/>
  <c r="N32" i="12"/>
  <c r="L32" i="12"/>
  <c r="B32" i="12"/>
  <c r="Z31" i="12"/>
  <c r="X31" i="12"/>
  <c r="L31" i="12"/>
  <c r="N31" i="12" s="1"/>
  <c r="B31" i="12"/>
  <c r="Z30" i="12"/>
  <c r="X30" i="12"/>
  <c r="V30" i="12"/>
  <c r="N30" i="12"/>
  <c r="L30" i="12"/>
  <c r="B30" i="12"/>
  <c r="X29" i="12"/>
  <c r="Z29" i="12" s="1"/>
  <c r="N29" i="12"/>
  <c r="L29" i="12"/>
  <c r="B29" i="12"/>
  <c r="Z28" i="12"/>
  <c r="X28" i="12"/>
  <c r="L28" i="12"/>
  <c r="N28" i="12" s="1"/>
  <c r="B28" i="12"/>
  <c r="X27" i="12"/>
  <c r="Z27" i="12" s="1"/>
  <c r="N27" i="12"/>
  <c r="L27" i="12"/>
  <c r="B27" i="12"/>
  <c r="T26" i="12"/>
  <c r="X26" i="12" s="1"/>
  <c r="Z26" i="12" s="1"/>
  <c r="P26" i="12"/>
  <c r="N26" i="12"/>
  <c r="L26" i="12"/>
  <c r="H26" i="12"/>
  <c r="D26" i="12"/>
  <c r="B26" i="12"/>
  <c r="T25" i="12" a="1"/>
  <c r="T25" i="12" s="1"/>
  <c r="P25" i="12" a="1"/>
  <c r="P25" i="12" s="1"/>
  <c r="X25" i="12" s="1"/>
  <c r="H25" i="12" a="1"/>
  <c r="H25" i="12" s="1"/>
  <c r="D25" i="12" a="1"/>
  <c r="D25" i="12" s="1"/>
  <c r="L25" i="12" s="1"/>
  <c r="H23" i="12"/>
  <c r="Z21" i="12"/>
  <c r="X21" i="12"/>
  <c r="V21" i="12"/>
  <c r="N21" i="12"/>
  <c r="L21" i="12"/>
  <c r="B21" i="12"/>
  <c r="Z20" i="12"/>
  <c r="X20" i="12"/>
  <c r="N20" i="12"/>
  <c r="L20" i="12"/>
  <c r="B20" i="12"/>
  <c r="T19" i="12"/>
  <c r="P19" i="12"/>
  <c r="N19" i="12"/>
  <c r="H19" i="12"/>
  <c r="D19" i="12"/>
  <c r="L19" i="12" s="1"/>
  <c r="Z17" i="12"/>
  <c r="X17" i="12"/>
  <c r="P17" i="12"/>
  <c r="N17" i="12"/>
  <c r="L17" i="12"/>
  <c r="D17" i="12"/>
  <c r="B17" i="12"/>
  <c r="Z16" i="12"/>
  <c r="P16" i="12"/>
  <c r="X16" i="12" s="1"/>
  <c r="N16" i="12"/>
  <c r="D16" i="12"/>
  <c r="L16" i="12" s="1"/>
  <c r="B16" i="12"/>
  <c r="Z15" i="12"/>
  <c r="X15" i="12"/>
  <c r="P15" i="12"/>
  <c r="N15" i="12"/>
  <c r="L15" i="12"/>
  <c r="D15" i="12"/>
  <c r="B15" i="12"/>
  <c r="P14" i="12"/>
  <c r="L14" i="12"/>
  <c r="N14" i="12" s="1"/>
  <c r="D14" i="12"/>
  <c r="B14" i="12"/>
  <c r="Z13" i="12"/>
  <c r="X13" i="12"/>
  <c r="P13" i="12"/>
  <c r="D13" i="12"/>
  <c r="L13" i="12" s="1"/>
  <c r="N13" i="12" s="1"/>
  <c r="B13" i="12"/>
  <c r="T12" i="12"/>
  <c r="V73" i="12" s="1"/>
  <c r="H12" i="12"/>
  <c r="J78" i="12" s="1"/>
  <c r="D4" i="12"/>
  <c r="Z127" i="11"/>
  <c r="X127" i="11"/>
  <c r="L127" i="11"/>
  <c r="N127" i="11" s="1"/>
  <c r="Z123" i="11"/>
  <c r="X123" i="11"/>
  <c r="P123" i="11"/>
  <c r="N123" i="11"/>
  <c r="J123" i="11"/>
  <c r="D123" i="11"/>
  <c r="L123" i="11" s="1"/>
  <c r="B123" i="11"/>
  <c r="P122" i="11"/>
  <c r="L122" i="11"/>
  <c r="N122" i="11" s="1"/>
  <c r="D122" i="11"/>
  <c r="B122" i="11"/>
  <c r="X121" i="11"/>
  <c r="Z121" i="11" s="1"/>
  <c r="P121" i="11"/>
  <c r="D121" i="11"/>
  <c r="L121" i="11" s="1"/>
  <c r="N121" i="11" s="1"/>
  <c r="B121" i="11"/>
  <c r="P120" i="11"/>
  <c r="X120" i="11" s="1"/>
  <c r="Z120" i="11" s="1"/>
  <c r="N120" i="11"/>
  <c r="L120" i="11"/>
  <c r="D120" i="11"/>
  <c r="B120" i="11"/>
  <c r="T119" i="11"/>
  <c r="H119" i="11"/>
  <c r="X117" i="11"/>
  <c r="Z117" i="11" s="1"/>
  <c r="N117" i="11"/>
  <c r="L117" i="11"/>
  <c r="B117" i="11"/>
  <c r="T116" i="11"/>
  <c r="X116" i="11" s="1"/>
  <c r="Z116" i="11" s="1"/>
  <c r="P116" i="11"/>
  <c r="H116" i="11"/>
  <c r="D116" i="11"/>
  <c r="L116" i="11" s="1"/>
  <c r="N116" i="11" s="1"/>
  <c r="B116" i="11"/>
  <c r="X115" i="11"/>
  <c r="Z115" i="11" s="1"/>
  <c r="N115" i="11"/>
  <c r="L115" i="11"/>
  <c r="B115" i="11"/>
  <c r="Z114" i="11"/>
  <c r="X114" i="11"/>
  <c r="L114" i="11"/>
  <c r="N114" i="11" s="1"/>
  <c r="B114" i="11"/>
  <c r="X113" i="11"/>
  <c r="Z113" i="11" s="1"/>
  <c r="T113" i="11"/>
  <c r="P113" i="11"/>
  <c r="L113" i="11"/>
  <c r="H113" i="11"/>
  <c r="D113" i="11"/>
  <c r="B113" i="11"/>
  <c r="Z112" i="11"/>
  <c r="X112" i="11"/>
  <c r="N112" i="11"/>
  <c r="L112" i="11"/>
  <c r="B112" i="11"/>
  <c r="X111" i="11"/>
  <c r="T111" i="11"/>
  <c r="Z111" i="11" s="1"/>
  <c r="P111" i="11"/>
  <c r="H111" i="11"/>
  <c r="N111" i="11" s="1"/>
  <c r="D111" i="11"/>
  <c r="L111" i="11" s="1"/>
  <c r="B111" i="11"/>
  <c r="X110" i="11"/>
  <c r="Z110" i="11" s="1"/>
  <c r="N110" i="11"/>
  <c r="L110" i="11"/>
  <c r="B110" i="11"/>
  <c r="T109" i="11"/>
  <c r="P109" i="11"/>
  <c r="H109" i="11"/>
  <c r="D109" i="11"/>
  <c r="L109" i="11" s="1"/>
  <c r="B109" i="11"/>
  <c r="Z108" i="11"/>
  <c r="X108" i="11"/>
  <c r="N108" i="11"/>
  <c r="L108" i="11"/>
  <c r="J108" i="11"/>
  <c r="B108" i="11"/>
  <c r="Z107" i="11"/>
  <c r="X107" i="11"/>
  <c r="N107" i="11"/>
  <c r="L107" i="11"/>
  <c r="B107" i="11"/>
  <c r="X106" i="11"/>
  <c r="Z106" i="11" s="1"/>
  <c r="N106" i="11"/>
  <c r="L106" i="11"/>
  <c r="B106" i="11"/>
  <c r="Z105" i="11"/>
  <c r="X105" i="11"/>
  <c r="L105" i="11"/>
  <c r="N105" i="11" s="1"/>
  <c r="B105" i="11"/>
  <c r="Z104" i="11"/>
  <c r="X104" i="11"/>
  <c r="N104" i="11"/>
  <c r="L104" i="11"/>
  <c r="B104" i="11"/>
  <c r="X103" i="11"/>
  <c r="T103" i="11"/>
  <c r="Z103" i="11" s="1"/>
  <c r="P103" i="11"/>
  <c r="H103" i="11"/>
  <c r="D103" i="11"/>
  <c r="L103" i="11" s="1"/>
  <c r="B103" i="11"/>
  <c r="X102" i="11"/>
  <c r="Z102" i="11" s="1"/>
  <c r="N102" i="11"/>
  <c r="L102" i="11"/>
  <c r="B102" i="11"/>
  <c r="Z101" i="11"/>
  <c r="X101" i="11"/>
  <c r="L101" i="11"/>
  <c r="N101" i="11" s="1"/>
  <c r="B101" i="11"/>
  <c r="T100" i="11"/>
  <c r="P100" i="11"/>
  <c r="X100" i="11" s="1"/>
  <c r="L100" i="11"/>
  <c r="N100" i="11" s="1"/>
  <c r="H100" i="11"/>
  <c r="D100" i="11"/>
  <c r="B100" i="11"/>
  <c r="Z99" i="11"/>
  <c r="X99" i="11"/>
  <c r="N99" i="11"/>
  <c r="L99" i="11"/>
  <c r="B99" i="11"/>
  <c r="X98" i="11"/>
  <c r="Z98" i="11" s="1"/>
  <c r="N98" i="11"/>
  <c r="L98" i="11"/>
  <c r="B98" i="11"/>
  <c r="T97" i="11"/>
  <c r="P97" i="11"/>
  <c r="X97" i="11" s="1"/>
  <c r="H97" i="11"/>
  <c r="D97" i="11"/>
  <c r="L97" i="11" s="1"/>
  <c r="N97" i="11" s="1"/>
  <c r="B97" i="11"/>
  <c r="Z96" i="11"/>
  <c r="X96" i="11"/>
  <c r="N96" i="11"/>
  <c r="L96" i="11"/>
  <c r="J96" i="11"/>
  <c r="B96" i="11"/>
  <c r="Z95" i="11"/>
  <c r="X95" i="11"/>
  <c r="N95" i="11"/>
  <c r="L95" i="11"/>
  <c r="B95" i="11"/>
  <c r="X94" i="11"/>
  <c r="Z94" i="11" s="1"/>
  <c r="N94" i="11"/>
  <c r="L94" i="11"/>
  <c r="B94" i="11"/>
  <c r="T93" i="11"/>
  <c r="P93" i="11"/>
  <c r="H93" i="11"/>
  <c r="D93" i="11"/>
  <c r="L93" i="11" s="1"/>
  <c r="N93" i="11" s="1"/>
  <c r="B93" i="11"/>
  <c r="Z92" i="11"/>
  <c r="X92" i="11"/>
  <c r="N92" i="11"/>
  <c r="L92" i="11"/>
  <c r="J92" i="11"/>
  <c r="B92" i="11"/>
  <c r="Z91" i="11"/>
  <c r="X91" i="11"/>
  <c r="L91" i="11"/>
  <c r="N91" i="11" s="1"/>
  <c r="B91" i="11"/>
  <c r="X90" i="11"/>
  <c r="Z90" i="11" s="1"/>
  <c r="T90" i="11"/>
  <c r="P90" i="11"/>
  <c r="H90" i="11"/>
  <c r="L90" i="11" s="1"/>
  <c r="N90" i="11" s="1"/>
  <c r="D90" i="11"/>
  <c r="B90" i="11"/>
  <c r="X89" i="11"/>
  <c r="Z89" i="11" s="1"/>
  <c r="N89" i="11"/>
  <c r="L89" i="11"/>
  <c r="B89" i="11"/>
  <c r="T88" i="11"/>
  <c r="X88" i="11" s="1"/>
  <c r="Z88" i="11" s="1"/>
  <c r="P88" i="11"/>
  <c r="N88" i="11"/>
  <c r="H88" i="11"/>
  <c r="D88" i="11"/>
  <c r="L88" i="11" s="1"/>
  <c r="B88" i="11"/>
  <c r="X87" i="11"/>
  <c r="Z87" i="11" s="1"/>
  <c r="N87" i="11"/>
  <c r="L87" i="11"/>
  <c r="B87" i="11"/>
  <c r="Z86" i="11"/>
  <c r="T86" i="11"/>
  <c r="P86" i="11"/>
  <c r="X86" i="11" s="1"/>
  <c r="J86" i="11"/>
  <c r="H86" i="11"/>
  <c r="N86" i="11" s="1"/>
  <c r="D86" i="11"/>
  <c r="L86" i="11" s="1"/>
  <c r="B86" i="11"/>
  <c r="Z85" i="11"/>
  <c r="X85" i="11"/>
  <c r="L85" i="11"/>
  <c r="N85" i="11" s="1"/>
  <c r="B85" i="11"/>
  <c r="T84" i="11"/>
  <c r="Z84" i="11" s="1"/>
  <c r="P84" i="11"/>
  <c r="X84" i="11" s="1"/>
  <c r="L84" i="11"/>
  <c r="N84" i="11" s="1"/>
  <c r="H84" i="11"/>
  <c r="D84" i="11"/>
  <c r="B84" i="11"/>
  <c r="Z83" i="11"/>
  <c r="X83" i="11"/>
  <c r="L83" i="11"/>
  <c r="N83" i="11" s="1"/>
  <c r="B83" i="11"/>
  <c r="X82" i="11"/>
  <c r="Z82" i="11" s="1"/>
  <c r="T82" i="11"/>
  <c r="P82" i="11"/>
  <c r="H82" i="11"/>
  <c r="L82" i="11" s="1"/>
  <c r="N82" i="11" s="1"/>
  <c r="D82" i="11"/>
  <c r="B82" i="11"/>
  <c r="X81" i="11"/>
  <c r="Z81" i="11" s="1"/>
  <c r="N81" i="11"/>
  <c r="L81" i="11"/>
  <c r="B81" i="11"/>
  <c r="Z80" i="11"/>
  <c r="X80" i="11"/>
  <c r="N80" i="11"/>
  <c r="L80" i="11"/>
  <c r="J80" i="11"/>
  <c r="B80" i="11"/>
  <c r="T79" i="11"/>
  <c r="P79" i="11"/>
  <c r="X79" i="11" s="1"/>
  <c r="Z79" i="11" s="1"/>
  <c r="L79" i="11"/>
  <c r="N79" i="11" s="1"/>
  <c r="H79" i="11"/>
  <c r="D79" i="11"/>
  <c r="B79" i="11"/>
  <c r="Z78" i="11"/>
  <c r="X78" i="11"/>
  <c r="N78" i="11"/>
  <c r="L78" i="11"/>
  <c r="B78" i="11"/>
  <c r="X77" i="11"/>
  <c r="Z77" i="11" s="1"/>
  <c r="N77" i="11"/>
  <c r="L77" i="11"/>
  <c r="B77" i="11"/>
  <c r="T76" i="11"/>
  <c r="X76" i="11" s="1"/>
  <c r="Z76" i="11" s="1"/>
  <c r="P76" i="11"/>
  <c r="N76" i="11"/>
  <c r="H76" i="11"/>
  <c r="D76" i="11"/>
  <c r="L76" i="11" s="1"/>
  <c r="B76" i="11"/>
  <c r="Z75" i="11"/>
  <c r="X75" i="11"/>
  <c r="N75" i="11"/>
  <c r="L75" i="11"/>
  <c r="B75" i="11"/>
  <c r="Z74" i="11"/>
  <c r="T74" i="11"/>
  <c r="P74" i="11"/>
  <c r="X74" i="11" s="1"/>
  <c r="J74" i="11"/>
  <c r="H74" i="11"/>
  <c r="N74" i="11" s="1"/>
  <c r="D74" i="11"/>
  <c r="L74" i="11" s="1"/>
  <c r="B74" i="11"/>
  <c r="Z73" i="11"/>
  <c r="X73" i="11"/>
  <c r="L73" i="11"/>
  <c r="N73" i="11" s="1"/>
  <c r="B73" i="11"/>
  <c r="T72" i="11"/>
  <c r="P72" i="11"/>
  <c r="X72" i="11" s="1"/>
  <c r="L72" i="11"/>
  <c r="H72" i="11"/>
  <c r="N72" i="11" s="1"/>
  <c r="D72" i="11"/>
  <c r="B72" i="11"/>
  <c r="Z71" i="11"/>
  <c r="X71" i="11"/>
  <c r="N71" i="11"/>
  <c r="L71" i="11"/>
  <c r="B71" i="11"/>
  <c r="X70" i="11"/>
  <c r="T70" i="11"/>
  <c r="Z70" i="11" s="1"/>
  <c r="P70" i="11"/>
  <c r="N70" i="11"/>
  <c r="H70" i="11"/>
  <c r="L70" i="11" s="1"/>
  <c r="D70" i="11"/>
  <c r="B70" i="11"/>
  <c r="X69" i="11"/>
  <c r="Z69" i="11" s="1"/>
  <c r="N69" i="11"/>
  <c r="L69" i="11"/>
  <c r="B69" i="11"/>
  <c r="T68" i="11"/>
  <c r="X68" i="11" s="1"/>
  <c r="Z68" i="11" s="1"/>
  <c r="P68" i="11"/>
  <c r="H68" i="11"/>
  <c r="D68" i="11"/>
  <c r="L68" i="11" s="1"/>
  <c r="N68" i="11" s="1"/>
  <c r="B68" i="11"/>
  <c r="X67" i="11"/>
  <c r="Z67" i="11" s="1"/>
  <c r="N67" i="11"/>
  <c r="L67" i="11"/>
  <c r="B67" i="11"/>
  <c r="T66" i="11"/>
  <c r="P66" i="11"/>
  <c r="X66" i="11" s="1"/>
  <c r="Z66" i="11" s="1"/>
  <c r="J66" i="11"/>
  <c r="H66" i="11"/>
  <c r="D66" i="11"/>
  <c r="L66" i="11" s="1"/>
  <c r="B66" i="11"/>
  <c r="Z65" i="11"/>
  <c r="X65" i="11"/>
  <c r="L65" i="11"/>
  <c r="N65" i="11" s="1"/>
  <c r="B65" i="11"/>
  <c r="T64" i="11"/>
  <c r="P64" i="11"/>
  <c r="X64" i="11" s="1"/>
  <c r="L64" i="11"/>
  <c r="H64" i="11"/>
  <c r="N64" i="11" s="1"/>
  <c r="D64" i="11"/>
  <c r="B64" i="11"/>
  <c r="Z63" i="11"/>
  <c r="X63" i="11"/>
  <c r="N63" i="11"/>
  <c r="L63" i="11"/>
  <c r="B63" i="11"/>
  <c r="Z62" i="11"/>
  <c r="X62" i="11"/>
  <c r="N62" i="11"/>
  <c r="L62" i="11"/>
  <c r="B62" i="11"/>
  <c r="Z61" i="11"/>
  <c r="X61" i="11"/>
  <c r="L61" i="11"/>
  <c r="N61" i="11" s="1"/>
  <c r="B61" i="11"/>
  <c r="X60" i="11"/>
  <c r="Z60" i="11" s="1"/>
  <c r="N60" i="11"/>
  <c r="L60" i="11"/>
  <c r="B60" i="11"/>
  <c r="Z59" i="11"/>
  <c r="X59" i="11"/>
  <c r="N59" i="11"/>
  <c r="L59" i="11"/>
  <c r="B59" i="11"/>
  <c r="Z58" i="11"/>
  <c r="X58" i="11"/>
  <c r="N58" i="11"/>
  <c r="L58" i="11"/>
  <c r="B58" i="11"/>
  <c r="X57" i="11"/>
  <c r="Z57" i="11" s="1"/>
  <c r="N57" i="11"/>
  <c r="L57" i="11"/>
  <c r="B57" i="11"/>
  <c r="Z56" i="11"/>
  <c r="X56" i="11"/>
  <c r="N56" i="11"/>
  <c r="L56" i="11"/>
  <c r="J56" i="11"/>
  <c r="B56" i="11"/>
  <c r="Z55" i="11"/>
  <c r="X55" i="11"/>
  <c r="L55" i="11"/>
  <c r="N55" i="11" s="1"/>
  <c r="B55" i="11"/>
  <c r="Z54" i="11"/>
  <c r="X54" i="11"/>
  <c r="N54" i="11"/>
  <c r="L54" i="11"/>
  <c r="B54" i="11"/>
  <c r="T53" i="11"/>
  <c r="P53" i="11"/>
  <c r="H53" i="11"/>
  <c r="D53" i="11"/>
  <c r="L53" i="11" s="1"/>
  <c r="N53" i="11" s="1"/>
  <c r="B53" i="11"/>
  <c r="Z52" i="11"/>
  <c r="X52" i="11"/>
  <c r="N52" i="11"/>
  <c r="L52" i="11"/>
  <c r="J52" i="11"/>
  <c r="B52" i="11"/>
  <c r="Z51" i="11"/>
  <c r="X51" i="11"/>
  <c r="L51" i="11"/>
  <c r="N51" i="11" s="1"/>
  <c r="B51" i="11"/>
  <c r="X50" i="11"/>
  <c r="Z50" i="11" s="1"/>
  <c r="N50" i="11"/>
  <c r="L50" i="11"/>
  <c r="B50" i="11"/>
  <c r="Z49" i="11"/>
  <c r="X49" i="11"/>
  <c r="N49" i="11"/>
  <c r="L49" i="11"/>
  <c r="B49" i="11"/>
  <c r="Z48" i="11"/>
  <c r="X48" i="11"/>
  <c r="N48" i="11"/>
  <c r="L48" i="11"/>
  <c r="B48" i="11"/>
  <c r="X47" i="11"/>
  <c r="Z47" i="11" s="1"/>
  <c r="N47" i="11"/>
  <c r="L47" i="11"/>
  <c r="B47" i="11"/>
  <c r="Z46" i="11"/>
  <c r="X46" i="11"/>
  <c r="L46" i="11"/>
  <c r="N46" i="11" s="1"/>
  <c r="B46" i="11"/>
  <c r="X45" i="11"/>
  <c r="Z45" i="11" s="1"/>
  <c r="N45" i="11"/>
  <c r="L45" i="11"/>
  <c r="B45" i="11"/>
  <c r="Z44" i="11"/>
  <c r="X44" i="11"/>
  <c r="N44" i="11"/>
  <c r="L44" i="11"/>
  <c r="J44" i="11"/>
  <c r="B44" i="11"/>
  <c r="T43" i="11"/>
  <c r="P43" i="11"/>
  <c r="X43" i="11" s="1"/>
  <c r="Z43" i="11" s="1"/>
  <c r="L43" i="11"/>
  <c r="N43" i="11" s="1"/>
  <c r="H43" i="11"/>
  <c r="D43" i="11"/>
  <c r="B43" i="11"/>
  <c r="T42" i="11" a="1"/>
  <c r="T42" i="11" s="1"/>
  <c r="P42" i="11" a="1"/>
  <c r="P42" i="11" s="1"/>
  <c r="H42" i="11" a="1"/>
  <c r="H42" i="11" s="1"/>
  <c r="D42" i="11" a="1"/>
  <c r="D42" i="11" s="1"/>
  <c r="L42" i="11" s="1"/>
  <c r="Z38" i="11"/>
  <c r="X38" i="11"/>
  <c r="N38" i="11"/>
  <c r="L38" i="11"/>
  <c r="J38" i="11"/>
  <c r="B38" i="11"/>
  <c r="Z37" i="11"/>
  <c r="X37" i="11"/>
  <c r="N37" i="11"/>
  <c r="L37" i="11"/>
  <c r="J37" i="11"/>
  <c r="B37" i="11"/>
  <c r="Z36" i="11"/>
  <c r="X36" i="11"/>
  <c r="N36" i="11"/>
  <c r="L36" i="11"/>
  <c r="B36" i="11"/>
  <c r="Z35" i="11"/>
  <c r="X35" i="11"/>
  <c r="N35" i="11"/>
  <c r="L35" i="11"/>
  <c r="B35" i="11"/>
  <c r="Z34" i="11"/>
  <c r="X34" i="11"/>
  <c r="N34" i="11"/>
  <c r="L34" i="11"/>
  <c r="J34" i="11"/>
  <c r="B34" i="11"/>
  <c r="Z33" i="11"/>
  <c r="X33" i="11"/>
  <c r="N33" i="11"/>
  <c r="L33" i="11"/>
  <c r="B33" i="11"/>
  <c r="Z32" i="11"/>
  <c r="X32" i="11"/>
  <c r="N32" i="11"/>
  <c r="L32" i="11"/>
  <c r="J32" i="11"/>
  <c r="B32" i="11"/>
  <c r="Z31" i="11"/>
  <c r="X31" i="11"/>
  <c r="N31" i="11"/>
  <c r="L31" i="11"/>
  <c r="B31" i="11"/>
  <c r="Z30" i="11"/>
  <c r="X30" i="11"/>
  <c r="N30" i="11"/>
  <c r="L30" i="11"/>
  <c r="J30" i="11"/>
  <c r="B30" i="11"/>
  <c r="Z29" i="11"/>
  <c r="X29" i="11"/>
  <c r="N29" i="11"/>
  <c r="L29" i="11"/>
  <c r="J29" i="11"/>
  <c r="B29" i="11"/>
  <c r="Z28" i="11"/>
  <c r="X28" i="11"/>
  <c r="N28" i="11"/>
  <c r="L28" i="11"/>
  <c r="B28" i="11"/>
  <c r="Z27" i="11"/>
  <c r="X27" i="11"/>
  <c r="N27" i="11"/>
  <c r="L27" i="11"/>
  <c r="B27" i="11"/>
  <c r="Z26" i="11"/>
  <c r="X26" i="11"/>
  <c r="N26" i="11"/>
  <c r="L26" i="11"/>
  <c r="J26" i="11"/>
  <c r="B26" i="11"/>
  <c r="Z25" i="11"/>
  <c r="X25" i="11"/>
  <c r="N25" i="11"/>
  <c r="L25" i="11"/>
  <c r="B25" i="11"/>
  <c r="Z24" i="11"/>
  <c r="X24" i="11"/>
  <c r="N24" i="11"/>
  <c r="L24" i="11"/>
  <c r="J24" i="11"/>
  <c r="B24" i="11"/>
  <c r="Z23" i="11"/>
  <c r="X23" i="11"/>
  <c r="N23" i="11"/>
  <c r="L23" i="11"/>
  <c r="B23" i="11"/>
  <c r="Z22" i="11"/>
  <c r="X22" i="11"/>
  <c r="N22" i="11"/>
  <c r="L22" i="11"/>
  <c r="J22" i="11"/>
  <c r="B22" i="11"/>
  <c r="Z21" i="11"/>
  <c r="X21" i="11"/>
  <c r="N21" i="11"/>
  <c r="L21" i="11"/>
  <c r="J21" i="11"/>
  <c r="B21" i="11"/>
  <c r="Z20" i="11"/>
  <c r="X20" i="11"/>
  <c r="L20" i="11"/>
  <c r="N20" i="11" s="1"/>
  <c r="B20" i="11"/>
  <c r="X19" i="11"/>
  <c r="T19" i="11"/>
  <c r="P19" i="11"/>
  <c r="H19" i="11"/>
  <c r="D19" i="11"/>
  <c r="L19" i="11" s="1"/>
  <c r="Z17" i="11"/>
  <c r="P17" i="11"/>
  <c r="X17" i="11" s="1"/>
  <c r="N17" i="11"/>
  <c r="D17" i="11"/>
  <c r="L17" i="11" s="1"/>
  <c r="B17" i="11"/>
  <c r="Z16" i="11"/>
  <c r="X16" i="11"/>
  <c r="P16" i="11"/>
  <c r="N16" i="11"/>
  <c r="L16" i="11"/>
  <c r="D16" i="11"/>
  <c r="B16" i="11"/>
  <c r="Z15" i="11"/>
  <c r="P15" i="11"/>
  <c r="X15" i="11" s="1"/>
  <c r="N15" i="11"/>
  <c r="D15" i="11"/>
  <c r="L15" i="11" s="1"/>
  <c r="B15" i="11"/>
  <c r="Z14" i="11"/>
  <c r="P14" i="11"/>
  <c r="X14" i="11" s="1"/>
  <c r="N14" i="11"/>
  <c r="D14" i="11"/>
  <c r="L14" i="11" s="1"/>
  <c r="B14" i="11"/>
  <c r="X13" i="11"/>
  <c r="Z13" i="11" s="1"/>
  <c r="P13" i="11"/>
  <c r="L13" i="11"/>
  <c r="N13" i="11" s="1"/>
  <c r="D13" i="11"/>
  <c r="B13" i="11"/>
  <c r="T12" i="11"/>
  <c r="V104" i="11" s="1"/>
  <c r="H12" i="11"/>
  <c r="D4" i="11"/>
  <c r="X95" i="10"/>
  <c r="Z95" i="10" s="1"/>
  <c r="N95" i="10"/>
  <c r="L95" i="10"/>
  <c r="Z91" i="10"/>
  <c r="X91" i="10"/>
  <c r="P91" i="10"/>
  <c r="N91" i="10"/>
  <c r="L91" i="10"/>
  <c r="D91" i="10"/>
  <c r="B91" i="10"/>
  <c r="Z90" i="10"/>
  <c r="V90" i="10"/>
  <c r="P90" i="10"/>
  <c r="X90" i="10" s="1"/>
  <c r="N90" i="10"/>
  <c r="D90" i="10"/>
  <c r="L90" i="10" s="1"/>
  <c r="B90" i="10"/>
  <c r="X89" i="10"/>
  <c r="Z89" i="10" s="1"/>
  <c r="P89" i="10"/>
  <c r="J89" i="10"/>
  <c r="D89" i="10"/>
  <c r="L89" i="10" s="1"/>
  <c r="N89" i="10" s="1"/>
  <c r="B89" i="10"/>
  <c r="P88" i="10"/>
  <c r="L88" i="10"/>
  <c r="N88" i="10" s="1"/>
  <c r="D88" i="10"/>
  <c r="B88" i="10"/>
  <c r="T87" i="10"/>
  <c r="H87" i="10"/>
  <c r="D87" i="10"/>
  <c r="Z85" i="10"/>
  <c r="X85" i="10"/>
  <c r="N85" i="10"/>
  <c r="L85" i="10"/>
  <c r="B85" i="10"/>
  <c r="T84" i="10"/>
  <c r="Z84" i="10" s="1"/>
  <c r="P84" i="10"/>
  <c r="X84" i="10" s="1"/>
  <c r="N84" i="10"/>
  <c r="L84" i="10"/>
  <c r="H84" i="10"/>
  <c r="D84" i="10"/>
  <c r="B84" i="10"/>
  <c r="X83" i="10"/>
  <c r="Z83" i="10" s="1"/>
  <c r="L83" i="10"/>
  <c r="N83" i="10" s="1"/>
  <c r="B83" i="10"/>
  <c r="Z82" i="10"/>
  <c r="X82" i="10"/>
  <c r="N82" i="10"/>
  <c r="L82" i="10"/>
  <c r="J82" i="10"/>
  <c r="B82" i="10"/>
  <c r="T81" i="10"/>
  <c r="P81" i="10"/>
  <c r="X81" i="10" s="1"/>
  <c r="Z81" i="10" s="1"/>
  <c r="H81" i="10"/>
  <c r="D81" i="10"/>
  <c r="L81" i="10" s="1"/>
  <c r="N81" i="10" s="1"/>
  <c r="B81" i="10"/>
  <c r="Z80" i="10"/>
  <c r="X80" i="10"/>
  <c r="L80" i="10"/>
  <c r="N80" i="10" s="1"/>
  <c r="B80" i="10"/>
  <c r="X79" i="10"/>
  <c r="Z79" i="10" s="1"/>
  <c r="L79" i="10"/>
  <c r="N79" i="10" s="1"/>
  <c r="B79" i="10"/>
  <c r="X78" i="10"/>
  <c r="Z78" i="10" s="1"/>
  <c r="T78" i="10"/>
  <c r="P78" i="10"/>
  <c r="H78" i="10"/>
  <c r="L78" i="10" s="1"/>
  <c r="N78" i="10" s="1"/>
  <c r="D78" i="10"/>
  <c r="B78" i="10"/>
  <c r="X77" i="10"/>
  <c r="Z77" i="10" s="1"/>
  <c r="N77" i="10"/>
  <c r="L77" i="10"/>
  <c r="B77" i="10"/>
  <c r="Z76" i="10"/>
  <c r="X76" i="10"/>
  <c r="L76" i="10"/>
  <c r="N76" i="10" s="1"/>
  <c r="B76" i="10"/>
  <c r="X75" i="10"/>
  <c r="Z75" i="10" s="1"/>
  <c r="T75" i="10"/>
  <c r="P75" i="10"/>
  <c r="L75" i="10"/>
  <c r="H75" i="10"/>
  <c r="N75" i="10" s="1"/>
  <c r="D75" i="10"/>
  <c r="B75" i="10"/>
  <c r="Z74" i="10"/>
  <c r="X74" i="10"/>
  <c r="V74" i="10"/>
  <c r="L74" i="10"/>
  <c r="N74" i="10" s="1"/>
  <c r="B74" i="10"/>
  <c r="X73" i="10"/>
  <c r="Z73" i="10" s="1"/>
  <c r="N73" i="10"/>
  <c r="L73" i="10"/>
  <c r="B73" i="10"/>
  <c r="Z72" i="10"/>
  <c r="X72" i="10"/>
  <c r="N72" i="10"/>
  <c r="L72" i="10"/>
  <c r="B72" i="10"/>
  <c r="T71" i="10"/>
  <c r="Z71" i="10" s="1"/>
  <c r="P71" i="10"/>
  <c r="X71" i="10" s="1"/>
  <c r="L71" i="10"/>
  <c r="H71" i="10"/>
  <c r="N71" i="10" s="1"/>
  <c r="D71" i="10"/>
  <c r="B71" i="10"/>
  <c r="Z70" i="10"/>
  <c r="X70" i="10"/>
  <c r="V70" i="10"/>
  <c r="L70" i="10"/>
  <c r="N70" i="10" s="1"/>
  <c r="B70" i="10"/>
  <c r="X69" i="10"/>
  <c r="T69" i="10"/>
  <c r="P69" i="10"/>
  <c r="H69" i="10"/>
  <c r="D69" i="10"/>
  <c r="B69" i="10"/>
  <c r="X68" i="10"/>
  <c r="Z68" i="10" s="1"/>
  <c r="N68" i="10"/>
  <c r="L68" i="10"/>
  <c r="B68" i="10"/>
  <c r="T67" i="10"/>
  <c r="P67" i="10"/>
  <c r="N67" i="10"/>
  <c r="H67" i="10"/>
  <c r="D67" i="10"/>
  <c r="L67" i="10" s="1"/>
  <c r="B67" i="10"/>
  <c r="Z66" i="10"/>
  <c r="X66" i="10"/>
  <c r="N66" i="10"/>
  <c r="L66" i="10"/>
  <c r="J66" i="10"/>
  <c r="B66" i="10"/>
  <c r="Z65" i="10"/>
  <c r="X65" i="10"/>
  <c r="L65" i="10"/>
  <c r="N65" i="10" s="1"/>
  <c r="B65" i="10"/>
  <c r="T64" i="10"/>
  <c r="X64" i="10" s="1"/>
  <c r="Z64" i="10" s="1"/>
  <c r="P64" i="10"/>
  <c r="L64" i="10"/>
  <c r="N64" i="10" s="1"/>
  <c r="H64" i="10"/>
  <c r="D64" i="10"/>
  <c r="B64" i="10"/>
  <c r="X63" i="10"/>
  <c r="Z63" i="10" s="1"/>
  <c r="L63" i="10"/>
  <c r="N63" i="10" s="1"/>
  <c r="B63" i="10"/>
  <c r="X62" i="10"/>
  <c r="Z62" i="10" s="1"/>
  <c r="T62" i="10"/>
  <c r="P62" i="10"/>
  <c r="N62" i="10"/>
  <c r="H62" i="10"/>
  <c r="L62" i="10" s="1"/>
  <c r="D62" i="10"/>
  <c r="B62" i="10"/>
  <c r="X61" i="10"/>
  <c r="Z61" i="10" s="1"/>
  <c r="N61" i="10"/>
  <c r="L61" i="10"/>
  <c r="B61" i="10"/>
  <c r="Z60" i="10"/>
  <c r="T60" i="10"/>
  <c r="X60" i="10" s="1"/>
  <c r="P60" i="10"/>
  <c r="J60" i="10"/>
  <c r="H60" i="10"/>
  <c r="D60" i="10"/>
  <c r="L60" i="10" s="1"/>
  <c r="N60" i="10" s="1"/>
  <c r="B60" i="10"/>
  <c r="Z59" i="10"/>
  <c r="X59" i="10"/>
  <c r="N59" i="10"/>
  <c r="L59" i="10"/>
  <c r="B59" i="10"/>
  <c r="Z58" i="10"/>
  <c r="V58" i="10"/>
  <c r="T58" i="10"/>
  <c r="P58" i="10"/>
  <c r="X58" i="10" s="1"/>
  <c r="H58" i="10"/>
  <c r="N58" i="10" s="1"/>
  <c r="D58" i="10"/>
  <c r="B58" i="10"/>
  <c r="Z57" i="10"/>
  <c r="X57" i="10"/>
  <c r="L57" i="10"/>
  <c r="N57" i="10" s="1"/>
  <c r="B57" i="10"/>
  <c r="T56" i="10"/>
  <c r="P56" i="10"/>
  <c r="L56" i="10"/>
  <c r="N56" i="10" s="1"/>
  <c r="H56" i="10"/>
  <c r="D56" i="10"/>
  <c r="B56" i="10"/>
  <c r="Z55" i="10"/>
  <c r="X55" i="10"/>
  <c r="N55" i="10"/>
  <c r="L55" i="10"/>
  <c r="B55" i="10"/>
  <c r="Z54" i="10"/>
  <c r="X54" i="10"/>
  <c r="N54" i="10"/>
  <c r="L54" i="10"/>
  <c r="J54" i="10"/>
  <c r="B54" i="10"/>
  <c r="Z53" i="10"/>
  <c r="X53" i="10"/>
  <c r="N53" i="10"/>
  <c r="L53" i="10"/>
  <c r="B53" i="10"/>
  <c r="X52" i="10"/>
  <c r="Z52" i="10" s="1"/>
  <c r="N52" i="10"/>
  <c r="L52" i="10"/>
  <c r="B52" i="10"/>
  <c r="Z51" i="10"/>
  <c r="X51" i="10"/>
  <c r="N51" i="10"/>
  <c r="L51" i="10"/>
  <c r="B51" i="10"/>
  <c r="Z50" i="10"/>
  <c r="X50" i="10"/>
  <c r="V50" i="10"/>
  <c r="L50" i="10"/>
  <c r="N50" i="10" s="1"/>
  <c r="B50" i="10"/>
  <c r="X49" i="10"/>
  <c r="Z49" i="10" s="1"/>
  <c r="N49" i="10"/>
  <c r="L49" i="10"/>
  <c r="B49" i="10"/>
  <c r="Z48" i="10"/>
  <c r="X48" i="10"/>
  <c r="N48" i="10"/>
  <c r="L48" i="10"/>
  <c r="B48" i="10"/>
  <c r="X47" i="10"/>
  <c r="Z47" i="10" s="1"/>
  <c r="L47" i="10"/>
  <c r="N47" i="10" s="1"/>
  <c r="B47" i="10"/>
  <c r="Z46" i="10"/>
  <c r="X46" i="10"/>
  <c r="N46" i="10"/>
  <c r="L46" i="10"/>
  <c r="J46" i="10"/>
  <c r="B46" i="10"/>
  <c r="T45" i="10"/>
  <c r="P45" i="10"/>
  <c r="X45" i="10" s="1"/>
  <c r="Z45" i="10" s="1"/>
  <c r="L45" i="10"/>
  <c r="H45" i="10"/>
  <c r="N45" i="10" s="1"/>
  <c r="D45" i="10"/>
  <c r="B45" i="10"/>
  <c r="Z44" i="10"/>
  <c r="X44" i="10"/>
  <c r="N44" i="10"/>
  <c r="L44" i="10"/>
  <c r="B44" i="10"/>
  <c r="X43" i="10"/>
  <c r="Z43" i="10" s="1"/>
  <c r="L43" i="10"/>
  <c r="N43" i="10" s="1"/>
  <c r="B43" i="10"/>
  <c r="X42" i="10"/>
  <c r="Z42" i="10" s="1"/>
  <c r="N42" i="10"/>
  <c r="L42" i="10"/>
  <c r="J42" i="10"/>
  <c r="B42" i="10"/>
  <c r="Z41" i="10"/>
  <c r="X41" i="10"/>
  <c r="N41" i="10"/>
  <c r="L41" i="10"/>
  <c r="B41" i="10"/>
  <c r="Z40" i="10"/>
  <c r="X40" i="10"/>
  <c r="N40" i="10"/>
  <c r="L40" i="10"/>
  <c r="B40" i="10"/>
  <c r="X39" i="10"/>
  <c r="Z39" i="10" s="1"/>
  <c r="L39" i="10"/>
  <c r="N39" i="10" s="1"/>
  <c r="B39" i="10"/>
  <c r="Z38" i="10"/>
  <c r="X38" i="10"/>
  <c r="V38" i="10"/>
  <c r="L38" i="10"/>
  <c r="N38" i="10" s="1"/>
  <c r="B38" i="10"/>
  <c r="X37" i="10"/>
  <c r="Z37" i="10" s="1"/>
  <c r="N37" i="10"/>
  <c r="L37" i="10"/>
  <c r="B37" i="10"/>
  <c r="Z36" i="10"/>
  <c r="X36" i="10"/>
  <c r="N36" i="10"/>
  <c r="L36" i="10"/>
  <c r="B36" i="10"/>
  <c r="X35" i="10"/>
  <c r="Z35" i="10" s="1"/>
  <c r="L35" i="10"/>
  <c r="N35" i="10" s="1"/>
  <c r="B35" i="10"/>
  <c r="X34" i="10"/>
  <c r="Z34" i="10" s="1"/>
  <c r="T34" i="10"/>
  <c r="P34" i="10"/>
  <c r="H34" i="10"/>
  <c r="D34" i="10"/>
  <c r="L34" i="10" s="1"/>
  <c r="N34" i="10" s="1"/>
  <c r="B34" i="10"/>
  <c r="T33" i="10" a="1"/>
  <c r="T33" i="10" s="1"/>
  <c r="P33" i="10" a="1"/>
  <c r="P33" i="10"/>
  <c r="H33" i="10" a="1"/>
  <c r="H33" i="10" s="1"/>
  <c r="H93" i="10" s="1"/>
  <c r="D33" i="10" a="1"/>
  <c r="D33" i="10" s="1"/>
  <c r="L33" i="10" s="1"/>
  <c r="H31" i="10"/>
  <c r="Z29" i="10"/>
  <c r="X29" i="10"/>
  <c r="V29" i="10"/>
  <c r="N29" i="10"/>
  <c r="L29" i="10"/>
  <c r="B29" i="10"/>
  <c r="Z28" i="10"/>
  <c r="X28" i="10"/>
  <c r="N28" i="10"/>
  <c r="L28" i="10"/>
  <c r="B28" i="10"/>
  <c r="Z27" i="10"/>
  <c r="X27" i="10"/>
  <c r="N27" i="10"/>
  <c r="L27" i="10"/>
  <c r="B27" i="10"/>
  <c r="Z26" i="10"/>
  <c r="X26" i="10"/>
  <c r="V26" i="10"/>
  <c r="N26" i="10"/>
  <c r="L26" i="10"/>
  <c r="B26" i="10"/>
  <c r="Z25" i="10"/>
  <c r="X25" i="10"/>
  <c r="N25" i="10"/>
  <c r="L25" i="10"/>
  <c r="B25" i="10"/>
  <c r="Z24" i="10"/>
  <c r="X24" i="10"/>
  <c r="V24" i="10"/>
  <c r="N24" i="10"/>
  <c r="L24" i="10"/>
  <c r="B24" i="10"/>
  <c r="Z23" i="10"/>
  <c r="X23" i="10"/>
  <c r="V23" i="10"/>
  <c r="N23" i="10"/>
  <c r="L23" i="10"/>
  <c r="B23" i="10"/>
  <c r="Z22" i="10"/>
  <c r="X22" i="10"/>
  <c r="N22" i="10"/>
  <c r="L22" i="10"/>
  <c r="J22" i="10"/>
  <c r="B22" i="10"/>
  <c r="Z21" i="10"/>
  <c r="X21" i="10"/>
  <c r="V21" i="10"/>
  <c r="N21" i="10"/>
  <c r="L21" i="10"/>
  <c r="B21" i="10"/>
  <c r="X20" i="10"/>
  <c r="Z20" i="10" s="1"/>
  <c r="N20" i="10"/>
  <c r="L20" i="10"/>
  <c r="B20" i="10"/>
  <c r="T19" i="10"/>
  <c r="P19" i="10"/>
  <c r="H19" i="10"/>
  <c r="D19" i="10"/>
  <c r="L19" i="10" s="1"/>
  <c r="N19" i="10" s="1"/>
  <c r="Z17" i="10"/>
  <c r="X17" i="10"/>
  <c r="P17" i="10"/>
  <c r="N17" i="10"/>
  <c r="L17" i="10"/>
  <c r="D17" i="10"/>
  <c r="B17" i="10"/>
  <c r="Z16" i="10"/>
  <c r="P16" i="10"/>
  <c r="X16" i="10" s="1"/>
  <c r="N16" i="10"/>
  <c r="D16" i="10"/>
  <c r="L16" i="10" s="1"/>
  <c r="B16" i="10"/>
  <c r="Z15" i="10"/>
  <c r="X15" i="10"/>
  <c r="P15" i="10"/>
  <c r="N15" i="10"/>
  <c r="L15" i="10"/>
  <c r="D15" i="10"/>
  <c r="B15" i="10"/>
  <c r="Z14" i="10"/>
  <c r="P14" i="10"/>
  <c r="N14" i="10"/>
  <c r="L14" i="10"/>
  <c r="D14" i="10"/>
  <c r="B14" i="10"/>
  <c r="Z13" i="10"/>
  <c r="X13" i="10"/>
  <c r="P13" i="10"/>
  <c r="N13" i="10"/>
  <c r="D13" i="10"/>
  <c r="L13" i="10" s="1"/>
  <c r="B13" i="10"/>
  <c r="T12" i="10"/>
  <c r="H12" i="10"/>
  <c r="J85" i="10" s="1"/>
  <c r="D4" i="10"/>
  <c r="Z99" i="9"/>
  <c r="X99" i="9"/>
  <c r="L99" i="9"/>
  <c r="N99" i="9" s="1"/>
  <c r="X95" i="9"/>
  <c r="T95" i="9"/>
  <c r="Z95" i="9" s="1"/>
  <c r="P95" i="9"/>
  <c r="L95" i="9"/>
  <c r="H95" i="9"/>
  <c r="N95" i="9" s="1"/>
  <c r="D95" i="9"/>
  <c r="Z93" i="9"/>
  <c r="X93" i="9"/>
  <c r="N93" i="9"/>
  <c r="L93" i="9"/>
  <c r="B93" i="9"/>
  <c r="Z92" i="9"/>
  <c r="V92" i="9"/>
  <c r="T92" i="9"/>
  <c r="P92" i="9"/>
  <c r="X92" i="9" s="1"/>
  <c r="L92" i="9"/>
  <c r="H92" i="9"/>
  <c r="N92" i="9" s="1"/>
  <c r="D92" i="9"/>
  <c r="B92" i="9"/>
  <c r="Z91" i="9"/>
  <c r="X91" i="9"/>
  <c r="N91" i="9"/>
  <c r="L91" i="9"/>
  <c r="B91" i="9"/>
  <c r="X90" i="9"/>
  <c r="T90" i="9"/>
  <c r="Z90" i="9" s="1"/>
  <c r="P90" i="9"/>
  <c r="N90" i="9"/>
  <c r="H90" i="9"/>
  <c r="L90" i="9" s="1"/>
  <c r="D90" i="9"/>
  <c r="B90" i="9"/>
  <c r="X89" i="9"/>
  <c r="Z89" i="9" s="1"/>
  <c r="N89" i="9"/>
  <c r="L89" i="9"/>
  <c r="B89" i="9"/>
  <c r="Z88" i="9"/>
  <c r="X88" i="9"/>
  <c r="N88" i="9"/>
  <c r="L88" i="9"/>
  <c r="B88" i="9"/>
  <c r="T87" i="9"/>
  <c r="P87" i="9"/>
  <c r="X87" i="9" s="1"/>
  <c r="Z87" i="9" s="1"/>
  <c r="L87" i="9"/>
  <c r="N87" i="9" s="1"/>
  <c r="H87" i="9"/>
  <c r="D87" i="9"/>
  <c r="B87" i="9"/>
  <c r="Z86" i="9"/>
  <c r="X86" i="9"/>
  <c r="L86" i="9"/>
  <c r="N86" i="9" s="1"/>
  <c r="B86" i="9"/>
  <c r="X85" i="9"/>
  <c r="Z85" i="9" s="1"/>
  <c r="N85" i="9"/>
  <c r="L85" i="9"/>
  <c r="B85" i="9"/>
  <c r="Z84" i="9"/>
  <c r="X84" i="9"/>
  <c r="N84" i="9"/>
  <c r="L84" i="9"/>
  <c r="J84" i="9"/>
  <c r="B84" i="9"/>
  <c r="Z83" i="9"/>
  <c r="X83" i="9"/>
  <c r="N83" i="9"/>
  <c r="L83" i="9"/>
  <c r="B83" i="9"/>
  <c r="Z82" i="9"/>
  <c r="X82" i="9"/>
  <c r="N82" i="9"/>
  <c r="L82" i="9"/>
  <c r="B82" i="9"/>
  <c r="Z81" i="9"/>
  <c r="X81" i="9"/>
  <c r="L81" i="9"/>
  <c r="N81" i="9" s="1"/>
  <c r="B81" i="9"/>
  <c r="V80" i="9"/>
  <c r="T80" i="9"/>
  <c r="Z80" i="9" s="1"/>
  <c r="P80" i="9"/>
  <c r="X80" i="9" s="1"/>
  <c r="L80" i="9"/>
  <c r="H80" i="9"/>
  <c r="N80" i="9" s="1"/>
  <c r="D80" i="9"/>
  <c r="B80" i="9"/>
  <c r="Z79" i="9"/>
  <c r="X79" i="9"/>
  <c r="L79" i="9"/>
  <c r="N79" i="9" s="1"/>
  <c r="B79" i="9"/>
  <c r="Z78" i="9"/>
  <c r="X78" i="9"/>
  <c r="N78" i="9"/>
  <c r="L78" i="9"/>
  <c r="B78" i="9"/>
  <c r="Z77" i="9"/>
  <c r="X77" i="9"/>
  <c r="L77" i="9"/>
  <c r="N77" i="9" s="1"/>
  <c r="B77" i="9"/>
  <c r="V76" i="9"/>
  <c r="T76" i="9"/>
  <c r="Z76" i="9" s="1"/>
  <c r="P76" i="9"/>
  <c r="X76" i="9" s="1"/>
  <c r="L76" i="9"/>
  <c r="H76" i="9"/>
  <c r="N76" i="9" s="1"/>
  <c r="D76" i="9"/>
  <c r="B76" i="9"/>
  <c r="Z75" i="9"/>
  <c r="X75" i="9"/>
  <c r="L75" i="9"/>
  <c r="N75" i="9" s="1"/>
  <c r="B75" i="9"/>
  <c r="Z74" i="9"/>
  <c r="X74" i="9"/>
  <c r="N74" i="9"/>
  <c r="L74" i="9"/>
  <c r="B74" i="9"/>
  <c r="T73" i="9"/>
  <c r="P73" i="9"/>
  <c r="H73" i="9"/>
  <c r="D73" i="9"/>
  <c r="L73" i="9" s="1"/>
  <c r="N73" i="9" s="1"/>
  <c r="B73" i="9"/>
  <c r="Z72" i="9"/>
  <c r="X72" i="9"/>
  <c r="L72" i="9"/>
  <c r="N72" i="9" s="1"/>
  <c r="J72" i="9"/>
  <c r="B72" i="9"/>
  <c r="Z71" i="9"/>
  <c r="X71" i="9"/>
  <c r="N71" i="9"/>
  <c r="L71" i="9"/>
  <c r="B71" i="9"/>
  <c r="X70" i="9"/>
  <c r="Z70" i="9" s="1"/>
  <c r="N70" i="9"/>
  <c r="L70" i="9"/>
  <c r="B70" i="9"/>
  <c r="T69" i="9"/>
  <c r="P69" i="9"/>
  <c r="X69" i="9" s="1"/>
  <c r="H69" i="9"/>
  <c r="D69" i="9"/>
  <c r="L69" i="9" s="1"/>
  <c r="N69" i="9" s="1"/>
  <c r="B69" i="9"/>
  <c r="Z68" i="9"/>
  <c r="X68" i="9"/>
  <c r="L68" i="9"/>
  <c r="N68" i="9" s="1"/>
  <c r="B68" i="9"/>
  <c r="T67" i="9"/>
  <c r="P67" i="9"/>
  <c r="X67" i="9" s="1"/>
  <c r="Z67" i="9" s="1"/>
  <c r="L67" i="9"/>
  <c r="N67" i="9" s="1"/>
  <c r="H67" i="9"/>
  <c r="D67" i="9"/>
  <c r="B67" i="9"/>
  <c r="Z66" i="9"/>
  <c r="X66" i="9"/>
  <c r="L66" i="9"/>
  <c r="N66" i="9" s="1"/>
  <c r="B66" i="9"/>
  <c r="X65" i="9"/>
  <c r="Z65" i="9" s="1"/>
  <c r="T65" i="9"/>
  <c r="P65" i="9"/>
  <c r="L65" i="9"/>
  <c r="H65" i="9"/>
  <c r="D65" i="9"/>
  <c r="B65" i="9"/>
  <c r="X64" i="9"/>
  <c r="Z64" i="9" s="1"/>
  <c r="V64" i="9"/>
  <c r="N64" i="9"/>
  <c r="L64" i="9"/>
  <c r="B64" i="9"/>
  <c r="X63" i="9"/>
  <c r="T63" i="9"/>
  <c r="Z63" i="9" s="1"/>
  <c r="P63" i="9"/>
  <c r="H63" i="9"/>
  <c r="N63" i="9" s="1"/>
  <c r="D63" i="9"/>
  <c r="L63" i="9" s="1"/>
  <c r="B63" i="9"/>
  <c r="X62" i="9"/>
  <c r="Z62" i="9" s="1"/>
  <c r="N62" i="9"/>
  <c r="L62" i="9"/>
  <c r="B62" i="9"/>
  <c r="T61" i="9"/>
  <c r="P61" i="9"/>
  <c r="H61" i="9"/>
  <c r="D61" i="9"/>
  <c r="L61" i="9" s="1"/>
  <c r="N61" i="9" s="1"/>
  <c r="B61" i="9"/>
  <c r="Z60" i="9"/>
  <c r="X60" i="9"/>
  <c r="N60" i="9"/>
  <c r="L60" i="9"/>
  <c r="B60" i="9"/>
  <c r="T59" i="9"/>
  <c r="P59" i="9"/>
  <c r="X59" i="9" s="1"/>
  <c r="Z59" i="9" s="1"/>
  <c r="N59" i="9"/>
  <c r="L59" i="9"/>
  <c r="H59" i="9"/>
  <c r="D59" i="9"/>
  <c r="B59" i="9"/>
  <c r="Z58" i="9"/>
  <c r="X58" i="9"/>
  <c r="L58" i="9"/>
  <c r="N58" i="9" s="1"/>
  <c r="B58" i="9"/>
  <c r="Z57" i="9"/>
  <c r="X57" i="9"/>
  <c r="N57" i="9"/>
  <c r="L57" i="9"/>
  <c r="B57" i="9"/>
  <c r="Z56" i="9"/>
  <c r="X56" i="9"/>
  <c r="T56" i="9"/>
  <c r="P56" i="9"/>
  <c r="N56" i="9"/>
  <c r="H56" i="9"/>
  <c r="D56" i="9"/>
  <c r="L56" i="9" s="1"/>
  <c r="B56" i="9"/>
  <c r="X55" i="9"/>
  <c r="Z55" i="9" s="1"/>
  <c r="N55" i="9"/>
  <c r="L55" i="9"/>
  <c r="B55" i="9"/>
  <c r="Z54" i="9"/>
  <c r="T54" i="9"/>
  <c r="P54" i="9"/>
  <c r="X54" i="9" s="1"/>
  <c r="J54" i="9"/>
  <c r="H54" i="9"/>
  <c r="N54" i="9" s="1"/>
  <c r="D54" i="9"/>
  <c r="L54" i="9" s="1"/>
  <c r="B54" i="9"/>
  <c r="Z53" i="9"/>
  <c r="X53" i="9"/>
  <c r="N53" i="9"/>
  <c r="L53" i="9"/>
  <c r="B53" i="9"/>
  <c r="V52" i="9"/>
  <c r="T52" i="9"/>
  <c r="Z52" i="9" s="1"/>
  <c r="P52" i="9"/>
  <c r="X52" i="9" s="1"/>
  <c r="N52" i="9"/>
  <c r="L52" i="9"/>
  <c r="H52" i="9"/>
  <c r="D52" i="9"/>
  <c r="B52" i="9"/>
  <c r="Z51" i="9"/>
  <c r="X51" i="9"/>
  <c r="N51" i="9"/>
  <c r="L51" i="9"/>
  <c r="B51" i="9"/>
  <c r="Z50" i="9"/>
  <c r="X50" i="9"/>
  <c r="T50" i="9"/>
  <c r="P50" i="9"/>
  <c r="N50" i="9"/>
  <c r="L50" i="9"/>
  <c r="H50" i="9"/>
  <c r="D50" i="9"/>
  <c r="B50" i="9"/>
  <c r="Z49" i="9"/>
  <c r="X49" i="9"/>
  <c r="N49" i="9"/>
  <c r="L49" i="9"/>
  <c r="B49" i="9"/>
  <c r="Z48" i="9"/>
  <c r="X48" i="9"/>
  <c r="N48" i="9"/>
  <c r="L48" i="9"/>
  <c r="B48" i="9"/>
  <c r="Z47" i="9"/>
  <c r="X47" i="9"/>
  <c r="L47" i="9"/>
  <c r="N47" i="9" s="1"/>
  <c r="B47" i="9"/>
  <c r="Z46" i="9"/>
  <c r="X46" i="9"/>
  <c r="N46" i="9"/>
  <c r="L46" i="9"/>
  <c r="B46" i="9"/>
  <c r="Z45" i="9"/>
  <c r="X45" i="9"/>
  <c r="N45" i="9"/>
  <c r="L45" i="9"/>
  <c r="B45" i="9"/>
  <c r="Z44" i="9"/>
  <c r="X44" i="9"/>
  <c r="V44" i="9"/>
  <c r="N44" i="9"/>
  <c r="L44" i="9"/>
  <c r="B44" i="9"/>
  <c r="X43" i="9"/>
  <c r="Z43" i="9" s="1"/>
  <c r="N43" i="9"/>
  <c r="L43" i="9"/>
  <c r="B43" i="9"/>
  <c r="Z42" i="9"/>
  <c r="X42" i="9"/>
  <c r="V42" i="9"/>
  <c r="N42" i="9"/>
  <c r="L42" i="9"/>
  <c r="B42" i="9"/>
  <c r="X41" i="9"/>
  <c r="Z41" i="9" s="1"/>
  <c r="V41" i="9"/>
  <c r="N41" i="9"/>
  <c r="L41" i="9"/>
  <c r="B41" i="9"/>
  <c r="Z40" i="9"/>
  <c r="X40" i="9"/>
  <c r="N40" i="9"/>
  <c r="L40" i="9"/>
  <c r="B40" i="9"/>
  <c r="T39" i="9"/>
  <c r="P39" i="9"/>
  <c r="X39" i="9" s="1"/>
  <c r="Z39" i="9" s="1"/>
  <c r="L39" i="9"/>
  <c r="N39" i="9" s="1"/>
  <c r="H39" i="9"/>
  <c r="D39" i="9"/>
  <c r="B39" i="9"/>
  <c r="Z38" i="9"/>
  <c r="X38" i="9"/>
  <c r="V38" i="9"/>
  <c r="N38" i="9"/>
  <c r="L38" i="9"/>
  <c r="B38" i="9"/>
  <c r="X37" i="9"/>
  <c r="Z37" i="9" s="1"/>
  <c r="V37" i="9"/>
  <c r="N37" i="9"/>
  <c r="L37" i="9"/>
  <c r="B37" i="9"/>
  <c r="Z36" i="9"/>
  <c r="X36" i="9"/>
  <c r="L36" i="9"/>
  <c r="N36" i="9" s="1"/>
  <c r="B36" i="9"/>
  <c r="Z35" i="9"/>
  <c r="X35" i="9"/>
  <c r="N35" i="9"/>
  <c r="L35" i="9"/>
  <c r="B35" i="9"/>
  <c r="Z34" i="9"/>
  <c r="X34" i="9"/>
  <c r="N34" i="9"/>
  <c r="L34" i="9"/>
  <c r="B34" i="9"/>
  <c r="Z33" i="9"/>
  <c r="X33" i="9"/>
  <c r="L33" i="9"/>
  <c r="N33" i="9" s="1"/>
  <c r="B33" i="9"/>
  <c r="X32" i="9"/>
  <c r="Z32" i="9" s="1"/>
  <c r="V32" i="9"/>
  <c r="N32" i="9"/>
  <c r="L32" i="9"/>
  <c r="B32" i="9"/>
  <c r="X31" i="9"/>
  <c r="Z31" i="9" s="1"/>
  <c r="N31" i="9"/>
  <c r="L31" i="9"/>
  <c r="B31" i="9"/>
  <c r="Z30" i="9"/>
  <c r="X30" i="9"/>
  <c r="V30" i="9"/>
  <c r="L30" i="9"/>
  <c r="N30" i="9" s="1"/>
  <c r="B30" i="9"/>
  <c r="X29" i="9"/>
  <c r="Z29" i="9" s="1"/>
  <c r="V29" i="9"/>
  <c r="N29" i="9"/>
  <c r="L29" i="9"/>
  <c r="B29" i="9"/>
  <c r="Z28" i="9"/>
  <c r="X28" i="9"/>
  <c r="T28" i="9"/>
  <c r="P28" i="9"/>
  <c r="H28" i="9"/>
  <c r="D28" i="9"/>
  <c r="L28" i="9" s="1"/>
  <c r="N28" i="9" s="1"/>
  <c r="B28" i="9"/>
  <c r="T27" i="9" a="1"/>
  <c r="T27" i="9" s="1"/>
  <c r="P27" i="9" a="1"/>
  <c r="P27" i="9" s="1"/>
  <c r="X27" i="9" s="1"/>
  <c r="H27" i="9" a="1"/>
  <c r="H27" i="9" s="1"/>
  <c r="D27" i="9" a="1"/>
  <c r="D27" i="9" s="1"/>
  <c r="L27" i="9" s="1"/>
  <c r="T25" i="9"/>
  <c r="Z23" i="9"/>
  <c r="X23" i="9"/>
  <c r="V23" i="9"/>
  <c r="N23" i="9"/>
  <c r="L23" i="9"/>
  <c r="B23" i="9"/>
  <c r="Z22" i="9"/>
  <c r="X22" i="9"/>
  <c r="N22" i="9"/>
  <c r="L22" i="9"/>
  <c r="J22" i="9"/>
  <c r="B22" i="9"/>
  <c r="Z21" i="9"/>
  <c r="X21" i="9"/>
  <c r="L21" i="9"/>
  <c r="N21" i="9" s="1"/>
  <c r="B21" i="9"/>
  <c r="V20" i="9"/>
  <c r="T20" i="9"/>
  <c r="Z20" i="9" s="1"/>
  <c r="P20" i="9"/>
  <c r="X20" i="9" s="1"/>
  <c r="L20" i="9"/>
  <c r="N20" i="9" s="1"/>
  <c r="H20" i="9"/>
  <c r="D20" i="9"/>
  <c r="Z18" i="9"/>
  <c r="X18" i="9"/>
  <c r="P18" i="9"/>
  <c r="N18" i="9"/>
  <c r="D18" i="9"/>
  <c r="L18" i="9" s="1"/>
  <c r="B18" i="9"/>
  <c r="Z17" i="9"/>
  <c r="X17" i="9"/>
  <c r="P17" i="9"/>
  <c r="N17" i="9"/>
  <c r="L17" i="9"/>
  <c r="D17" i="9"/>
  <c r="B17" i="9"/>
  <c r="Z16" i="9"/>
  <c r="P16" i="9"/>
  <c r="X16" i="9" s="1"/>
  <c r="D16" i="9"/>
  <c r="L16" i="9" s="1"/>
  <c r="N16" i="9" s="1"/>
  <c r="B16" i="9"/>
  <c r="Z15" i="9"/>
  <c r="X15" i="9"/>
  <c r="P15" i="9"/>
  <c r="N15" i="9"/>
  <c r="L15" i="9"/>
  <c r="D15" i="9"/>
  <c r="B15" i="9"/>
  <c r="Z14" i="9"/>
  <c r="P14" i="9"/>
  <c r="N14" i="9"/>
  <c r="L14" i="9"/>
  <c r="D14" i="9"/>
  <c r="B14" i="9"/>
  <c r="Z13" i="9"/>
  <c r="P13" i="9"/>
  <c r="X13" i="9" s="1"/>
  <c r="D13" i="9"/>
  <c r="B13" i="9"/>
  <c r="T12" i="9"/>
  <c r="V63" i="9" s="1"/>
  <c r="H12" i="9"/>
  <c r="J60" i="9" s="1"/>
  <c r="D4" i="9"/>
  <c r="Z161" i="8"/>
  <c r="X161" i="8"/>
  <c r="L161" i="8"/>
  <c r="N161" i="8" s="1"/>
  <c r="Z157" i="8"/>
  <c r="P157" i="8"/>
  <c r="N157" i="8"/>
  <c r="D157" i="8"/>
  <c r="L157" i="8" s="1"/>
  <c r="B157" i="8"/>
  <c r="X156" i="8"/>
  <c r="Z156" i="8" s="1"/>
  <c r="P156" i="8"/>
  <c r="L156" i="8"/>
  <c r="N156" i="8" s="1"/>
  <c r="J156" i="8"/>
  <c r="D156" i="8"/>
  <c r="B156" i="8"/>
  <c r="Z155" i="8"/>
  <c r="X155" i="8"/>
  <c r="P155" i="8"/>
  <c r="N155" i="8"/>
  <c r="L155" i="8"/>
  <c r="D155" i="8"/>
  <c r="B155" i="8"/>
  <c r="X154" i="8"/>
  <c r="Z154" i="8" s="1"/>
  <c r="P154" i="8"/>
  <c r="L154" i="8"/>
  <c r="N154" i="8" s="1"/>
  <c r="D154" i="8"/>
  <c r="D150" i="8" s="1"/>
  <c r="B154" i="8"/>
  <c r="P153" i="8"/>
  <c r="X153" i="8" s="1"/>
  <c r="Z153" i="8" s="1"/>
  <c r="L153" i="8"/>
  <c r="N153" i="8" s="1"/>
  <c r="D153" i="8"/>
  <c r="B153" i="8"/>
  <c r="Z152" i="8"/>
  <c r="P152" i="8"/>
  <c r="X152" i="8" s="1"/>
  <c r="N152" i="8"/>
  <c r="D152" i="8"/>
  <c r="L152" i="8" s="1"/>
  <c r="B152" i="8"/>
  <c r="Z151" i="8"/>
  <c r="X151" i="8"/>
  <c r="P151" i="8"/>
  <c r="N151" i="8"/>
  <c r="J151" i="8"/>
  <c r="D151" i="8"/>
  <c r="L151" i="8" s="1"/>
  <c r="B151" i="8"/>
  <c r="T150" i="8"/>
  <c r="L150" i="8"/>
  <c r="H150" i="8"/>
  <c r="X148" i="8"/>
  <c r="Z148" i="8" s="1"/>
  <c r="L148" i="8"/>
  <c r="N148" i="8" s="1"/>
  <c r="B148" i="8"/>
  <c r="T147" i="8"/>
  <c r="P147" i="8"/>
  <c r="X147" i="8" s="1"/>
  <c r="Z147" i="8" s="1"/>
  <c r="L147" i="8"/>
  <c r="N147" i="8" s="1"/>
  <c r="H147" i="8"/>
  <c r="D147" i="8"/>
  <c r="B147" i="8"/>
  <c r="Z146" i="8"/>
  <c r="X146" i="8"/>
  <c r="L146" i="8"/>
  <c r="N146" i="8" s="1"/>
  <c r="B146" i="8"/>
  <c r="X145" i="8"/>
  <c r="Z145" i="8" s="1"/>
  <c r="N145" i="8"/>
  <c r="L145" i="8"/>
  <c r="B145" i="8"/>
  <c r="X144" i="8"/>
  <c r="Z144" i="8" s="1"/>
  <c r="L144" i="8"/>
  <c r="N144" i="8" s="1"/>
  <c r="B144" i="8"/>
  <c r="T143" i="8"/>
  <c r="P143" i="8"/>
  <c r="X143" i="8" s="1"/>
  <c r="Z143" i="8" s="1"/>
  <c r="L143" i="8"/>
  <c r="N143" i="8" s="1"/>
  <c r="H143" i="8"/>
  <c r="D143" i="8"/>
  <c r="B143" i="8"/>
  <c r="X142" i="8"/>
  <c r="Z142" i="8" s="1"/>
  <c r="N142" i="8"/>
  <c r="L142" i="8"/>
  <c r="B142" i="8"/>
  <c r="X141" i="8"/>
  <c r="Z141" i="8" s="1"/>
  <c r="V141" i="8"/>
  <c r="T141" i="8"/>
  <c r="P141" i="8"/>
  <c r="H141" i="8"/>
  <c r="N141" i="8" s="1"/>
  <c r="D141" i="8"/>
  <c r="B141" i="8"/>
  <c r="X140" i="8"/>
  <c r="Z140" i="8" s="1"/>
  <c r="L140" i="8"/>
  <c r="N140" i="8" s="1"/>
  <c r="B140" i="8"/>
  <c r="Z139" i="8"/>
  <c r="X139" i="8"/>
  <c r="N139" i="8"/>
  <c r="L139" i="8"/>
  <c r="B139" i="8"/>
  <c r="T138" i="8"/>
  <c r="P138" i="8"/>
  <c r="H138" i="8"/>
  <c r="D138" i="8"/>
  <c r="L138" i="8" s="1"/>
  <c r="N138" i="8" s="1"/>
  <c r="B138" i="8"/>
  <c r="Z137" i="8"/>
  <c r="X137" i="8"/>
  <c r="L137" i="8"/>
  <c r="N137" i="8" s="1"/>
  <c r="J137" i="8"/>
  <c r="B137" i="8"/>
  <c r="X136" i="8"/>
  <c r="Z136" i="8" s="1"/>
  <c r="L136" i="8"/>
  <c r="N136" i="8" s="1"/>
  <c r="B136" i="8"/>
  <c r="Z135" i="8"/>
  <c r="X135" i="8"/>
  <c r="N135" i="8"/>
  <c r="L135" i="8"/>
  <c r="B135" i="8"/>
  <c r="Z134" i="8"/>
  <c r="X134" i="8"/>
  <c r="L134" i="8"/>
  <c r="N134" i="8" s="1"/>
  <c r="B134" i="8"/>
  <c r="X133" i="8"/>
  <c r="Z133" i="8" s="1"/>
  <c r="V133" i="8"/>
  <c r="N133" i="8"/>
  <c r="L133" i="8"/>
  <c r="B133" i="8"/>
  <c r="X132" i="8"/>
  <c r="Z132" i="8" s="1"/>
  <c r="L132" i="8"/>
  <c r="N132" i="8" s="1"/>
  <c r="B132" i="8"/>
  <c r="Z131" i="8"/>
  <c r="X131" i="8"/>
  <c r="N131" i="8"/>
  <c r="L131" i="8"/>
  <c r="B131" i="8"/>
  <c r="T130" i="8"/>
  <c r="P130" i="8"/>
  <c r="L130" i="8"/>
  <c r="N130" i="8" s="1"/>
  <c r="H130" i="8"/>
  <c r="D130" i="8"/>
  <c r="B130" i="8"/>
  <c r="X129" i="8"/>
  <c r="Z129" i="8" s="1"/>
  <c r="V129" i="8"/>
  <c r="N129" i="8"/>
  <c r="L129" i="8"/>
  <c r="B129" i="8"/>
  <c r="X128" i="8"/>
  <c r="Z128" i="8" s="1"/>
  <c r="L128" i="8"/>
  <c r="N128" i="8" s="1"/>
  <c r="B128" i="8"/>
  <c r="Z127" i="8"/>
  <c r="T127" i="8"/>
  <c r="P127" i="8"/>
  <c r="X127" i="8" s="1"/>
  <c r="L127" i="8"/>
  <c r="J127" i="8"/>
  <c r="H127" i="8"/>
  <c r="N127" i="8" s="1"/>
  <c r="D127" i="8"/>
  <c r="B127" i="8"/>
  <c r="Z126" i="8"/>
  <c r="X126" i="8"/>
  <c r="N126" i="8"/>
  <c r="L126" i="8"/>
  <c r="B126" i="8"/>
  <c r="X125" i="8"/>
  <c r="Z125" i="8" s="1"/>
  <c r="V125" i="8"/>
  <c r="N125" i="8"/>
  <c r="L125" i="8"/>
  <c r="B125" i="8"/>
  <c r="X124" i="8"/>
  <c r="Z124" i="8" s="1"/>
  <c r="L124" i="8"/>
  <c r="N124" i="8" s="1"/>
  <c r="B124" i="8"/>
  <c r="Z123" i="8"/>
  <c r="T123" i="8"/>
  <c r="P123" i="8"/>
  <c r="X123" i="8" s="1"/>
  <c r="L123" i="8"/>
  <c r="J123" i="8"/>
  <c r="H123" i="8"/>
  <c r="N123" i="8" s="1"/>
  <c r="D123" i="8"/>
  <c r="B123" i="8"/>
  <c r="Z122" i="8"/>
  <c r="X122" i="8"/>
  <c r="N122" i="8"/>
  <c r="L122" i="8"/>
  <c r="B122" i="8"/>
  <c r="X121" i="8"/>
  <c r="Z121" i="8" s="1"/>
  <c r="V121" i="8"/>
  <c r="N121" i="8"/>
  <c r="L121" i="8"/>
  <c r="B121" i="8"/>
  <c r="X120" i="8"/>
  <c r="Z120" i="8" s="1"/>
  <c r="N120" i="8"/>
  <c r="L120" i="8"/>
  <c r="B120" i="8"/>
  <c r="Z119" i="8"/>
  <c r="X119" i="8"/>
  <c r="N119" i="8"/>
  <c r="L119" i="8"/>
  <c r="B119" i="8"/>
  <c r="T118" i="8"/>
  <c r="P118" i="8"/>
  <c r="L118" i="8"/>
  <c r="N118" i="8" s="1"/>
  <c r="H118" i="8"/>
  <c r="D118" i="8"/>
  <c r="B118" i="8"/>
  <c r="X117" i="8"/>
  <c r="Z117" i="8" s="1"/>
  <c r="V117" i="8"/>
  <c r="N117" i="8"/>
  <c r="L117" i="8"/>
  <c r="B117" i="8"/>
  <c r="X116" i="8"/>
  <c r="Z116" i="8" s="1"/>
  <c r="L116" i="8"/>
  <c r="N116" i="8" s="1"/>
  <c r="B116" i="8"/>
  <c r="Z115" i="8"/>
  <c r="X115" i="8"/>
  <c r="N115" i="8"/>
  <c r="L115" i="8"/>
  <c r="B115" i="8"/>
  <c r="X114" i="8"/>
  <c r="Z114" i="8" s="1"/>
  <c r="N114" i="8"/>
  <c r="L114" i="8"/>
  <c r="B114" i="8"/>
  <c r="T113" i="8"/>
  <c r="Z113" i="8" s="1"/>
  <c r="P113" i="8"/>
  <c r="X113" i="8" s="1"/>
  <c r="H113" i="8"/>
  <c r="D113" i="8"/>
  <c r="L113" i="8" s="1"/>
  <c r="N113" i="8" s="1"/>
  <c r="B113" i="8"/>
  <c r="X112" i="8"/>
  <c r="Z112" i="8" s="1"/>
  <c r="L112" i="8"/>
  <c r="N112" i="8" s="1"/>
  <c r="B112" i="8"/>
  <c r="T111" i="8"/>
  <c r="P111" i="8"/>
  <c r="X111" i="8" s="1"/>
  <c r="Z111" i="8" s="1"/>
  <c r="L111" i="8"/>
  <c r="J111" i="8"/>
  <c r="H111" i="8"/>
  <c r="N111" i="8" s="1"/>
  <c r="D111" i="8"/>
  <c r="B111" i="8"/>
  <c r="Z110" i="8"/>
  <c r="X110" i="8"/>
  <c r="N110" i="8"/>
  <c r="L110" i="8"/>
  <c r="B110" i="8"/>
  <c r="X109" i="8"/>
  <c r="V109" i="8"/>
  <c r="T109" i="8"/>
  <c r="Z109" i="8" s="1"/>
  <c r="P109" i="8"/>
  <c r="H109" i="8"/>
  <c r="N109" i="8" s="1"/>
  <c r="D109" i="8"/>
  <c r="B109" i="8"/>
  <c r="X108" i="8"/>
  <c r="Z108" i="8" s="1"/>
  <c r="L108" i="8"/>
  <c r="N108" i="8" s="1"/>
  <c r="B108" i="8"/>
  <c r="T107" i="8"/>
  <c r="P107" i="8"/>
  <c r="H107" i="8"/>
  <c r="D107" i="8"/>
  <c r="L107" i="8" s="1"/>
  <c r="B107" i="8"/>
  <c r="Z106" i="8"/>
  <c r="X106" i="8"/>
  <c r="N106" i="8"/>
  <c r="L106" i="8"/>
  <c r="B106" i="8"/>
  <c r="T105" i="8"/>
  <c r="P105" i="8"/>
  <c r="X105" i="8" s="1"/>
  <c r="H105" i="8"/>
  <c r="D105" i="8"/>
  <c r="L105" i="8" s="1"/>
  <c r="N105" i="8" s="1"/>
  <c r="B105" i="8"/>
  <c r="X104" i="8"/>
  <c r="Z104" i="8" s="1"/>
  <c r="L104" i="8"/>
  <c r="N104" i="8" s="1"/>
  <c r="B104" i="8"/>
  <c r="Z103" i="8"/>
  <c r="X103" i="8"/>
  <c r="N103" i="8"/>
  <c r="L103" i="8"/>
  <c r="B103" i="8"/>
  <c r="T102" i="8"/>
  <c r="P102" i="8"/>
  <c r="L102" i="8"/>
  <c r="N102" i="8" s="1"/>
  <c r="H102" i="8"/>
  <c r="D102" i="8"/>
  <c r="B102" i="8"/>
  <c r="X101" i="8"/>
  <c r="Z101" i="8" s="1"/>
  <c r="V101" i="8"/>
  <c r="N101" i="8"/>
  <c r="L101" i="8"/>
  <c r="B101" i="8"/>
  <c r="X100" i="8"/>
  <c r="Z100" i="8" s="1"/>
  <c r="L100" i="8"/>
  <c r="N100" i="8" s="1"/>
  <c r="B100" i="8"/>
  <c r="T99" i="8"/>
  <c r="P99" i="8"/>
  <c r="X99" i="8" s="1"/>
  <c r="Z99" i="8" s="1"/>
  <c r="L99" i="8"/>
  <c r="J99" i="8"/>
  <c r="H99" i="8"/>
  <c r="N99" i="8" s="1"/>
  <c r="D99" i="8"/>
  <c r="B99" i="8"/>
  <c r="Z98" i="8"/>
  <c r="X98" i="8"/>
  <c r="N98" i="8"/>
  <c r="L98" i="8"/>
  <c r="B98" i="8"/>
  <c r="X97" i="8"/>
  <c r="V97" i="8"/>
  <c r="T97" i="8"/>
  <c r="Z97" i="8" s="1"/>
  <c r="P97" i="8"/>
  <c r="H97" i="8"/>
  <c r="D97" i="8"/>
  <c r="B97" i="8"/>
  <c r="X96" i="8"/>
  <c r="Z96" i="8" s="1"/>
  <c r="L96" i="8"/>
  <c r="N96" i="8" s="1"/>
  <c r="B96" i="8"/>
  <c r="T95" i="8"/>
  <c r="P95" i="8"/>
  <c r="H95" i="8"/>
  <c r="D95" i="8"/>
  <c r="L95" i="8" s="1"/>
  <c r="B95" i="8"/>
  <c r="Z94" i="8"/>
  <c r="X94" i="8"/>
  <c r="N94" i="8"/>
  <c r="L94" i="8"/>
  <c r="B94" i="8"/>
  <c r="T93" i="8"/>
  <c r="Z93" i="8" s="1"/>
  <c r="P93" i="8"/>
  <c r="X93" i="8" s="1"/>
  <c r="H93" i="8"/>
  <c r="D93" i="8"/>
  <c r="L93" i="8" s="1"/>
  <c r="N93" i="8" s="1"/>
  <c r="B93" i="8"/>
  <c r="Z92" i="8"/>
  <c r="X92" i="8"/>
  <c r="N92" i="8"/>
  <c r="L92" i="8"/>
  <c r="B92" i="8"/>
  <c r="Z91" i="8"/>
  <c r="X91" i="8"/>
  <c r="N91" i="8"/>
  <c r="L91" i="8"/>
  <c r="B91" i="8"/>
  <c r="T90" i="8"/>
  <c r="Z90" i="8" s="1"/>
  <c r="P90" i="8"/>
  <c r="N90" i="8"/>
  <c r="L90" i="8"/>
  <c r="H90" i="8"/>
  <c r="D90" i="8"/>
  <c r="B90" i="8"/>
  <c r="X89" i="8"/>
  <c r="Z89" i="8" s="1"/>
  <c r="V89" i="8"/>
  <c r="N89" i="8"/>
  <c r="L89" i="8"/>
  <c r="B89" i="8"/>
  <c r="Z88" i="8"/>
  <c r="X88" i="8"/>
  <c r="N88" i="8"/>
  <c r="L88" i="8"/>
  <c r="B88" i="8"/>
  <c r="T87" i="8"/>
  <c r="P87" i="8"/>
  <c r="X87" i="8" s="1"/>
  <c r="Z87" i="8" s="1"/>
  <c r="L87" i="8"/>
  <c r="J87" i="8"/>
  <c r="H87" i="8"/>
  <c r="N87" i="8" s="1"/>
  <c r="D87" i="8"/>
  <c r="B87" i="8"/>
  <c r="Z86" i="8"/>
  <c r="X86" i="8"/>
  <c r="N86" i="8"/>
  <c r="L86" i="8"/>
  <c r="B86" i="8"/>
  <c r="X85" i="8"/>
  <c r="V85" i="8"/>
  <c r="T85" i="8"/>
  <c r="Z85" i="8" s="1"/>
  <c r="P85" i="8"/>
  <c r="H85" i="8"/>
  <c r="D85" i="8"/>
  <c r="B85" i="8"/>
  <c r="X84" i="8"/>
  <c r="Z84" i="8" s="1"/>
  <c r="L84" i="8"/>
  <c r="N84" i="8" s="1"/>
  <c r="B84" i="8"/>
  <c r="T83" i="8"/>
  <c r="P83" i="8"/>
  <c r="H83" i="8"/>
  <c r="N83" i="8" s="1"/>
  <c r="D83" i="8"/>
  <c r="L83" i="8" s="1"/>
  <c r="B83" i="8"/>
  <c r="Z82" i="8"/>
  <c r="X82" i="8"/>
  <c r="N82" i="8"/>
  <c r="L82" i="8"/>
  <c r="B82" i="8"/>
  <c r="T81" i="8"/>
  <c r="P81" i="8"/>
  <c r="X81" i="8" s="1"/>
  <c r="N81" i="8"/>
  <c r="H81" i="8"/>
  <c r="D81" i="8"/>
  <c r="L81" i="8" s="1"/>
  <c r="B81" i="8"/>
  <c r="Z80" i="8"/>
  <c r="X80" i="8"/>
  <c r="N80" i="8"/>
  <c r="L80" i="8"/>
  <c r="B80" i="8"/>
  <c r="Z79" i="8"/>
  <c r="X79" i="8"/>
  <c r="N79" i="8"/>
  <c r="L79" i="8"/>
  <c r="B79" i="8"/>
  <c r="Z78" i="8"/>
  <c r="X78" i="8"/>
  <c r="N78" i="8"/>
  <c r="L78" i="8"/>
  <c r="B78" i="8"/>
  <c r="Z77" i="8"/>
  <c r="X77" i="8"/>
  <c r="L77" i="8"/>
  <c r="N77" i="8" s="1"/>
  <c r="J77" i="8"/>
  <c r="B77" i="8"/>
  <c r="Z76" i="8"/>
  <c r="X76" i="8"/>
  <c r="N76" i="8"/>
  <c r="L76" i="8"/>
  <c r="B76" i="8"/>
  <c r="X75" i="8"/>
  <c r="Z75" i="8" s="1"/>
  <c r="N75" i="8"/>
  <c r="L75" i="8"/>
  <c r="B75" i="8"/>
  <c r="Z74" i="8"/>
  <c r="X74" i="8"/>
  <c r="N74" i="8"/>
  <c r="L74" i="8"/>
  <c r="B74" i="8"/>
  <c r="Z73" i="8"/>
  <c r="X73" i="8"/>
  <c r="V73" i="8"/>
  <c r="N73" i="8"/>
  <c r="L73" i="8"/>
  <c r="B73" i="8"/>
  <c r="X72" i="8"/>
  <c r="Z72" i="8" s="1"/>
  <c r="L72" i="8"/>
  <c r="N72" i="8" s="1"/>
  <c r="B72" i="8"/>
  <c r="Z71" i="8"/>
  <c r="X71" i="8"/>
  <c r="L71" i="8"/>
  <c r="N71" i="8" s="1"/>
  <c r="B71" i="8"/>
  <c r="T70" i="8"/>
  <c r="P70" i="8"/>
  <c r="L70" i="8"/>
  <c r="N70" i="8" s="1"/>
  <c r="H70" i="8"/>
  <c r="D70" i="8"/>
  <c r="B70" i="8"/>
  <c r="X69" i="8"/>
  <c r="Z69" i="8" s="1"/>
  <c r="V69" i="8"/>
  <c r="N69" i="8"/>
  <c r="L69" i="8"/>
  <c r="B69" i="8"/>
  <c r="X68" i="8"/>
  <c r="Z68" i="8" s="1"/>
  <c r="L68" i="8"/>
  <c r="N68" i="8" s="1"/>
  <c r="B68" i="8"/>
  <c r="Z67" i="8"/>
  <c r="X67" i="8"/>
  <c r="L67" i="8"/>
  <c r="N67" i="8" s="1"/>
  <c r="B67" i="8"/>
  <c r="Z66" i="8"/>
  <c r="X66" i="8"/>
  <c r="N66" i="8"/>
  <c r="L66" i="8"/>
  <c r="B66" i="8"/>
  <c r="Z65" i="8"/>
  <c r="X65" i="8"/>
  <c r="N65" i="8"/>
  <c r="L65" i="8"/>
  <c r="J65" i="8"/>
  <c r="B65" i="8"/>
  <c r="X64" i="8"/>
  <c r="Z64" i="8" s="1"/>
  <c r="L64" i="8"/>
  <c r="N64" i="8" s="1"/>
  <c r="B64" i="8"/>
  <c r="X63" i="8"/>
  <c r="Z63" i="8" s="1"/>
  <c r="N63" i="8"/>
  <c r="L63" i="8"/>
  <c r="B63" i="8"/>
  <c r="Z62" i="8"/>
  <c r="X62" i="8"/>
  <c r="N62" i="8"/>
  <c r="L62" i="8"/>
  <c r="B62" i="8"/>
  <c r="X61" i="8"/>
  <c r="Z61" i="8" s="1"/>
  <c r="V61" i="8"/>
  <c r="N61" i="8"/>
  <c r="L61" i="8"/>
  <c r="B61" i="8"/>
  <c r="X60" i="8"/>
  <c r="Z60" i="8" s="1"/>
  <c r="L60" i="8"/>
  <c r="N60" i="8" s="1"/>
  <c r="B60" i="8"/>
  <c r="Z59" i="8"/>
  <c r="T59" i="8"/>
  <c r="P59" i="8"/>
  <c r="X59" i="8" s="1"/>
  <c r="L59" i="8"/>
  <c r="J59" i="8"/>
  <c r="H59" i="8"/>
  <c r="N59" i="8" s="1"/>
  <c r="D59" i="8"/>
  <c r="B59" i="8"/>
  <c r="T58" i="8" a="1"/>
  <c r="T58" i="8" s="1"/>
  <c r="P58" i="8" a="1"/>
  <c r="P58" i="8"/>
  <c r="H58" i="8" a="1"/>
  <c r="H58" i="8" s="1"/>
  <c r="D58" i="8" a="1"/>
  <c r="D58" i="8" s="1"/>
  <c r="L58" i="8" s="1"/>
  <c r="T56" i="8"/>
  <c r="Z54" i="8"/>
  <c r="X54" i="8"/>
  <c r="N54" i="8"/>
  <c r="L54" i="8"/>
  <c r="B54" i="8"/>
  <c r="Z53" i="8"/>
  <c r="X53" i="8"/>
  <c r="N53" i="8"/>
  <c r="L53" i="8"/>
  <c r="J53" i="8"/>
  <c r="B53" i="8"/>
  <c r="Z52" i="8"/>
  <c r="X52" i="8"/>
  <c r="N52" i="8"/>
  <c r="L52" i="8"/>
  <c r="B52" i="8"/>
  <c r="Z51" i="8"/>
  <c r="X51" i="8"/>
  <c r="N51" i="8"/>
  <c r="L51" i="8"/>
  <c r="B51" i="8"/>
  <c r="Z50" i="8"/>
  <c r="X50" i="8"/>
  <c r="N50" i="8"/>
  <c r="L50" i="8"/>
  <c r="B50" i="8"/>
  <c r="Z49" i="8"/>
  <c r="X49" i="8"/>
  <c r="V49" i="8"/>
  <c r="N49" i="8"/>
  <c r="L49" i="8"/>
  <c r="B49" i="8"/>
  <c r="Z48" i="8"/>
  <c r="X48" i="8"/>
  <c r="N48" i="8"/>
  <c r="L48" i="8"/>
  <c r="B48" i="8"/>
  <c r="Z47" i="8"/>
  <c r="X47" i="8"/>
  <c r="N47" i="8"/>
  <c r="L47" i="8"/>
  <c r="B47" i="8"/>
  <c r="Z46" i="8"/>
  <c r="X46" i="8"/>
  <c r="N46" i="8"/>
  <c r="L46" i="8"/>
  <c r="B46" i="8"/>
  <c r="Z45" i="8"/>
  <c r="X45" i="8"/>
  <c r="N45" i="8"/>
  <c r="L45" i="8"/>
  <c r="J45" i="8"/>
  <c r="B45" i="8"/>
  <c r="Z44" i="8"/>
  <c r="X44" i="8"/>
  <c r="N44" i="8"/>
  <c r="L44" i="8"/>
  <c r="B44" i="8"/>
  <c r="Z43" i="8"/>
  <c r="X43" i="8"/>
  <c r="N43" i="8"/>
  <c r="L43" i="8"/>
  <c r="B43" i="8"/>
  <c r="Z42" i="8"/>
  <c r="X42" i="8"/>
  <c r="N42" i="8"/>
  <c r="L42" i="8"/>
  <c r="B42" i="8"/>
  <c r="Z41" i="8"/>
  <c r="X41" i="8"/>
  <c r="V41" i="8"/>
  <c r="N41" i="8"/>
  <c r="L41" i="8"/>
  <c r="B41" i="8"/>
  <c r="Z40" i="8"/>
  <c r="X40" i="8"/>
  <c r="N40" i="8"/>
  <c r="L40" i="8"/>
  <c r="B40" i="8"/>
  <c r="Z39" i="8"/>
  <c r="X39" i="8"/>
  <c r="N39" i="8"/>
  <c r="L39" i="8"/>
  <c r="B39" i="8"/>
  <c r="Z38" i="8"/>
  <c r="X38" i="8"/>
  <c r="N38" i="8"/>
  <c r="L38" i="8"/>
  <c r="B38" i="8"/>
  <c r="Z37" i="8"/>
  <c r="X37" i="8"/>
  <c r="N37" i="8"/>
  <c r="L37" i="8"/>
  <c r="J37" i="8"/>
  <c r="B37" i="8"/>
  <c r="Z36" i="8"/>
  <c r="X36" i="8"/>
  <c r="N36" i="8"/>
  <c r="L36" i="8"/>
  <c r="B36" i="8"/>
  <c r="Z35" i="8"/>
  <c r="X35" i="8"/>
  <c r="N35" i="8"/>
  <c r="L35" i="8"/>
  <c r="B35" i="8"/>
  <c r="Z34" i="8"/>
  <c r="X34" i="8"/>
  <c r="N34" i="8"/>
  <c r="L34" i="8"/>
  <c r="B34" i="8"/>
  <c r="Z33" i="8"/>
  <c r="X33" i="8"/>
  <c r="V33" i="8"/>
  <c r="N33" i="8"/>
  <c r="L33" i="8"/>
  <c r="B33" i="8"/>
  <c r="Z32" i="8"/>
  <c r="X32" i="8"/>
  <c r="N32" i="8"/>
  <c r="L32" i="8"/>
  <c r="B32" i="8"/>
  <c r="Z31" i="8"/>
  <c r="X31" i="8"/>
  <c r="N31" i="8"/>
  <c r="L31" i="8"/>
  <c r="B31" i="8"/>
  <c r="Z30" i="8"/>
  <c r="X30" i="8"/>
  <c r="N30" i="8"/>
  <c r="L30" i="8"/>
  <c r="B30" i="8"/>
  <c r="Z29" i="8"/>
  <c r="X29" i="8"/>
  <c r="N29" i="8"/>
  <c r="L29" i="8"/>
  <c r="J29" i="8"/>
  <c r="B29" i="8"/>
  <c r="Z28" i="8"/>
  <c r="X28" i="8"/>
  <c r="N28" i="8"/>
  <c r="L28" i="8"/>
  <c r="B28" i="8"/>
  <c r="Z27" i="8"/>
  <c r="X27" i="8"/>
  <c r="N27" i="8"/>
  <c r="L27" i="8"/>
  <c r="B27" i="8"/>
  <c r="Z26" i="8"/>
  <c r="X26" i="8"/>
  <c r="V26" i="8"/>
  <c r="N26" i="8"/>
  <c r="L26" i="8"/>
  <c r="B26" i="8"/>
  <c r="Z25" i="8"/>
  <c r="X25" i="8"/>
  <c r="V25" i="8"/>
  <c r="N25" i="8"/>
  <c r="L25" i="8"/>
  <c r="B25" i="8"/>
  <c r="Z24" i="8"/>
  <c r="X24" i="8"/>
  <c r="N24" i="8"/>
  <c r="L24" i="8"/>
  <c r="B24" i="8"/>
  <c r="Z23" i="8"/>
  <c r="X23" i="8"/>
  <c r="N23" i="8"/>
  <c r="L23" i="8"/>
  <c r="B23" i="8"/>
  <c r="Z22" i="8"/>
  <c r="X22" i="8"/>
  <c r="N22" i="8"/>
  <c r="L22" i="8"/>
  <c r="B22" i="8"/>
  <c r="T21" i="8"/>
  <c r="V21" i="8" s="1"/>
  <c r="P21" i="8"/>
  <c r="X21" i="8" s="1"/>
  <c r="H21" i="8"/>
  <c r="D21" i="8"/>
  <c r="L21" i="8" s="1"/>
  <c r="N21" i="8" s="1"/>
  <c r="Z19" i="8"/>
  <c r="P19" i="8"/>
  <c r="X19" i="8" s="1"/>
  <c r="N19" i="8"/>
  <c r="D19" i="8"/>
  <c r="L19" i="8" s="1"/>
  <c r="B19" i="8"/>
  <c r="Z18" i="8"/>
  <c r="P18" i="8"/>
  <c r="X18" i="8" s="1"/>
  <c r="N18" i="8"/>
  <c r="L18" i="8"/>
  <c r="D18" i="8"/>
  <c r="B18" i="8"/>
  <c r="Z17" i="8"/>
  <c r="X17" i="8"/>
  <c r="P17" i="8"/>
  <c r="N17" i="8"/>
  <c r="L17" i="8"/>
  <c r="D17" i="8"/>
  <c r="B17" i="8"/>
  <c r="Z16" i="8"/>
  <c r="P16" i="8"/>
  <c r="X16" i="8" s="1"/>
  <c r="N16" i="8"/>
  <c r="D16" i="8"/>
  <c r="L16" i="8" s="1"/>
  <c r="B16" i="8"/>
  <c r="Z15" i="8"/>
  <c r="P15" i="8"/>
  <c r="X15" i="8" s="1"/>
  <c r="N15" i="8"/>
  <c r="D15" i="8"/>
  <c r="L15" i="8" s="1"/>
  <c r="B15" i="8"/>
  <c r="P14" i="8"/>
  <c r="X14" i="8" s="1"/>
  <c r="Z14" i="8" s="1"/>
  <c r="L14" i="8"/>
  <c r="N14" i="8" s="1"/>
  <c r="D14" i="8"/>
  <c r="B14" i="8"/>
  <c r="Z13" i="8"/>
  <c r="X13" i="8"/>
  <c r="P13" i="8"/>
  <c r="D13" i="8"/>
  <c r="L13" i="8" s="1"/>
  <c r="N13" i="8" s="1"/>
  <c r="B13" i="8"/>
  <c r="T12" i="8"/>
  <c r="V147" i="8" s="1"/>
  <c r="H12" i="8"/>
  <c r="J161" i="8" s="1"/>
  <c r="D4" i="8"/>
  <c r="Z153" i="7"/>
  <c r="X153" i="7"/>
  <c r="L153" i="7"/>
  <c r="N153" i="7" s="1"/>
  <c r="Z149" i="7"/>
  <c r="P149" i="7"/>
  <c r="X149" i="7" s="1"/>
  <c r="N149" i="7"/>
  <c r="D149" i="7"/>
  <c r="L149" i="7" s="1"/>
  <c r="B149" i="7"/>
  <c r="X148" i="7"/>
  <c r="Z148" i="7" s="1"/>
  <c r="P148" i="7"/>
  <c r="D148" i="7"/>
  <c r="L148" i="7" s="1"/>
  <c r="N148" i="7" s="1"/>
  <c r="B148" i="7"/>
  <c r="Z147" i="7"/>
  <c r="X147" i="7"/>
  <c r="P147" i="7"/>
  <c r="N147" i="7"/>
  <c r="L147" i="7"/>
  <c r="D147" i="7"/>
  <c r="B147" i="7"/>
  <c r="P146" i="7"/>
  <c r="X146" i="7" s="1"/>
  <c r="Z146" i="7" s="1"/>
  <c r="L146" i="7"/>
  <c r="N146" i="7" s="1"/>
  <c r="D146" i="7"/>
  <c r="B146" i="7"/>
  <c r="P145" i="7"/>
  <c r="X145" i="7" s="1"/>
  <c r="Z145" i="7" s="1"/>
  <c r="F145" i="7"/>
  <c r="D145" i="7"/>
  <c r="L145" i="7" s="1"/>
  <c r="N145" i="7" s="1"/>
  <c r="B145" i="7"/>
  <c r="T144" i="7"/>
  <c r="P144" i="7"/>
  <c r="X144" i="7" s="1"/>
  <c r="Z144" i="7" s="1"/>
  <c r="H144" i="7"/>
  <c r="X142" i="7"/>
  <c r="Z142" i="7" s="1"/>
  <c r="L142" i="7"/>
  <c r="N142" i="7" s="1"/>
  <c r="B142" i="7"/>
  <c r="Z141" i="7"/>
  <c r="T141" i="7"/>
  <c r="P141" i="7"/>
  <c r="X141" i="7" s="1"/>
  <c r="L141" i="7"/>
  <c r="J141" i="7"/>
  <c r="H141" i="7"/>
  <c r="N141" i="7" s="1"/>
  <c r="D141" i="7"/>
  <c r="B141" i="7"/>
  <c r="Z140" i="7"/>
  <c r="X140" i="7"/>
  <c r="N140" i="7"/>
  <c r="L140" i="7"/>
  <c r="B140" i="7"/>
  <c r="X139" i="7"/>
  <c r="Z139" i="7" s="1"/>
  <c r="V139" i="7"/>
  <c r="L139" i="7"/>
  <c r="N139" i="7" s="1"/>
  <c r="B139" i="7"/>
  <c r="X138" i="7"/>
  <c r="Z138" i="7" s="1"/>
  <c r="L138" i="7"/>
  <c r="N138" i="7" s="1"/>
  <c r="B138" i="7"/>
  <c r="T137" i="7"/>
  <c r="P137" i="7"/>
  <c r="X137" i="7" s="1"/>
  <c r="Z137" i="7" s="1"/>
  <c r="L137" i="7"/>
  <c r="J137" i="7"/>
  <c r="H137" i="7"/>
  <c r="N137" i="7" s="1"/>
  <c r="D137" i="7"/>
  <c r="B137" i="7"/>
  <c r="Z136" i="7"/>
  <c r="X136" i="7"/>
  <c r="N136" i="7"/>
  <c r="L136" i="7"/>
  <c r="B136" i="7"/>
  <c r="X135" i="7"/>
  <c r="V135" i="7"/>
  <c r="T135" i="7"/>
  <c r="Z135" i="7" s="1"/>
  <c r="P135" i="7"/>
  <c r="H135" i="7"/>
  <c r="N135" i="7" s="1"/>
  <c r="D135" i="7"/>
  <c r="B135" i="7"/>
  <c r="X134" i="7"/>
  <c r="Z134" i="7" s="1"/>
  <c r="L134" i="7"/>
  <c r="N134" i="7" s="1"/>
  <c r="B134" i="7"/>
  <c r="Z133" i="7"/>
  <c r="X133" i="7"/>
  <c r="N133" i="7"/>
  <c r="L133" i="7"/>
  <c r="B133" i="7"/>
  <c r="T132" i="7"/>
  <c r="P132" i="7"/>
  <c r="H132" i="7"/>
  <c r="D132" i="7"/>
  <c r="L132" i="7" s="1"/>
  <c r="N132" i="7" s="1"/>
  <c r="B132" i="7"/>
  <c r="X131" i="7"/>
  <c r="Z131" i="7" s="1"/>
  <c r="L131" i="7"/>
  <c r="N131" i="7" s="1"/>
  <c r="J131" i="7"/>
  <c r="B131" i="7"/>
  <c r="X130" i="7"/>
  <c r="Z130" i="7" s="1"/>
  <c r="L130" i="7"/>
  <c r="N130" i="7" s="1"/>
  <c r="B130" i="7"/>
  <c r="X129" i="7"/>
  <c r="Z129" i="7" s="1"/>
  <c r="N129" i="7"/>
  <c r="L129" i="7"/>
  <c r="B129" i="7"/>
  <c r="Z128" i="7"/>
  <c r="X128" i="7"/>
  <c r="N128" i="7"/>
  <c r="L128" i="7"/>
  <c r="B128" i="7"/>
  <c r="X127" i="7"/>
  <c r="Z127" i="7" s="1"/>
  <c r="V127" i="7"/>
  <c r="L127" i="7"/>
  <c r="N127" i="7" s="1"/>
  <c r="B127" i="7"/>
  <c r="X126" i="7"/>
  <c r="Z126" i="7" s="1"/>
  <c r="L126" i="7"/>
  <c r="N126" i="7" s="1"/>
  <c r="B126" i="7"/>
  <c r="Z125" i="7"/>
  <c r="X125" i="7"/>
  <c r="L125" i="7"/>
  <c r="N125" i="7" s="1"/>
  <c r="B125" i="7"/>
  <c r="T124" i="7"/>
  <c r="P124" i="7"/>
  <c r="L124" i="7"/>
  <c r="N124" i="7" s="1"/>
  <c r="H124" i="7"/>
  <c r="D124" i="7"/>
  <c r="B124" i="7"/>
  <c r="X123" i="7"/>
  <c r="Z123" i="7" s="1"/>
  <c r="V123" i="7"/>
  <c r="L123" i="7"/>
  <c r="N123" i="7" s="1"/>
  <c r="B123" i="7"/>
  <c r="X122" i="7"/>
  <c r="Z122" i="7" s="1"/>
  <c r="L122" i="7"/>
  <c r="N122" i="7" s="1"/>
  <c r="B122" i="7"/>
  <c r="T121" i="7"/>
  <c r="P121" i="7"/>
  <c r="X121" i="7" s="1"/>
  <c r="Z121" i="7" s="1"/>
  <c r="L121" i="7"/>
  <c r="J121" i="7"/>
  <c r="H121" i="7"/>
  <c r="N121" i="7" s="1"/>
  <c r="D121" i="7"/>
  <c r="B121" i="7"/>
  <c r="Z120" i="7"/>
  <c r="X120" i="7"/>
  <c r="N120" i="7"/>
  <c r="L120" i="7"/>
  <c r="B120" i="7"/>
  <c r="X119" i="7"/>
  <c r="Z119" i="7" s="1"/>
  <c r="V119" i="7"/>
  <c r="L119" i="7"/>
  <c r="N119" i="7" s="1"/>
  <c r="B119" i="7"/>
  <c r="X118" i="7"/>
  <c r="Z118" i="7" s="1"/>
  <c r="L118" i="7"/>
  <c r="N118" i="7" s="1"/>
  <c r="B118" i="7"/>
  <c r="T117" i="7"/>
  <c r="P117" i="7"/>
  <c r="X117" i="7" s="1"/>
  <c r="Z117" i="7" s="1"/>
  <c r="L117" i="7"/>
  <c r="N117" i="7" s="1"/>
  <c r="J117" i="7"/>
  <c r="H117" i="7"/>
  <c r="D117" i="7"/>
  <c r="B117" i="7"/>
  <c r="Z116" i="7"/>
  <c r="X116" i="7"/>
  <c r="L116" i="7"/>
  <c r="N116" i="7" s="1"/>
  <c r="B116" i="7"/>
  <c r="X115" i="7"/>
  <c r="Z115" i="7" s="1"/>
  <c r="V115" i="7"/>
  <c r="N115" i="7"/>
  <c r="L115" i="7"/>
  <c r="B115" i="7"/>
  <c r="X114" i="7"/>
  <c r="Z114" i="7" s="1"/>
  <c r="N114" i="7"/>
  <c r="L114" i="7"/>
  <c r="B114" i="7"/>
  <c r="Z113" i="7"/>
  <c r="X113" i="7"/>
  <c r="L113" i="7"/>
  <c r="N113" i="7" s="1"/>
  <c r="B113" i="7"/>
  <c r="T112" i="7"/>
  <c r="Z112" i="7" s="1"/>
  <c r="P112" i="7"/>
  <c r="X112" i="7" s="1"/>
  <c r="L112" i="7"/>
  <c r="N112" i="7" s="1"/>
  <c r="H112" i="7"/>
  <c r="D112" i="7"/>
  <c r="B112" i="7"/>
  <c r="X111" i="7"/>
  <c r="Z111" i="7" s="1"/>
  <c r="V111" i="7"/>
  <c r="L111" i="7"/>
  <c r="N111" i="7" s="1"/>
  <c r="B111" i="7"/>
  <c r="X110" i="7"/>
  <c r="Z110" i="7" s="1"/>
  <c r="L110" i="7"/>
  <c r="N110" i="7" s="1"/>
  <c r="B110" i="7"/>
  <c r="Z109" i="7"/>
  <c r="X109" i="7"/>
  <c r="L109" i="7"/>
  <c r="N109" i="7" s="1"/>
  <c r="B109" i="7"/>
  <c r="X108" i="7"/>
  <c r="Z108" i="7" s="1"/>
  <c r="N108" i="7"/>
  <c r="L108" i="7"/>
  <c r="B108" i="7"/>
  <c r="T107" i="7"/>
  <c r="P107" i="7"/>
  <c r="X107" i="7" s="1"/>
  <c r="N107" i="7"/>
  <c r="H107" i="7"/>
  <c r="D107" i="7"/>
  <c r="L107" i="7" s="1"/>
  <c r="B107" i="7"/>
  <c r="X106" i="7"/>
  <c r="Z106" i="7" s="1"/>
  <c r="L106" i="7"/>
  <c r="N106" i="7" s="1"/>
  <c r="B106" i="7"/>
  <c r="Z105" i="7"/>
  <c r="T105" i="7"/>
  <c r="P105" i="7"/>
  <c r="X105" i="7" s="1"/>
  <c r="L105" i="7"/>
  <c r="J105" i="7"/>
  <c r="H105" i="7"/>
  <c r="N105" i="7" s="1"/>
  <c r="D105" i="7"/>
  <c r="B105" i="7"/>
  <c r="Z104" i="7"/>
  <c r="X104" i="7"/>
  <c r="N104" i="7"/>
  <c r="L104" i="7"/>
  <c r="B104" i="7"/>
  <c r="X103" i="7"/>
  <c r="V103" i="7"/>
  <c r="T103" i="7"/>
  <c r="Z103" i="7" s="1"/>
  <c r="P103" i="7"/>
  <c r="L103" i="7"/>
  <c r="H103" i="7"/>
  <c r="N103" i="7" s="1"/>
  <c r="F103" i="7"/>
  <c r="D103" i="7"/>
  <c r="B103" i="7"/>
  <c r="X102" i="7"/>
  <c r="Z102" i="7" s="1"/>
  <c r="L102" i="7"/>
  <c r="N102" i="7" s="1"/>
  <c r="B102" i="7"/>
  <c r="X101" i="7"/>
  <c r="T101" i="7"/>
  <c r="Z101" i="7" s="1"/>
  <c r="P101" i="7"/>
  <c r="H101" i="7"/>
  <c r="D101" i="7"/>
  <c r="L101" i="7" s="1"/>
  <c r="B101" i="7"/>
  <c r="Z100" i="7"/>
  <c r="X100" i="7"/>
  <c r="N100" i="7"/>
  <c r="L100" i="7"/>
  <c r="B100" i="7"/>
  <c r="T99" i="7"/>
  <c r="P99" i="7"/>
  <c r="X99" i="7" s="1"/>
  <c r="N99" i="7"/>
  <c r="H99" i="7"/>
  <c r="D99" i="7"/>
  <c r="L99" i="7" s="1"/>
  <c r="B99" i="7"/>
  <c r="X98" i="7"/>
  <c r="Z98" i="7" s="1"/>
  <c r="L98" i="7"/>
  <c r="N98" i="7" s="1"/>
  <c r="B98" i="7"/>
  <c r="Z97" i="7"/>
  <c r="X97" i="7"/>
  <c r="N97" i="7"/>
  <c r="L97" i="7"/>
  <c r="B97" i="7"/>
  <c r="T96" i="7"/>
  <c r="Z96" i="7" s="1"/>
  <c r="P96" i="7"/>
  <c r="X96" i="7" s="1"/>
  <c r="L96" i="7"/>
  <c r="N96" i="7" s="1"/>
  <c r="H96" i="7"/>
  <c r="D96" i="7"/>
  <c r="B96" i="7"/>
  <c r="X95" i="7"/>
  <c r="Z95" i="7" s="1"/>
  <c r="V95" i="7"/>
  <c r="L95" i="7"/>
  <c r="N95" i="7" s="1"/>
  <c r="B95" i="7"/>
  <c r="X94" i="7"/>
  <c r="Z94" i="7" s="1"/>
  <c r="L94" i="7"/>
  <c r="N94" i="7" s="1"/>
  <c r="B94" i="7"/>
  <c r="T93" i="7"/>
  <c r="P93" i="7"/>
  <c r="X93" i="7" s="1"/>
  <c r="Z93" i="7" s="1"/>
  <c r="L93" i="7"/>
  <c r="J93" i="7"/>
  <c r="H93" i="7"/>
  <c r="N93" i="7" s="1"/>
  <c r="D93" i="7"/>
  <c r="B93" i="7"/>
  <c r="Z92" i="7"/>
  <c r="X92" i="7"/>
  <c r="N92" i="7"/>
  <c r="L92" i="7"/>
  <c r="B92" i="7"/>
  <c r="X91" i="7"/>
  <c r="V91" i="7"/>
  <c r="T91" i="7"/>
  <c r="Z91" i="7" s="1"/>
  <c r="P91" i="7"/>
  <c r="L91" i="7"/>
  <c r="H91" i="7"/>
  <c r="N91" i="7" s="1"/>
  <c r="D91" i="7"/>
  <c r="B91" i="7"/>
  <c r="X90" i="7"/>
  <c r="Z90" i="7" s="1"/>
  <c r="L90" i="7"/>
  <c r="N90" i="7" s="1"/>
  <c r="B90" i="7"/>
  <c r="X89" i="7"/>
  <c r="T89" i="7"/>
  <c r="Z89" i="7" s="1"/>
  <c r="P89" i="7"/>
  <c r="H89" i="7"/>
  <c r="N89" i="7" s="1"/>
  <c r="D89" i="7"/>
  <c r="L89" i="7" s="1"/>
  <c r="B89" i="7"/>
  <c r="Z88" i="7"/>
  <c r="X88" i="7"/>
  <c r="N88" i="7"/>
  <c r="L88" i="7"/>
  <c r="B88" i="7"/>
  <c r="T87" i="7"/>
  <c r="Z87" i="7" s="1"/>
  <c r="P87" i="7"/>
  <c r="X87" i="7" s="1"/>
  <c r="N87" i="7"/>
  <c r="H87" i="7"/>
  <c r="D87" i="7"/>
  <c r="L87" i="7" s="1"/>
  <c r="B87" i="7"/>
  <c r="Z86" i="7"/>
  <c r="X86" i="7"/>
  <c r="N86" i="7"/>
  <c r="L86" i="7"/>
  <c r="B86" i="7"/>
  <c r="Z85" i="7"/>
  <c r="X85" i="7"/>
  <c r="N85" i="7"/>
  <c r="L85" i="7"/>
  <c r="B85" i="7"/>
  <c r="T84" i="7"/>
  <c r="Z84" i="7" s="1"/>
  <c r="P84" i="7"/>
  <c r="X84" i="7" s="1"/>
  <c r="N84" i="7"/>
  <c r="L84" i="7"/>
  <c r="H84" i="7"/>
  <c r="D84" i="7"/>
  <c r="B84" i="7"/>
  <c r="X83" i="7"/>
  <c r="Z83" i="7" s="1"/>
  <c r="V83" i="7"/>
  <c r="L83" i="7"/>
  <c r="N83" i="7" s="1"/>
  <c r="B83" i="7"/>
  <c r="Z82" i="7"/>
  <c r="X82" i="7"/>
  <c r="N82" i="7"/>
  <c r="L82" i="7"/>
  <c r="B82" i="7"/>
  <c r="Z81" i="7"/>
  <c r="T81" i="7"/>
  <c r="P81" i="7"/>
  <c r="X81" i="7" s="1"/>
  <c r="L81" i="7"/>
  <c r="N81" i="7" s="1"/>
  <c r="J81" i="7"/>
  <c r="H81" i="7"/>
  <c r="D81" i="7"/>
  <c r="B81" i="7"/>
  <c r="Z80" i="7"/>
  <c r="X80" i="7"/>
  <c r="N80" i="7"/>
  <c r="L80" i="7"/>
  <c r="B80" i="7"/>
  <c r="X79" i="7"/>
  <c r="Z79" i="7" s="1"/>
  <c r="V79" i="7"/>
  <c r="T79" i="7"/>
  <c r="P79" i="7"/>
  <c r="L79" i="7"/>
  <c r="H79" i="7"/>
  <c r="N79" i="7" s="1"/>
  <c r="D79" i="7"/>
  <c r="B79" i="7"/>
  <c r="X78" i="7"/>
  <c r="Z78" i="7" s="1"/>
  <c r="L78" i="7"/>
  <c r="N78" i="7" s="1"/>
  <c r="B78" i="7"/>
  <c r="X77" i="7"/>
  <c r="T77" i="7"/>
  <c r="Z77" i="7" s="1"/>
  <c r="P77" i="7"/>
  <c r="H77" i="7"/>
  <c r="D77" i="7"/>
  <c r="L77" i="7" s="1"/>
  <c r="B77" i="7"/>
  <c r="Z76" i="7"/>
  <c r="X76" i="7"/>
  <c r="N76" i="7"/>
  <c r="L76" i="7"/>
  <c r="B76" i="7"/>
  <c r="T75" i="7"/>
  <c r="Z75" i="7" s="1"/>
  <c r="P75" i="7"/>
  <c r="X75" i="7" s="1"/>
  <c r="H75" i="7"/>
  <c r="D75" i="7"/>
  <c r="L75" i="7" s="1"/>
  <c r="N75" i="7" s="1"/>
  <c r="B75" i="7"/>
  <c r="Z74" i="7"/>
  <c r="X74" i="7"/>
  <c r="N74" i="7"/>
  <c r="L74" i="7"/>
  <c r="B74" i="7"/>
  <c r="Z73" i="7"/>
  <c r="X73" i="7"/>
  <c r="N73" i="7"/>
  <c r="L73" i="7"/>
  <c r="B73" i="7"/>
  <c r="Z72" i="7"/>
  <c r="X72" i="7"/>
  <c r="N72" i="7"/>
  <c r="L72" i="7"/>
  <c r="F72" i="7"/>
  <c r="B72" i="7"/>
  <c r="X71" i="7"/>
  <c r="Z71" i="7" s="1"/>
  <c r="L71" i="7"/>
  <c r="N71" i="7" s="1"/>
  <c r="J71" i="7"/>
  <c r="B71" i="7"/>
  <c r="Z70" i="7"/>
  <c r="X70" i="7"/>
  <c r="N70" i="7"/>
  <c r="L70" i="7"/>
  <c r="B70" i="7"/>
  <c r="X69" i="7"/>
  <c r="Z69" i="7" s="1"/>
  <c r="N69" i="7"/>
  <c r="L69" i="7"/>
  <c r="B69" i="7"/>
  <c r="Z68" i="7"/>
  <c r="X68" i="7"/>
  <c r="N68" i="7"/>
  <c r="L68" i="7"/>
  <c r="B68" i="7"/>
  <c r="Z67" i="7"/>
  <c r="X67" i="7"/>
  <c r="V67" i="7"/>
  <c r="N67" i="7"/>
  <c r="L67" i="7"/>
  <c r="B67" i="7"/>
  <c r="X66" i="7"/>
  <c r="Z66" i="7" s="1"/>
  <c r="L66" i="7"/>
  <c r="N66" i="7" s="1"/>
  <c r="B66" i="7"/>
  <c r="Z65" i="7"/>
  <c r="X65" i="7"/>
  <c r="L65" i="7"/>
  <c r="N65" i="7" s="1"/>
  <c r="B65" i="7"/>
  <c r="T64" i="7"/>
  <c r="P64" i="7"/>
  <c r="X64" i="7" s="1"/>
  <c r="L64" i="7"/>
  <c r="N64" i="7" s="1"/>
  <c r="H64" i="7"/>
  <c r="D64" i="7"/>
  <c r="B64" i="7"/>
  <c r="X63" i="7"/>
  <c r="Z63" i="7" s="1"/>
  <c r="V63" i="7"/>
  <c r="L63" i="7"/>
  <c r="N63" i="7" s="1"/>
  <c r="B63" i="7"/>
  <c r="X62" i="7"/>
  <c r="Z62" i="7" s="1"/>
  <c r="L62" i="7"/>
  <c r="N62" i="7" s="1"/>
  <c r="B62" i="7"/>
  <c r="Z61" i="7"/>
  <c r="X61" i="7"/>
  <c r="L61" i="7"/>
  <c r="N61" i="7" s="1"/>
  <c r="B61" i="7"/>
  <c r="Z60" i="7"/>
  <c r="X60" i="7"/>
  <c r="N60" i="7"/>
  <c r="L60" i="7"/>
  <c r="B60" i="7"/>
  <c r="Z59" i="7"/>
  <c r="X59" i="7"/>
  <c r="N59" i="7"/>
  <c r="L59" i="7"/>
  <c r="J59" i="7"/>
  <c r="B59" i="7"/>
  <c r="X58" i="7"/>
  <c r="Z58" i="7" s="1"/>
  <c r="L58" i="7"/>
  <c r="N58" i="7" s="1"/>
  <c r="B58" i="7"/>
  <c r="X57" i="7"/>
  <c r="Z57" i="7" s="1"/>
  <c r="N57" i="7"/>
  <c r="L57" i="7"/>
  <c r="B57" i="7"/>
  <c r="Z56" i="7"/>
  <c r="X56" i="7"/>
  <c r="N56" i="7"/>
  <c r="L56" i="7"/>
  <c r="B56" i="7"/>
  <c r="X55" i="7"/>
  <c r="Z55" i="7" s="1"/>
  <c r="V55" i="7"/>
  <c r="L55" i="7"/>
  <c r="N55" i="7" s="1"/>
  <c r="B55" i="7"/>
  <c r="X54" i="7"/>
  <c r="Z54" i="7" s="1"/>
  <c r="L54" i="7"/>
  <c r="N54" i="7" s="1"/>
  <c r="B54" i="7"/>
  <c r="T53" i="7"/>
  <c r="P53" i="7"/>
  <c r="X53" i="7" s="1"/>
  <c r="Z53" i="7" s="1"/>
  <c r="L53" i="7"/>
  <c r="N53" i="7" s="1"/>
  <c r="J53" i="7"/>
  <c r="H53" i="7"/>
  <c r="D53" i="7"/>
  <c r="B53" i="7"/>
  <c r="T52" i="7" a="1"/>
  <c r="T52" i="7" s="1"/>
  <c r="P52" i="7" a="1"/>
  <c r="P52" i="7" s="1"/>
  <c r="X52" i="7" s="1"/>
  <c r="H52" i="7" a="1"/>
  <c r="H52" i="7" s="1"/>
  <c r="D52" i="7" a="1"/>
  <c r="D52" i="7" s="1"/>
  <c r="T50" i="7"/>
  <c r="D50" i="7"/>
  <c r="Z48" i="7"/>
  <c r="X48" i="7"/>
  <c r="N48" i="7"/>
  <c r="L48" i="7"/>
  <c r="B48" i="7"/>
  <c r="Z47" i="7"/>
  <c r="X47" i="7"/>
  <c r="N47" i="7"/>
  <c r="L47" i="7"/>
  <c r="J47" i="7"/>
  <c r="B47" i="7"/>
  <c r="Z46" i="7"/>
  <c r="X46" i="7"/>
  <c r="N46" i="7"/>
  <c r="L46" i="7"/>
  <c r="B46" i="7"/>
  <c r="Z45" i="7"/>
  <c r="X45" i="7"/>
  <c r="N45" i="7"/>
  <c r="L45" i="7"/>
  <c r="B45" i="7"/>
  <c r="Z44" i="7"/>
  <c r="X44" i="7"/>
  <c r="N44" i="7"/>
  <c r="L44" i="7"/>
  <c r="B44" i="7"/>
  <c r="Z43" i="7"/>
  <c r="X43" i="7"/>
  <c r="V43" i="7"/>
  <c r="N43" i="7"/>
  <c r="L43" i="7"/>
  <c r="B43" i="7"/>
  <c r="Z42" i="7"/>
  <c r="X42" i="7"/>
  <c r="N42" i="7"/>
  <c r="L42" i="7"/>
  <c r="B42" i="7"/>
  <c r="Z41" i="7"/>
  <c r="X41" i="7"/>
  <c r="N41" i="7"/>
  <c r="L41" i="7"/>
  <c r="B41" i="7"/>
  <c r="Z40" i="7"/>
  <c r="X40" i="7"/>
  <c r="N40" i="7"/>
  <c r="L40" i="7"/>
  <c r="B40" i="7"/>
  <c r="Z39" i="7"/>
  <c r="X39" i="7"/>
  <c r="N39" i="7"/>
  <c r="L39" i="7"/>
  <c r="J39" i="7"/>
  <c r="B39" i="7"/>
  <c r="Z38" i="7"/>
  <c r="X38" i="7"/>
  <c r="N38" i="7"/>
  <c r="L38" i="7"/>
  <c r="B38" i="7"/>
  <c r="Z37" i="7"/>
  <c r="X37" i="7"/>
  <c r="N37" i="7"/>
  <c r="L37" i="7"/>
  <c r="B37" i="7"/>
  <c r="Z36" i="7"/>
  <c r="X36" i="7"/>
  <c r="N36" i="7"/>
  <c r="L36" i="7"/>
  <c r="B36" i="7"/>
  <c r="Z35" i="7"/>
  <c r="X35" i="7"/>
  <c r="V35" i="7"/>
  <c r="N35" i="7"/>
  <c r="L35" i="7"/>
  <c r="B35" i="7"/>
  <c r="Z34" i="7"/>
  <c r="X34" i="7"/>
  <c r="N34" i="7"/>
  <c r="L34" i="7"/>
  <c r="B34" i="7"/>
  <c r="Z33" i="7"/>
  <c r="X33" i="7"/>
  <c r="N33" i="7"/>
  <c r="L33" i="7"/>
  <c r="B33" i="7"/>
  <c r="Z32" i="7"/>
  <c r="X32" i="7"/>
  <c r="N32" i="7"/>
  <c r="L32" i="7"/>
  <c r="B32" i="7"/>
  <c r="Z31" i="7"/>
  <c r="X31" i="7"/>
  <c r="N31" i="7"/>
  <c r="L31" i="7"/>
  <c r="J31" i="7"/>
  <c r="B31" i="7"/>
  <c r="Z30" i="7"/>
  <c r="X30" i="7"/>
  <c r="N30" i="7"/>
  <c r="L30" i="7"/>
  <c r="B30" i="7"/>
  <c r="Z29" i="7"/>
  <c r="X29" i="7"/>
  <c r="N29" i="7"/>
  <c r="L29" i="7"/>
  <c r="B29" i="7"/>
  <c r="Z28" i="7"/>
  <c r="X28" i="7"/>
  <c r="N28" i="7"/>
  <c r="L28" i="7"/>
  <c r="J28" i="7"/>
  <c r="B28" i="7"/>
  <c r="Z27" i="7"/>
  <c r="X27" i="7"/>
  <c r="V27" i="7"/>
  <c r="N27" i="7"/>
  <c r="L27" i="7"/>
  <c r="B27" i="7"/>
  <c r="Z26" i="7"/>
  <c r="X26" i="7"/>
  <c r="N26" i="7"/>
  <c r="L26" i="7"/>
  <c r="B26" i="7"/>
  <c r="Z25" i="7"/>
  <c r="X25" i="7"/>
  <c r="N25" i="7"/>
  <c r="L25" i="7"/>
  <c r="B25" i="7"/>
  <c r="Z24" i="7"/>
  <c r="X24" i="7"/>
  <c r="N24" i="7"/>
  <c r="L24" i="7"/>
  <c r="B24" i="7"/>
  <c r="Z23" i="7"/>
  <c r="X23" i="7"/>
  <c r="N23" i="7"/>
  <c r="L23" i="7"/>
  <c r="J23" i="7"/>
  <c r="B23" i="7"/>
  <c r="Z22" i="7"/>
  <c r="X22" i="7"/>
  <c r="L22" i="7"/>
  <c r="N22" i="7" s="1"/>
  <c r="B22" i="7"/>
  <c r="X21" i="7"/>
  <c r="Z21" i="7" s="1"/>
  <c r="T21" i="7"/>
  <c r="P21" i="7"/>
  <c r="L21" i="7"/>
  <c r="H21" i="7"/>
  <c r="N21" i="7" s="1"/>
  <c r="D21" i="7"/>
  <c r="Z19" i="7"/>
  <c r="X19" i="7"/>
  <c r="P19" i="7"/>
  <c r="N19" i="7"/>
  <c r="D19" i="7"/>
  <c r="L19" i="7" s="1"/>
  <c r="B19" i="7"/>
  <c r="Z18" i="7"/>
  <c r="X18" i="7"/>
  <c r="P18" i="7"/>
  <c r="N18" i="7"/>
  <c r="L18" i="7"/>
  <c r="D18" i="7"/>
  <c r="B18" i="7"/>
  <c r="Z17" i="7"/>
  <c r="P17" i="7"/>
  <c r="X17" i="7" s="1"/>
  <c r="N17" i="7"/>
  <c r="D17" i="7"/>
  <c r="L17" i="7" s="1"/>
  <c r="B17" i="7"/>
  <c r="Z16" i="7"/>
  <c r="P16" i="7"/>
  <c r="X16" i="7" s="1"/>
  <c r="N16" i="7"/>
  <c r="L16" i="7"/>
  <c r="D16" i="7"/>
  <c r="B16" i="7"/>
  <c r="Z15" i="7"/>
  <c r="X15" i="7"/>
  <c r="P15" i="7"/>
  <c r="N15" i="7"/>
  <c r="L15" i="7"/>
  <c r="D15" i="7"/>
  <c r="B15" i="7"/>
  <c r="P14" i="7"/>
  <c r="X14" i="7" s="1"/>
  <c r="Z14" i="7" s="1"/>
  <c r="D14" i="7"/>
  <c r="L14" i="7" s="1"/>
  <c r="N14" i="7" s="1"/>
  <c r="B14" i="7"/>
  <c r="X13" i="7"/>
  <c r="Z13" i="7" s="1"/>
  <c r="P13" i="7"/>
  <c r="D13" i="7"/>
  <c r="L13" i="7" s="1"/>
  <c r="N13" i="7" s="1"/>
  <c r="B13" i="7"/>
  <c r="T12" i="7"/>
  <c r="V124" i="7" s="1"/>
  <c r="H12" i="7"/>
  <c r="J149" i="7" s="1"/>
  <c r="D12" i="7"/>
  <c r="F60" i="7" s="1"/>
  <c r="D4" i="7"/>
  <c r="X162" i="6"/>
  <c r="Z162" i="6" s="1"/>
  <c r="L162" i="6"/>
  <c r="N162" i="6" s="1"/>
  <c r="J162" i="6"/>
  <c r="Z158" i="6"/>
  <c r="X158" i="6"/>
  <c r="V158" i="6"/>
  <c r="P158" i="6"/>
  <c r="N158" i="6"/>
  <c r="L158" i="6"/>
  <c r="D158" i="6"/>
  <c r="B158" i="6"/>
  <c r="P157" i="6"/>
  <c r="X157" i="6" s="1"/>
  <c r="Z157" i="6" s="1"/>
  <c r="L157" i="6"/>
  <c r="N157" i="6" s="1"/>
  <c r="J157" i="6"/>
  <c r="D157" i="6"/>
  <c r="B157" i="6"/>
  <c r="Z156" i="6"/>
  <c r="P156" i="6"/>
  <c r="X156" i="6" s="1"/>
  <c r="N156" i="6"/>
  <c r="D156" i="6"/>
  <c r="L156" i="6" s="1"/>
  <c r="B156" i="6"/>
  <c r="X155" i="6"/>
  <c r="Z155" i="6" s="1"/>
  <c r="P155" i="6"/>
  <c r="D155" i="6"/>
  <c r="L155" i="6" s="1"/>
  <c r="N155" i="6" s="1"/>
  <c r="B155" i="6"/>
  <c r="X154" i="6"/>
  <c r="Z154" i="6" s="1"/>
  <c r="P154" i="6"/>
  <c r="L154" i="6"/>
  <c r="N154" i="6" s="1"/>
  <c r="D154" i="6"/>
  <c r="B154" i="6"/>
  <c r="T153" i="6"/>
  <c r="H153" i="6"/>
  <c r="D153" i="6"/>
  <c r="L153" i="6" s="1"/>
  <c r="N153" i="6" s="1"/>
  <c r="X151" i="6"/>
  <c r="Z151" i="6" s="1"/>
  <c r="N151" i="6"/>
  <c r="L151" i="6"/>
  <c r="B151" i="6"/>
  <c r="X150" i="6"/>
  <c r="T150" i="6"/>
  <c r="Z150" i="6" s="1"/>
  <c r="P150" i="6"/>
  <c r="N150" i="6"/>
  <c r="H150" i="6"/>
  <c r="D150" i="6"/>
  <c r="L150" i="6" s="1"/>
  <c r="B150" i="6"/>
  <c r="X149" i="6"/>
  <c r="Z149" i="6" s="1"/>
  <c r="N149" i="6"/>
  <c r="L149" i="6"/>
  <c r="B149" i="6"/>
  <c r="Z148" i="6"/>
  <c r="X148" i="6"/>
  <c r="L148" i="6"/>
  <c r="N148" i="6" s="1"/>
  <c r="B148" i="6"/>
  <c r="Z147" i="6"/>
  <c r="X147" i="6"/>
  <c r="L147" i="6"/>
  <c r="N147" i="6" s="1"/>
  <c r="B147" i="6"/>
  <c r="X146" i="6"/>
  <c r="T146" i="6"/>
  <c r="Z146" i="6" s="1"/>
  <c r="P146" i="6"/>
  <c r="N146" i="6"/>
  <c r="H146" i="6"/>
  <c r="D146" i="6"/>
  <c r="L146" i="6" s="1"/>
  <c r="B146" i="6"/>
  <c r="X145" i="6"/>
  <c r="Z145" i="6" s="1"/>
  <c r="N145" i="6"/>
  <c r="L145" i="6"/>
  <c r="B145" i="6"/>
  <c r="Z144" i="6"/>
  <c r="T144" i="6"/>
  <c r="P144" i="6"/>
  <c r="X144" i="6" s="1"/>
  <c r="N144" i="6"/>
  <c r="J144" i="6"/>
  <c r="H144" i="6"/>
  <c r="D144" i="6"/>
  <c r="L144" i="6" s="1"/>
  <c r="B144" i="6"/>
  <c r="Z143" i="6"/>
  <c r="X143" i="6"/>
  <c r="N143" i="6"/>
  <c r="L143" i="6"/>
  <c r="B143" i="6"/>
  <c r="Z142" i="6"/>
  <c r="X142" i="6"/>
  <c r="V142" i="6"/>
  <c r="L142" i="6"/>
  <c r="N142" i="6" s="1"/>
  <c r="B142" i="6"/>
  <c r="X141" i="6"/>
  <c r="Z141" i="6" s="1"/>
  <c r="T141" i="6"/>
  <c r="P141" i="6"/>
  <c r="H141" i="6"/>
  <c r="D141" i="6"/>
  <c r="B141" i="6"/>
  <c r="X140" i="6"/>
  <c r="Z140" i="6" s="1"/>
  <c r="N140" i="6"/>
  <c r="L140" i="6"/>
  <c r="B140" i="6"/>
  <c r="X139" i="6"/>
  <c r="Z139" i="6" s="1"/>
  <c r="N139" i="6"/>
  <c r="L139" i="6"/>
  <c r="B139" i="6"/>
  <c r="Z138" i="6"/>
  <c r="X138" i="6"/>
  <c r="V138" i="6"/>
  <c r="L138" i="6"/>
  <c r="N138" i="6" s="1"/>
  <c r="B138" i="6"/>
  <c r="X137" i="6"/>
  <c r="Z137" i="6" s="1"/>
  <c r="N137" i="6"/>
  <c r="L137" i="6"/>
  <c r="B137" i="6"/>
  <c r="Z136" i="6"/>
  <c r="X136" i="6"/>
  <c r="L136" i="6"/>
  <c r="N136" i="6" s="1"/>
  <c r="B136" i="6"/>
  <c r="Z135" i="6"/>
  <c r="X135" i="6"/>
  <c r="L135" i="6"/>
  <c r="N135" i="6" s="1"/>
  <c r="B135" i="6"/>
  <c r="X134" i="6"/>
  <c r="Z134" i="6" s="1"/>
  <c r="N134" i="6"/>
  <c r="L134" i="6"/>
  <c r="B134" i="6"/>
  <c r="T133" i="6"/>
  <c r="P133" i="6"/>
  <c r="X133" i="6" s="1"/>
  <c r="Z133" i="6" s="1"/>
  <c r="H133" i="6"/>
  <c r="D133" i="6"/>
  <c r="L133" i="6" s="1"/>
  <c r="B133" i="6"/>
  <c r="Z132" i="6"/>
  <c r="X132" i="6"/>
  <c r="L132" i="6"/>
  <c r="N132" i="6" s="1"/>
  <c r="B132" i="6"/>
  <c r="Z131" i="6"/>
  <c r="X131" i="6"/>
  <c r="L131" i="6"/>
  <c r="N131" i="6" s="1"/>
  <c r="B131" i="6"/>
  <c r="X130" i="6"/>
  <c r="T130" i="6"/>
  <c r="Z130" i="6" s="1"/>
  <c r="P130" i="6"/>
  <c r="H130" i="6"/>
  <c r="D130" i="6"/>
  <c r="L130" i="6" s="1"/>
  <c r="N130" i="6" s="1"/>
  <c r="B130" i="6"/>
  <c r="X129" i="6"/>
  <c r="Z129" i="6" s="1"/>
  <c r="N129" i="6"/>
  <c r="L129" i="6"/>
  <c r="B129" i="6"/>
  <c r="Z128" i="6"/>
  <c r="X128" i="6"/>
  <c r="N128" i="6"/>
  <c r="L128" i="6"/>
  <c r="B128" i="6"/>
  <c r="Z127" i="6"/>
  <c r="X127" i="6"/>
  <c r="L127" i="6"/>
  <c r="N127" i="6" s="1"/>
  <c r="B127" i="6"/>
  <c r="X126" i="6"/>
  <c r="Z126" i="6" s="1"/>
  <c r="N126" i="6"/>
  <c r="L126" i="6"/>
  <c r="B126" i="6"/>
  <c r="T125" i="6"/>
  <c r="P125" i="6"/>
  <c r="X125" i="6" s="1"/>
  <c r="Z125" i="6" s="1"/>
  <c r="H125" i="6"/>
  <c r="D125" i="6"/>
  <c r="L125" i="6" s="1"/>
  <c r="B125" i="6"/>
  <c r="Z124" i="6"/>
  <c r="X124" i="6"/>
  <c r="L124" i="6"/>
  <c r="N124" i="6" s="1"/>
  <c r="B124" i="6"/>
  <c r="Z123" i="6"/>
  <c r="X123" i="6"/>
  <c r="N123" i="6"/>
  <c r="L123" i="6"/>
  <c r="B123" i="6"/>
  <c r="X122" i="6"/>
  <c r="Z122" i="6" s="1"/>
  <c r="N122" i="6"/>
  <c r="L122" i="6"/>
  <c r="J122" i="6"/>
  <c r="B122" i="6"/>
  <c r="Z121" i="6"/>
  <c r="X121" i="6"/>
  <c r="L121" i="6"/>
  <c r="N121" i="6" s="1"/>
  <c r="B121" i="6"/>
  <c r="X120" i="6"/>
  <c r="T120" i="6"/>
  <c r="Z120" i="6" s="1"/>
  <c r="P120" i="6"/>
  <c r="L120" i="6"/>
  <c r="H120" i="6"/>
  <c r="N120" i="6" s="1"/>
  <c r="D120" i="6"/>
  <c r="B120" i="6"/>
  <c r="X119" i="6"/>
  <c r="Z119" i="6" s="1"/>
  <c r="L119" i="6"/>
  <c r="N119" i="6" s="1"/>
  <c r="B119" i="6"/>
  <c r="X118" i="6"/>
  <c r="Z118" i="6" s="1"/>
  <c r="N118" i="6"/>
  <c r="L118" i="6"/>
  <c r="J118" i="6"/>
  <c r="B118" i="6"/>
  <c r="Z117" i="6"/>
  <c r="X117" i="6"/>
  <c r="L117" i="6"/>
  <c r="N117" i="6" s="1"/>
  <c r="B117" i="6"/>
  <c r="X116" i="6"/>
  <c r="Z116" i="6" s="1"/>
  <c r="N116" i="6"/>
  <c r="L116" i="6"/>
  <c r="B116" i="6"/>
  <c r="T115" i="6"/>
  <c r="P115" i="6"/>
  <c r="H115" i="6"/>
  <c r="D115" i="6"/>
  <c r="L115" i="6" s="1"/>
  <c r="N115" i="6" s="1"/>
  <c r="B115" i="6"/>
  <c r="X114" i="6"/>
  <c r="Z114" i="6" s="1"/>
  <c r="N114" i="6"/>
  <c r="L114" i="6"/>
  <c r="B114" i="6"/>
  <c r="T113" i="6"/>
  <c r="P113" i="6"/>
  <c r="X113" i="6" s="1"/>
  <c r="Z113" i="6" s="1"/>
  <c r="H113" i="6"/>
  <c r="N113" i="6" s="1"/>
  <c r="D113" i="6"/>
  <c r="L113" i="6" s="1"/>
  <c r="B113" i="6"/>
  <c r="Z112" i="6"/>
  <c r="X112" i="6"/>
  <c r="N112" i="6"/>
  <c r="L112" i="6"/>
  <c r="B112" i="6"/>
  <c r="T111" i="6"/>
  <c r="Z111" i="6" s="1"/>
  <c r="P111" i="6"/>
  <c r="X111" i="6" s="1"/>
  <c r="N111" i="6"/>
  <c r="L111" i="6"/>
  <c r="H111" i="6"/>
  <c r="D111" i="6"/>
  <c r="B111" i="6"/>
  <c r="Z110" i="6"/>
  <c r="X110" i="6"/>
  <c r="L110" i="6"/>
  <c r="N110" i="6" s="1"/>
  <c r="B110" i="6"/>
  <c r="X109" i="6"/>
  <c r="Z109" i="6" s="1"/>
  <c r="T109" i="6"/>
  <c r="P109" i="6"/>
  <c r="H109" i="6"/>
  <c r="D109" i="6"/>
  <c r="B109" i="6"/>
  <c r="X108" i="6"/>
  <c r="Z108" i="6" s="1"/>
  <c r="N108" i="6"/>
  <c r="L108" i="6"/>
  <c r="B108" i="6"/>
  <c r="T107" i="6"/>
  <c r="P107" i="6"/>
  <c r="H107" i="6"/>
  <c r="D107" i="6"/>
  <c r="L107" i="6" s="1"/>
  <c r="N107" i="6" s="1"/>
  <c r="B107" i="6"/>
  <c r="X106" i="6"/>
  <c r="Z106" i="6" s="1"/>
  <c r="N106" i="6"/>
  <c r="L106" i="6"/>
  <c r="J106" i="6"/>
  <c r="B106" i="6"/>
  <c r="T105" i="6"/>
  <c r="P105" i="6"/>
  <c r="X105" i="6" s="1"/>
  <c r="Z105" i="6" s="1"/>
  <c r="H105" i="6"/>
  <c r="N105" i="6" s="1"/>
  <c r="D105" i="6"/>
  <c r="L105" i="6" s="1"/>
  <c r="B105" i="6"/>
  <c r="Z104" i="6"/>
  <c r="X104" i="6"/>
  <c r="N104" i="6"/>
  <c r="L104" i="6"/>
  <c r="B104" i="6"/>
  <c r="X103" i="6"/>
  <c r="Z103" i="6" s="1"/>
  <c r="N103" i="6"/>
  <c r="L103" i="6"/>
  <c r="B103" i="6"/>
  <c r="X102" i="6"/>
  <c r="Z102" i="6" s="1"/>
  <c r="T102" i="6"/>
  <c r="P102" i="6"/>
  <c r="N102" i="6"/>
  <c r="H102" i="6"/>
  <c r="D102" i="6"/>
  <c r="L102" i="6" s="1"/>
  <c r="B102" i="6"/>
  <c r="X101" i="6"/>
  <c r="Z101" i="6" s="1"/>
  <c r="N101" i="6"/>
  <c r="L101" i="6"/>
  <c r="B101" i="6"/>
  <c r="Z100" i="6"/>
  <c r="X100" i="6"/>
  <c r="N100" i="6"/>
  <c r="L100" i="6"/>
  <c r="B100" i="6"/>
  <c r="T99" i="6"/>
  <c r="Z99" i="6" s="1"/>
  <c r="P99" i="6"/>
  <c r="X99" i="6" s="1"/>
  <c r="L99" i="6"/>
  <c r="N99" i="6" s="1"/>
  <c r="H99" i="6"/>
  <c r="D99" i="6"/>
  <c r="B99" i="6"/>
  <c r="Z98" i="6"/>
  <c r="X98" i="6"/>
  <c r="V98" i="6"/>
  <c r="L98" i="6"/>
  <c r="N98" i="6" s="1"/>
  <c r="B98" i="6"/>
  <c r="X97" i="6"/>
  <c r="Z97" i="6" s="1"/>
  <c r="T97" i="6"/>
  <c r="P97" i="6"/>
  <c r="H97" i="6"/>
  <c r="D97" i="6"/>
  <c r="B97" i="6"/>
  <c r="Z96" i="6"/>
  <c r="X96" i="6"/>
  <c r="N96" i="6"/>
  <c r="L96" i="6"/>
  <c r="B96" i="6"/>
  <c r="T95" i="6"/>
  <c r="P95" i="6"/>
  <c r="H95" i="6"/>
  <c r="D95" i="6"/>
  <c r="L95" i="6" s="1"/>
  <c r="N95" i="6" s="1"/>
  <c r="B95" i="6"/>
  <c r="X94" i="6"/>
  <c r="Z94" i="6" s="1"/>
  <c r="N94" i="6"/>
  <c r="L94" i="6"/>
  <c r="J94" i="6"/>
  <c r="B94" i="6"/>
  <c r="T93" i="6"/>
  <c r="P93" i="6"/>
  <c r="X93" i="6" s="1"/>
  <c r="Z93" i="6" s="1"/>
  <c r="H93" i="6"/>
  <c r="D93" i="6"/>
  <c r="L93" i="6" s="1"/>
  <c r="B93" i="6"/>
  <c r="Z92" i="6"/>
  <c r="X92" i="6"/>
  <c r="N92" i="6"/>
  <c r="L92" i="6"/>
  <c r="B92" i="6"/>
  <c r="Z91" i="6"/>
  <c r="X91" i="6"/>
  <c r="N91" i="6"/>
  <c r="L91" i="6"/>
  <c r="B91" i="6"/>
  <c r="Z90" i="6"/>
  <c r="X90" i="6"/>
  <c r="T90" i="6"/>
  <c r="P90" i="6"/>
  <c r="N90" i="6"/>
  <c r="H90" i="6"/>
  <c r="D90" i="6"/>
  <c r="L90" i="6" s="1"/>
  <c r="B90" i="6"/>
  <c r="X89" i="6"/>
  <c r="Z89" i="6" s="1"/>
  <c r="N89" i="6"/>
  <c r="L89" i="6"/>
  <c r="B89" i="6"/>
  <c r="Z88" i="6"/>
  <c r="X88" i="6"/>
  <c r="N88" i="6"/>
  <c r="L88" i="6"/>
  <c r="B88" i="6"/>
  <c r="T87" i="6"/>
  <c r="Z87" i="6" s="1"/>
  <c r="P87" i="6"/>
  <c r="X87" i="6" s="1"/>
  <c r="L87" i="6"/>
  <c r="N87" i="6" s="1"/>
  <c r="H87" i="6"/>
  <c r="D87" i="6"/>
  <c r="B87" i="6"/>
  <c r="Z86" i="6"/>
  <c r="X86" i="6"/>
  <c r="L86" i="6"/>
  <c r="N86" i="6" s="1"/>
  <c r="B86" i="6"/>
  <c r="X85" i="6"/>
  <c r="Z85" i="6" s="1"/>
  <c r="T85" i="6"/>
  <c r="P85" i="6"/>
  <c r="H85" i="6"/>
  <c r="D85" i="6"/>
  <c r="B85" i="6"/>
  <c r="X84" i="6"/>
  <c r="Z84" i="6" s="1"/>
  <c r="N84" i="6"/>
  <c r="L84" i="6"/>
  <c r="B84" i="6"/>
  <c r="T83" i="6"/>
  <c r="P83" i="6"/>
  <c r="H83" i="6"/>
  <c r="D83" i="6"/>
  <c r="L83" i="6" s="1"/>
  <c r="N83" i="6" s="1"/>
  <c r="B83" i="6"/>
  <c r="X82" i="6"/>
  <c r="Z82" i="6" s="1"/>
  <c r="N82" i="6"/>
  <c r="L82" i="6"/>
  <c r="J82" i="6"/>
  <c r="B82" i="6"/>
  <c r="T81" i="6"/>
  <c r="P81" i="6"/>
  <c r="X81" i="6" s="1"/>
  <c r="Z81" i="6" s="1"/>
  <c r="H81" i="6"/>
  <c r="D81" i="6"/>
  <c r="L81" i="6" s="1"/>
  <c r="B81" i="6"/>
  <c r="Z80" i="6"/>
  <c r="X80" i="6"/>
  <c r="N80" i="6"/>
  <c r="L80" i="6"/>
  <c r="B80" i="6"/>
  <c r="Z79" i="6"/>
  <c r="X79" i="6"/>
  <c r="N79" i="6"/>
  <c r="L79" i="6"/>
  <c r="B79" i="6"/>
  <c r="X78" i="6"/>
  <c r="Z78" i="6" s="1"/>
  <c r="N78" i="6"/>
  <c r="L78" i="6"/>
  <c r="J78" i="6"/>
  <c r="B78" i="6"/>
  <c r="Z77" i="6"/>
  <c r="X77" i="6"/>
  <c r="L77" i="6"/>
  <c r="N77" i="6" s="1"/>
  <c r="B77" i="6"/>
  <c r="Z76" i="6"/>
  <c r="X76" i="6"/>
  <c r="N76" i="6"/>
  <c r="L76" i="6"/>
  <c r="B76" i="6"/>
  <c r="X75" i="6"/>
  <c r="Z75" i="6" s="1"/>
  <c r="L75" i="6"/>
  <c r="N75" i="6" s="1"/>
  <c r="B75" i="6"/>
  <c r="Z74" i="6"/>
  <c r="X74" i="6"/>
  <c r="L74" i="6"/>
  <c r="N74" i="6" s="1"/>
  <c r="B74" i="6"/>
  <c r="Z73" i="6"/>
  <c r="X73" i="6"/>
  <c r="N73" i="6"/>
  <c r="L73" i="6"/>
  <c r="B73" i="6"/>
  <c r="Z72" i="6"/>
  <c r="X72" i="6"/>
  <c r="N72" i="6"/>
  <c r="L72" i="6"/>
  <c r="B72" i="6"/>
  <c r="X71" i="6"/>
  <c r="Z71" i="6" s="1"/>
  <c r="L71" i="6"/>
  <c r="N71" i="6" s="1"/>
  <c r="B71" i="6"/>
  <c r="X70" i="6"/>
  <c r="T70" i="6"/>
  <c r="Z70" i="6" s="1"/>
  <c r="P70" i="6"/>
  <c r="N70" i="6"/>
  <c r="H70" i="6"/>
  <c r="D70" i="6"/>
  <c r="L70" i="6" s="1"/>
  <c r="B70" i="6"/>
  <c r="X69" i="6"/>
  <c r="Z69" i="6" s="1"/>
  <c r="N69" i="6"/>
  <c r="L69" i="6"/>
  <c r="B69" i="6"/>
  <c r="Z68" i="6"/>
  <c r="X68" i="6"/>
  <c r="L68" i="6"/>
  <c r="N68" i="6" s="1"/>
  <c r="B68" i="6"/>
  <c r="X67" i="6"/>
  <c r="Z67" i="6" s="1"/>
  <c r="L67" i="6"/>
  <c r="N67" i="6" s="1"/>
  <c r="B67" i="6"/>
  <c r="Z66" i="6"/>
  <c r="X66" i="6"/>
  <c r="N66" i="6"/>
  <c r="L66" i="6"/>
  <c r="B66" i="6"/>
  <c r="Z65" i="6"/>
  <c r="X65" i="6"/>
  <c r="N65" i="6"/>
  <c r="L65" i="6"/>
  <c r="B65" i="6"/>
  <c r="X64" i="6"/>
  <c r="Z64" i="6" s="1"/>
  <c r="N64" i="6"/>
  <c r="L64" i="6"/>
  <c r="B64" i="6"/>
  <c r="X63" i="6"/>
  <c r="Z63" i="6" s="1"/>
  <c r="L63" i="6"/>
  <c r="N63" i="6" s="1"/>
  <c r="B63" i="6"/>
  <c r="Z62" i="6"/>
  <c r="X62" i="6"/>
  <c r="L62" i="6"/>
  <c r="N62" i="6" s="1"/>
  <c r="B62" i="6"/>
  <c r="X61" i="6"/>
  <c r="Z61" i="6" s="1"/>
  <c r="N61" i="6"/>
  <c r="L61" i="6"/>
  <c r="B61" i="6"/>
  <c r="Z60" i="6"/>
  <c r="X60" i="6"/>
  <c r="L60" i="6"/>
  <c r="N60" i="6" s="1"/>
  <c r="B60" i="6"/>
  <c r="T59" i="6"/>
  <c r="Z59" i="6" s="1"/>
  <c r="P59" i="6"/>
  <c r="X59" i="6" s="1"/>
  <c r="L59" i="6"/>
  <c r="N59" i="6" s="1"/>
  <c r="H59" i="6"/>
  <c r="D59" i="6"/>
  <c r="B59" i="6"/>
  <c r="T58" i="6" a="1"/>
  <c r="T58" i="6" s="1"/>
  <c r="P58" i="6" a="1"/>
  <c r="P58" i="6" s="1"/>
  <c r="H58" i="6" a="1"/>
  <c r="H58" i="6" s="1"/>
  <c r="J58" i="6" s="1"/>
  <c r="D58" i="6" a="1"/>
  <c r="D58" i="6" s="1"/>
  <c r="Z54" i="6"/>
  <c r="X54" i="6"/>
  <c r="V54" i="6"/>
  <c r="N54" i="6"/>
  <c r="L54" i="6"/>
  <c r="J54" i="6"/>
  <c r="B54" i="6"/>
  <c r="Z53" i="6"/>
  <c r="X53" i="6"/>
  <c r="N53" i="6"/>
  <c r="L53" i="6"/>
  <c r="B53" i="6"/>
  <c r="Z52" i="6"/>
  <c r="X52" i="6"/>
  <c r="N52" i="6"/>
  <c r="L52" i="6"/>
  <c r="B52" i="6"/>
  <c r="Z51" i="6"/>
  <c r="X51" i="6"/>
  <c r="N51" i="6"/>
  <c r="L51" i="6"/>
  <c r="B51" i="6"/>
  <c r="Z50" i="6"/>
  <c r="X50" i="6"/>
  <c r="N50" i="6"/>
  <c r="L50" i="6"/>
  <c r="J50" i="6"/>
  <c r="B50" i="6"/>
  <c r="Z49" i="6"/>
  <c r="X49" i="6"/>
  <c r="N49" i="6"/>
  <c r="L49" i="6"/>
  <c r="B49" i="6"/>
  <c r="Z48" i="6"/>
  <c r="X48" i="6"/>
  <c r="N48" i="6"/>
  <c r="L48" i="6"/>
  <c r="B48" i="6"/>
  <c r="Z47" i="6"/>
  <c r="X47" i="6"/>
  <c r="N47" i="6"/>
  <c r="L47" i="6"/>
  <c r="B47" i="6"/>
  <c r="Z46" i="6"/>
  <c r="X46" i="6"/>
  <c r="V46" i="6"/>
  <c r="N46" i="6"/>
  <c r="L46" i="6"/>
  <c r="J46" i="6"/>
  <c r="B46" i="6"/>
  <c r="Z45" i="6"/>
  <c r="X45" i="6"/>
  <c r="N45" i="6"/>
  <c r="L45" i="6"/>
  <c r="J45" i="6"/>
  <c r="B45" i="6"/>
  <c r="Z44" i="6"/>
  <c r="X44" i="6"/>
  <c r="N44" i="6"/>
  <c r="L44" i="6"/>
  <c r="B44" i="6"/>
  <c r="Z43" i="6"/>
  <c r="X43" i="6"/>
  <c r="N43" i="6"/>
  <c r="L43" i="6"/>
  <c r="B43" i="6"/>
  <c r="Z42" i="6"/>
  <c r="X42" i="6"/>
  <c r="N42" i="6"/>
  <c r="L42" i="6"/>
  <c r="B42" i="6"/>
  <c r="Z41" i="6"/>
  <c r="X41" i="6"/>
  <c r="N41" i="6"/>
  <c r="L41" i="6"/>
  <c r="B41" i="6"/>
  <c r="Z40" i="6"/>
  <c r="X40" i="6"/>
  <c r="N40" i="6"/>
  <c r="L40" i="6"/>
  <c r="B40" i="6"/>
  <c r="Z39" i="6"/>
  <c r="X39" i="6"/>
  <c r="N39" i="6"/>
  <c r="L39" i="6"/>
  <c r="J39" i="6"/>
  <c r="B39" i="6"/>
  <c r="Z38" i="6"/>
  <c r="X38" i="6"/>
  <c r="V38" i="6"/>
  <c r="N38" i="6"/>
  <c r="L38" i="6"/>
  <c r="J38" i="6"/>
  <c r="B38" i="6"/>
  <c r="Z37" i="6"/>
  <c r="X37" i="6"/>
  <c r="N37" i="6"/>
  <c r="L37" i="6"/>
  <c r="J37" i="6"/>
  <c r="B37" i="6"/>
  <c r="Z36" i="6"/>
  <c r="X36" i="6"/>
  <c r="N36" i="6"/>
  <c r="L36" i="6"/>
  <c r="J36" i="6"/>
  <c r="B36" i="6"/>
  <c r="Z35" i="6"/>
  <c r="X35" i="6"/>
  <c r="N35" i="6"/>
  <c r="L35" i="6"/>
  <c r="J35" i="6"/>
  <c r="B35" i="6"/>
  <c r="Z34" i="6"/>
  <c r="X34" i="6"/>
  <c r="V34" i="6"/>
  <c r="N34" i="6"/>
  <c r="L34" i="6"/>
  <c r="J34" i="6"/>
  <c r="B34" i="6"/>
  <c r="Z33" i="6"/>
  <c r="X33" i="6"/>
  <c r="V33" i="6"/>
  <c r="N33" i="6"/>
  <c r="L33" i="6"/>
  <c r="B33" i="6"/>
  <c r="Z32" i="6"/>
  <c r="X32" i="6"/>
  <c r="N32" i="6"/>
  <c r="L32" i="6"/>
  <c r="B32" i="6"/>
  <c r="Z31" i="6"/>
  <c r="X31" i="6"/>
  <c r="N31" i="6"/>
  <c r="L31" i="6"/>
  <c r="J31" i="6"/>
  <c r="B31" i="6"/>
  <c r="Z30" i="6"/>
  <c r="X30" i="6"/>
  <c r="V30" i="6"/>
  <c r="N30" i="6"/>
  <c r="L30" i="6"/>
  <c r="J30" i="6"/>
  <c r="B30" i="6"/>
  <c r="Z29" i="6"/>
  <c r="X29" i="6"/>
  <c r="N29" i="6"/>
  <c r="L29" i="6"/>
  <c r="J29" i="6"/>
  <c r="B29" i="6"/>
  <c r="Z28" i="6"/>
  <c r="X28" i="6"/>
  <c r="N28" i="6"/>
  <c r="L28" i="6"/>
  <c r="J28" i="6"/>
  <c r="B28" i="6"/>
  <c r="Z27" i="6"/>
  <c r="X27" i="6"/>
  <c r="V27" i="6"/>
  <c r="N27" i="6"/>
  <c r="L27" i="6"/>
  <c r="J27" i="6"/>
  <c r="B27" i="6"/>
  <c r="X26" i="6"/>
  <c r="Z26" i="6" s="1"/>
  <c r="V26" i="6"/>
  <c r="N26" i="6"/>
  <c r="L26" i="6"/>
  <c r="J26" i="6"/>
  <c r="B26" i="6"/>
  <c r="V25" i="6"/>
  <c r="T25" i="6"/>
  <c r="P25" i="6"/>
  <c r="X25" i="6" s="1"/>
  <c r="Z25" i="6" s="1"/>
  <c r="H25" i="6"/>
  <c r="J25" i="6" s="1"/>
  <c r="D25" i="6"/>
  <c r="L25" i="6" s="1"/>
  <c r="Z23" i="6"/>
  <c r="X23" i="6"/>
  <c r="P23" i="6"/>
  <c r="N23" i="6"/>
  <c r="D23" i="6"/>
  <c r="L23" i="6" s="1"/>
  <c r="B23" i="6"/>
  <c r="Z22" i="6"/>
  <c r="P22" i="6"/>
  <c r="X22" i="6" s="1"/>
  <c r="N22" i="6"/>
  <c r="D22" i="6"/>
  <c r="L22" i="6" s="1"/>
  <c r="B22" i="6"/>
  <c r="Z21" i="6"/>
  <c r="X21" i="6"/>
  <c r="P21" i="6"/>
  <c r="N21" i="6"/>
  <c r="D21" i="6"/>
  <c r="L21" i="6" s="1"/>
  <c r="B21" i="6"/>
  <c r="Z20" i="6"/>
  <c r="X20" i="6"/>
  <c r="P20" i="6"/>
  <c r="N20" i="6"/>
  <c r="L20" i="6"/>
  <c r="D20" i="6"/>
  <c r="B20" i="6"/>
  <c r="Z19" i="6"/>
  <c r="X19" i="6"/>
  <c r="P19" i="6"/>
  <c r="N19" i="6"/>
  <c r="D19" i="6"/>
  <c r="L19" i="6" s="1"/>
  <c r="B19" i="6"/>
  <c r="Z18" i="6"/>
  <c r="P18" i="6"/>
  <c r="X18" i="6" s="1"/>
  <c r="N18" i="6"/>
  <c r="L18" i="6"/>
  <c r="D18" i="6"/>
  <c r="B18" i="6"/>
  <c r="Z17" i="6"/>
  <c r="P17" i="6"/>
  <c r="X17" i="6" s="1"/>
  <c r="N17" i="6"/>
  <c r="L17" i="6"/>
  <c r="D17" i="6"/>
  <c r="B17" i="6"/>
  <c r="P16" i="6"/>
  <c r="X16" i="6" s="1"/>
  <c r="Z16" i="6" s="1"/>
  <c r="L16" i="6"/>
  <c r="N16" i="6" s="1"/>
  <c r="D16" i="6"/>
  <c r="B16" i="6"/>
  <c r="Z15" i="6"/>
  <c r="X15" i="6"/>
  <c r="P15" i="6"/>
  <c r="N15" i="6"/>
  <c r="D15" i="6"/>
  <c r="D12" i="6" s="1"/>
  <c r="B15" i="6"/>
  <c r="Z14" i="6"/>
  <c r="P14" i="6"/>
  <c r="X14" i="6" s="1"/>
  <c r="N14" i="6"/>
  <c r="D14" i="6"/>
  <c r="L14" i="6" s="1"/>
  <c r="B14" i="6"/>
  <c r="Z13" i="6"/>
  <c r="X13" i="6"/>
  <c r="P13" i="6"/>
  <c r="D13" i="6"/>
  <c r="L13" i="6" s="1"/>
  <c r="N13" i="6" s="1"/>
  <c r="B13" i="6"/>
  <c r="T12" i="6"/>
  <c r="V110" i="6" s="1"/>
  <c r="H12" i="6"/>
  <c r="D4" i="6"/>
  <c r="J104" i="5"/>
  <c r="V101" i="5"/>
  <c r="F101" i="5"/>
  <c r="Z99" i="5"/>
  <c r="X99" i="5"/>
  <c r="R99" i="5"/>
  <c r="N99" i="5"/>
  <c r="L99" i="5"/>
  <c r="J99" i="5"/>
  <c r="F99" i="5"/>
  <c r="J97" i="5"/>
  <c r="V95" i="5"/>
  <c r="T95" i="5"/>
  <c r="Z95" i="5" s="1"/>
  <c r="P95" i="5"/>
  <c r="X95" i="5" s="1"/>
  <c r="N95" i="5"/>
  <c r="L95" i="5"/>
  <c r="H95" i="5"/>
  <c r="F95" i="5"/>
  <c r="D95" i="5"/>
  <c r="Z93" i="5"/>
  <c r="X93" i="5"/>
  <c r="R93" i="5"/>
  <c r="N93" i="5"/>
  <c r="L93" i="5"/>
  <c r="J93" i="5"/>
  <c r="F93" i="5"/>
  <c r="B93" i="5"/>
  <c r="Z92" i="5"/>
  <c r="X92" i="5"/>
  <c r="V92" i="5"/>
  <c r="N92" i="5"/>
  <c r="L92" i="5"/>
  <c r="J92" i="5"/>
  <c r="F92" i="5"/>
  <c r="B92" i="5"/>
  <c r="X91" i="5"/>
  <c r="Z91" i="5" s="1"/>
  <c r="T91" i="5"/>
  <c r="P91" i="5"/>
  <c r="H91" i="5"/>
  <c r="N91" i="5" s="1"/>
  <c r="D91" i="5"/>
  <c r="B91" i="5"/>
  <c r="Z90" i="5"/>
  <c r="X90" i="5"/>
  <c r="N90" i="5"/>
  <c r="L90" i="5"/>
  <c r="F90" i="5"/>
  <c r="B90" i="5"/>
  <c r="T89" i="5"/>
  <c r="P89" i="5"/>
  <c r="J89" i="5"/>
  <c r="H89" i="5"/>
  <c r="D89" i="5"/>
  <c r="L89" i="5" s="1"/>
  <c r="N89" i="5" s="1"/>
  <c r="B89" i="5"/>
  <c r="X88" i="5"/>
  <c r="Z88" i="5" s="1"/>
  <c r="V88" i="5"/>
  <c r="N88" i="5"/>
  <c r="L88" i="5"/>
  <c r="J88" i="5"/>
  <c r="B88" i="5"/>
  <c r="X87" i="5"/>
  <c r="Z87" i="5" s="1"/>
  <c r="V87" i="5"/>
  <c r="L87" i="5"/>
  <c r="N87" i="5" s="1"/>
  <c r="B87" i="5"/>
  <c r="Z86" i="5"/>
  <c r="X86" i="5"/>
  <c r="T86" i="5"/>
  <c r="R86" i="5"/>
  <c r="P86" i="5"/>
  <c r="J86" i="5"/>
  <c r="H86" i="5"/>
  <c r="D86" i="5"/>
  <c r="B86" i="5"/>
  <c r="Z85" i="5"/>
  <c r="X85" i="5"/>
  <c r="V85" i="5"/>
  <c r="R85" i="5"/>
  <c r="N85" i="5"/>
  <c r="L85" i="5"/>
  <c r="F85" i="5"/>
  <c r="B85" i="5"/>
  <c r="X84" i="5"/>
  <c r="Z84" i="5" s="1"/>
  <c r="V84" i="5"/>
  <c r="N84" i="5"/>
  <c r="L84" i="5"/>
  <c r="J84" i="5"/>
  <c r="B84" i="5"/>
  <c r="X83" i="5"/>
  <c r="Z83" i="5" s="1"/>
  <c r="V83" i="5"/>
  <c r="L83" i="5"/>
  <c r="N83" i="5" s="1"/>
  <c r="B83" i="5"/>
  <c r="Z82" i="5"/>
  <c r="X82" i="5"/>
  <c r="N82" i="5"/>
  <c r="L82" i="5"/>
  <c r="F82" i="5"/>
  <c r="B82" i="5"/>
  <c r="Z81" i="5"/>
  <c r="X81" i="5"/>
  <c r="R81" i="5"/>
  <c r="N81" i="5"/>
  <c r="L81" i="5"/>
  <c r="J81" i="5"/>
  <c r="F81" i="5"/>
  <c r="B81" i="5"/>
  <c r="Z80" i="5"/>
  <c r="X80" i="5"/>
  <c r="V80" i="5"/>
  <c r="L80" i="5"/>
  <c r="N80" i="5" s="1"/>
  <c r="J80" i="5"/>
  <c r="F80" i="5"/>
  <c r="B80" i="5"/>
  <c r="X79" i="5"/>
  <c r="Z79" i="5" s="1"/>
  <c r="T79" i="5"/>
  <c r="P79" i="5"/>
  <c r="H79" i="5"/>
  <c r="D79" i="5"/>
  <c r="B79" i="5"/>
  <c r="Z78" i="5"/>
  <c r="X78" i="5"/>
  <c r="N78" i="5"/>
  <c r="L78" i="5"/>
  <c r="F78" i="5"/>
  <c r="B78" i="5"/>
  <c r="Z77" i="5"/>
  <c r="X77" i="5"/>
  <c r="R77" i="5"/>
  <c r="L77" i="5"/>
  <c r="N77" i="5" s="1"/>
  <c r="J77" i="5"/>
  <c r="F77" i="5"/>
  <c r="B77" i="5"/>
  <c r="V76" i="5"/>
  <c r="T76" i="5"/>
  <c r="P76" i="5"/>
  <c r="X76" i="5" s="1"/>
  <c r="Z76" i="5" s="1"/>
  <c r="N76" i="5"/>
  <c r="L76" i="5"/>
  <c r="H76" i="5"/>
  <c r="F76" i="5"/>
  <c r="D76" i="5"/>
  <c r="B76" i="5"/>
  <c r="X75" i="5"/>
  <c r="Z75" i="5" s="1"/>
  <c r="V75" i="5"/>
  <c r="L75" i="5"/>
  <c r="N75" i="5" s="1"/>
  <c r="B75" i="5"/>
  <c r="Z74" i="5"/>
  <c r="X74" i="5"/>
  <c r="N74" i="5"/>
  <c r="L74" i="5"/>
  <c r="F74" i="5"/>
  <c r="B74" i="5"/>
  <c r="T73" i="5"/>
  <c r="P73" i="5"/>
  <c r="J73" i="5"/>
  <c r="H73" i="5"/>
  <c r="D73" i="5"/>
  <c r="L73" i="5" s="1"/>
  <c r="N73" i="5" s="1"/>
  <c r="B73" i="5"/>
  <c r="X72" i="5"/>
  <c r="Z72" i="5" s="1"/>
  <c r="V72" i="5"/>
  <c r="N72" i="5"/>
  <c r="L72" i="5"/>
  <c r="J72" i="5"/>
  <c r="B72" i="5"/>
  <c r="X71" i="5"/>
  <c r="Z71" i="5" s="1"/>
  <c r="V71" i="5"/>
  <c r="L71" i="5"/>
  <c r="N71" i="5" s="1"/>
  <c r="B71" i="5"/>
  <c r="Z70" i="5"/>
  <c r="X70" i="5"/>
  <c r="N70" i="5"/>
  <c r="L70" i="5"/>
  <c r="F70" i="5"/>
  <c r="B70" i="5"/>
  <c r="Z69" i="5"/>
  <c r="X69" i="5"/>
  <c r="R69" i="5"/>
  <c r="L69" i="5"/>
  <c r="N69" i="5" s="1"/>
  <c r="J69" i="5"/>
  <c r="F69" i="5"/>
  <c r="B69" i="5"/>
  <c r="V68" i="5"/>
  <c r="T68" i="5"/>
  <c r="P68" i="5"/>
  <c r="X68" i="5" s="1"/>
  <c r="Z68" i="5" s="1"/>
  <c r="N68" i="5"/>
  <c r="L68" i="5"/>
  <c r="H68" i="5"/>
  <c r="F68" i="5"/>
  <c r="D68" i="5"/>
  <c r="B68" i="5"/>
  <c r="X67" i="5"/>
  <c r="Z67" i="5" s="1"/>
  <c r="V67" i="5"/>
  <c r="L67" i="5"/>
  <c r="N67" i="5" s="1"/>
  <c r="B67" i="5"/>
  <c r="Z66" i="5"/>
  <c r="X66" i="5"/>
  <c r="N66" i="5"/>
  <c r="L66" i="5"/>
  <c r="F66" i="5"/>
  <c r="B66" i="5"/>
  <c r="Z65" i="5"/>
  <c r="X65" i="5"/>
  <c r="R65" i="5"/>
  <c r="N65" i="5"/>
  <c r="L65" i="5"/>
  <c r="J65" i="5"/>
  <c r="F65" i="5"/>
  <c r="B65" i="5"/>
  <c r="Z64" i="5"/>
  <c r="X64" i="5"/>
  <c r="V64" i="5"/>
  <c r="N64" i="5"/>
  <c r="L64" i="5"/>
  <c r="J64" i="5"/>
  <c r="F64" i="5"/>
  <c r="B64" i="5"/>
  <c r="X63" i="5"/>
  <c r="Z63" i="5" s="1"/>
  <c r="T63" i="5"/>
  <c r="P63" i="5"/>
  <c r="H63" i="5"/>
  <c r="D63" i="5"/>
  <c r="B63" i="5"/>
  <c r="Z62" i="5"/>
  <c r="X62" i="5"/>
  <c r="N62" i="5"/>
  <c r="L62" i="5"/>
  <c r="F62" i="5"/>
  <c r="B62" i="5"/>
  <c r="T61" i="5"/>
  <c r="P61" i="5"/>
  <c r="J61" i="5"/>
  <c r="H61" i="5"/>
  <c r="D61" i="5"/>
  <c r="L61" i="5" s="1"/>
  <c r="N61" i="5" s="1"/>
  <c r="B61" i="5"/>
  <c r="X60" i="5"/>
  <c r="Z60" i="5" s="1"/>
  <c r="V60" i="5"/>
  <c r="N60" i="5"/>
  <c r="L60" i="5"/>
  <c r="J60" i="5"/>
  <c r="B60" i="5"/>
  <c r="V59" i="5"/>
  <c r="T59" i="5"/>
  <c r="P59" i="5"/>
  <c r="X59" i="5" s="1"/>
  <c r="Z59" i="5" s="1"/>
  <c r="J59" i="5"/>
  <c r="H59" i="5"/>
  <c r="N59" i="5" s="1"/>
  <c r="F59" i="5"/>
  <c r="D59" i="5"/>
  <c r="L59" i="5" s="1"/>
  <c r="B59" i="5"/>
  <c r="Z58" i="5"/>
  <c r="X58" i="5"/>
  <c r="N58" i="5"/>
  <c r="L58" i="5"/>
  <c r="B58" i="5"/>
  <c r="V57" i="5"/>
  <c r="T57" i="5"/>
  <c r="P57" i="5"/>
  <c r="X57" i="5" s="1"/>
  <c r="L57" i="5"/>
  <c r="N57" i="5" s="1"/>
  <c r="H57" i="5"/>
  <c r="F57" i="5"/>
  <c r="D57" i="5"/>
  <c r="B57" i="5"/>
  <c r="Z56" i="5"/>
  <c r="X56" i="5"/>
  <c r="V56" i="5"/>
  <c r="L56" i="5"/>
  <c r="N56" i="5" s="1"/>
  <c r="J56" i="5"/>
  <c r="F56" i="5"/>
  <c r="B56" i="5"/>
  <c r="X55" i="5"/>
  <c r="Z55" i="5" s="1"/>
  <c r="T55" i="5"/>
  <c r="P55" i="5"/>
  <c r="H55" i="5"/>
  <c r="D55" i="5"/>
  <c r="B55" i="5"/>
  <c r="Z54" i="5"/>
  <c r="X54" i="5"/>
  <c r="N54" i="5"/>
  <c r="L54" i="5"/>
  <c r="F54" i="5"/>
  <c r="B54" i="5"/>
  <c r="T53" i="5"/>
  <c r="P53" i="5"/>
  <c r="J53" i="5"/>
  <c r="H53" i="5"/>
  <c r="D53" i="5"/>
  <c r="L53" i="5" s="1"/>
  <c r="N53" i="5" s="1"/>
  <c r="B53" i="5"/>
  <c r="X52" i="5"/>
  <c r="Z52" i="5" s="1"/>
  <c r="V52" i="5"/>
  <c r="N52" i="5"/>
  <c r="L52" i="5"/>
  <c r="J52" i="5"/>
  <c r="B52" i="5"/>
  <c r="V51" i="5"/>
  <c r="T51" i="5"/>
  <c r="P51" i="5"/>
  <c r="X51" i="5" s="1"/>
  <c r="Z51" i="5" s="1"/>
  <c r="J51" i="5"/>
  <c r="H51" i="5"/>
  <c r="N51" i="5" s="1"/>
  <c r="F51" i="5"/>
  <c r="D51" i="5"/>
  <c r="L51" i="5" s="1"/>
  <c r="B51" i="5"/>
  <c r="Z50" i="5"/>
  <c r="X50" i="5"/>
  <c r="N50" i="5"/>
  <c r="L50" i="5"/>
  <c r="B50" i="5"/>
  <c r="X49" i="5"/>
  <c r="Z49" i="5" s="1"/>
  <c r="V49" i="5"/>
  <c r="R49" i="5"/>
  <c r="N49" i="5"/>
  <c r="L49" i="5"/>
  <c r="F49" i="5"/>
  <c r="B49" i="5"/>
  <c r="V48" i="5"/>
  <c r="T48" i="5"/>
  <c r="X48" i="5" s="1"/>
  <c r="P48" i="5"/>
  <c r="H48" i="5"/>
  <c r="F48" i="5"/>
  <c r="D48" i="5"/>
  <c r="L48" i="5" s="1"/>
  <c r="N48" i="5" s="1"/>
  <c r="B48" i="5"/>
  <c r="X47" i="5"/>
  <c r="Z47" i="5" s="1"/>
  <c r="L47" i="5"/>
  <c r="N47" i="5" s="1"/>
  <c r="J47" i="5"/>
  <c r="B47" i="5"/>
  <c r="T46" i="5"/>
  <c r="R46" i="5"/>
  <c r="P46" i="5"/>
  <c r="X46" i="5" s="1"/>
  <c r="Z46" i="5" s="1"/>
  <c r="J46" i="5"/>
  <c r="H46" i="5"/>
  <c r="D46" i="5"/>
  <c r="L46" i="5" s="1"/>
  <c r="N46" i="5" s="1"/>
  <c r="B46" i="5"/>
  <c r="Z45" i="5"/>
  <c r="X45" i="5"/>
  <c r="R45" i="5"/>
  <c r="L45" i="5"/>
  <c r="N45" i="5" s="1"/>
  <c r="J45" i="5"/>
  <c r="F45" i="5"/>
  <c r="B45" i="5"/>
  <c r="V44" i="5"/>
  <c r="T44" i="5"/>
  <c r="P44" i="5"/>
  <c r="X44" i="5" s="1"/>
  <c r="Z44" i="5" s="1"/>
  <c r="N44" i="5"/>
  <c r="L44" i="5"/>
  <c r="H44" i="5"/>
  <c r="F44" i="5"/>
  <c r="D44" i="5"/>
  <c r="B44" i="5"/>
  <c r="X43" i="5"/>
  <c r="Z43" i="5" s="1"/>
  <c r="V43" i="5"/>
  <c r="L43" i="5"/>
  <c r="N43" i="5" s="1"/>
  <c r="B43" i="5"/>
  <c r="Z42" i="5"/>
  <c r="X42" i="5"/>
  <c r="T42" i="5"/>
  <c r="R42" i="5"/>
  <c r="P42" i="5"/>
  <c r="J42" i="5"/>
  <c r="H42" i="5"/>
  <c r="L42" i="5" s="1"/>
  <c r="D42" i="5"/>
  <c r="B42" i="5"/>
  <c r="Z41" i="5"/>
  <c r="X41" i="5"/>
  <c r="V41" i="5"/>
  <c r="R41" i="5"/>
  <c r="N41" i="5"/>
  <c r="L41" i="5"/>
  <c r="F41" i="5"/>
  <c r="B41" i="5"/>
  <c r="Z40" i="5"/>
  <c r="X40" i="5"/>
  <c r="V40" i="5"/>
  <c r="R40" i="5"/>
  <c r="N40" i="5"/>
  <c r="L40" i="5"/>
  <c r="J40" i="5"/>
  <c r="B40" i="5"/>
  <c r="X39" i="5"/>
  <c r="Z39" i="5" s="1"/>
  <c r="V39" i="5"/>
  <c r="L39" i="5"/>
  <c r="N39" i="5" s="1"/>
  <c r="B39" i="5"/>
  <c r="Z38" i="5"/>
  <c r="X38" i="5"/>
  <c r="V38" i="5"/>
  <c r="N38" i="5"/>
  <c r="L38" i="5"/>
  <c r="F38" i="5"/>
  <c r="B38" i="5"/>
  <c r="Z37" i="5"/>
  <c r="X37" i="5"/>
  <c r="R37" i="5"/>
  <c r="N37" i="5"/>
  <c r="L37" i="5"/>
  <c r="J37" i="5"/>
  <c r="F37" i="5"/>
  <c r="B37" i="5"/>
  <c r="Z36" i="5"/>
  <c r="X36" i="5"/>
  <c r="V36" i="5"/>
  <c r="L36" i="5"/>
  <c r="N36" i="5" s="1"/>
  <c r="J36" i="5"/>
  <c r="F36" i="5"/>
  <c r="B36" i="5"/>
  <c r="X35" i="5"/>
  <c r="Z35" i="5" s="1"/>
  <c r="L35" i="5"/>
  <c r="N35" i="5" s="1"/>
  <c r="J35" i="5"/>
  <c r="B35" i="5"/>
  <c r="Z34" i="5"/>
  <c r="X34" i="5"/>
  <c r="N34" i="5"/>
  <c r="L34" i="5"/>
  <c r="B34" i="5"/>
  <c r="X33" i="5"/>
  <c r="Z33" i="5" s="1"/>
  <c r="V33" i="5"/>
  <c r="R33" i="5"/>
  <c r="N33" i="5"/>
  <c r="L33" i="5"/>
  <c r="F33" i="5"/>
  <c r="B33" i="5"/>
  <c r="X32" i="5"/>
  <c r="Z32" i="5" s="1"/>
  <c r="V32" i="5"/>
  <c r="R32" i="5"/>
  <c r="N32" i="5"/>
  <c r="L32" i="5"/>
  <c r="J32" i="5"/>
  <c r="B32" i="5"/>
  <c r="V31" i="5"/>
  <c r="T31" i="5"/>
  <c r="P31" i="5"/>
  <c r="X31" i="5" s="1"/>
  <c r="Z31" i="5" s="1"/>
  <c r="J31" i="5"/>
  <c r="H31" i="5"/>
  <c r="N31" i="5" s="1"/>
  <c r="F31" i="5"/>
  <c r="D31" i="5"/>
  <c r="L31" i="5" s="1"/>
  <c r="B31" i="5"/>
  <c r="Z30" i="5"/>
  <c r="X30" i="5"/>
  <c r="N30" i="5"/>
  <c r="L30" i="5"/>
  <c r="B30" i="5"/>
  <c r="X29" i="5"/>
  <c r="Z29" i="5" s="1"/>
  <c r="V29" i="5"/>
  <c r="R29" i="5"/>
  <c r="N29" i="5"/>
  <c r="L29" i="5"/>
  <c r="F29" i="5"/>
  <c r="B29" i="5"/>
  <c r="X28" i="5"/>
  <c r="Z28" i="5" s="1"/>
  <c r="V28" i="5"/>
  <c r="R28" i="5"/>
  <c r="N28" i="5"/>
  <c r="L28" i="5"/>
  <c r="J28" i="5"/>
  <c r="B28" i="5"/>
  <c r="X27" i="5"/>
  <c r="Z27" i="5" s="1"/>
  <c r="V27" i="5"/>
  <c r="L27" i="5"/>
  <c r="N27" i="5" s="1"/>
  <c r="B27" i="5"/>
  <c r="Z26" i="5"/>
  <c r="X26" i="5"/>
  <c r="V26" i="5"/>
  <c r="N26" i="5"/>
  <c r="L26" i="5"/>
  <c r="F26" i="5"/>
  <c r="B26" i="5"/>
  <c r="Z25" i="5"/>
  <c r="X25" i="5"/>
  <c r="V25" i="5"/>
  <c r="R25" i="5"/>
  <c r="L25" i="5"/>
  <c r="N25" i="5" s="1"/>
  <c r="J25" i="5"/>
  <c r="F25" i="5"/>
  <c r="B25" i="5"/>
  <c r="Z24" i="5"/>
  <c r="X24" i="5"/>
  <c r="V24" i="5"/>
  <c r="L24" i="5"/>
  <c r="N24" i="5" s="1"/>
  <c r="J24" i="5"/>
  <c r="F24" i="5"/>
  <c r="B24" i="5"/>
  <c r="X23" i="5"/>
  <c r="Z23" i="5" s="1"/>
  <c r="L23" i="5"/>
  <c r="N23" i="5" s="1"/>
  <c r="J23" i="5"/>
  <c r="F23" i="5"/>
  <c r="B23" i="5"/>
  <c r="Z22" i="5"/>
  <c r="X22" i="5"/>
  <c r="N22" i="5"/>
  <c r="L22" i="5"/>
  <c r="B22" i="5"/>
  <c r="X21" i="5"/>
  <c r="Z21" i="5" s="1"/>
  <c r="V21" i="5"/>
  <c r="R21" i="5"/>
  <c r="N21" i="5"/>
  <c r="L21" i="5"/>
  <c r="F21" i="5"/>
  <c r="B21" i="5"/>
  <c r="X20" i="5"/>
  <c r="Z20" i="5" s="1"/>
  <c r="V20" i="5"/>
  <c r="R20" i="5"/>
  <c r="N20" i="5"/>
  <c r="L20" i="5"/>
  <c r="J20" i="5"/>
  <c r="B20" i="5"/>
  <c r="V19" i="5"/>
  <c r="T19" i="5"/>
  <c r="P19" i="5"/>
  <c r="X19" i="5" s="1"/>
  <c r="Z19" i="5" s="1"/>
  <c r="J19" i="5"/>
  <c r="H19" i="5"/>
  <c r="F19" i="5"/>
  <c r="D19" i="5"/>
  <c r="L19" i="5" s="1"/>
  <c r="B19" i="5"/>
  <c r="T18" i="5" a="1"/>
  <c r="T18" i="5" s="1"/>
  <c r="T97" i="5" s="1"/>
  <c r="R18" i="5"/>
  <c r="P18" i="5" a="1"/>
  <c r="P18" i="5" s="1"/>
  <c r="H18" i="5" a="1"/>
  <c r="H18" i="5"/>
  <c r="F18" i="5"/>
  <c r="D18" i="5" a="1"/>
  <c r="D18" i="5" s="1"/>
  <c r="Z16" i="5"/>
  <c r="T16" i="5"/>
  <c r="R16" i="5"/>
  <c r="P16" i="5"/>
  <c r="X16" i="5" s="1"/>
  <c r="J16" i="5"/>
  <c r="D16" i="5"/>
  <c r="Z14" i="5"/>
  <c r="X14" i="5"/>
  <c r="V14" i="5"/>
  <c r="T14" i="5"/>
  <c r="R14" i="5"/>
  <c r="P14" i="5"/>
  <c r="J14" i="5"/>
  <c r="H14" i="5"/>
  <c r="L14" i="5" s="1"/>
  <c r="F14" i="5"/>
  <c r="D14" i="5"/>
  <c r="Z12" i="5"/>
  <c r="T12" i="5"/>
  <c r="V90" i="5" s="1"/>
  <c r="P12" i="5"/>
  <c r="R101" i="5" s="1"/>
  <c r="N12" i="5"/>
  <c r="L12" i="5"/>
  <c r="H12" i="5"/>
  <c r="J76" i="5" s="1"/>
  <c r="D12" i="5"/>
  <c r="F86" i="5" s="1"/>
  <c r="D4" i="5"/>
  <c r="V31" i="4"/>
  <c r="T29" i="4"/>
  <c r="P29" i="4"/>
  <c r="J29" i="4"/>
  <c r="H29" i="4"/>
  <c r="D29" i="4"/>
  <c r="L29" i="4" s="1"/>
  <c r="N29" i="4" s="1"/>
  <c r="V28" i="4"/>
  <c r="T28" i="4"/>
  <c r="Z28" i="4" s="1"/>
  <c r="P28" i="4"/>
  <c r="X28" i="4" s="1"/>
  <c r="L28" i="4"/>
  <c r="N28" i="4" s="1"/>
  <c r="H28" i="4"/>
  <c r="D28" i="4"/>
  <c r="J26" i="4"/>
  <c r="Z24" i="4"/>
  <c r="X24" i="4"/>
  <c r="V24" i="4"/>
  <c r="N24" i="4"/>
  <c r="L24" i="4"/>
  <c r="F24" i="4"/>
  <c r="V22" i="4"/>
  <c r="T20" i="4"/>
  <c r="Z20" i="4" s="1"/>
  <c r="P20" i="4"/>
  <c r="N20" i="4"/>
  <c r="J20" i="4"/>
  <c r="H20" i="4"/>
  <c r="D20" i="4"/>
  <c r="L20" i="4" s="1"/>
  <c r="V18" i="4"/>
  <c r="T18" i="4"/>
  <c r="Z18" i="4" s="1"/>
  <c r="P18" i="4"/>
  <c r="X18" i="4" s="1"/>
  <c r="N18" i="4"/>
  <c r="L18" i="4"/>
  <c r="H18" i="4"/>
  <c r="D18" i="4"/>
  <c r="T16" i="4"/>
  <c r="Z16" i="4" s="1"/>
  <c r="J16" i="4"/>
  <c r="D16" i="4"/>
  <c r="D22" i="4" s="1"/>
  <c r="V14" i="4"/>
  <c r="T14" i="4"/>
  <c r="Z14" i="4" s="1"/>
  <c r="P14" i="4"/>
  <c r="X14" i="4" s="1"/>
  <c r="N14" i="4"/>
  <c r="L14" i="4"/>
  <c r="H14" i="4"/>
  <c r="D14" i="4"/>
  <c r="Z12" i="4"/>
  <c r="T12" i="4"/>
  <c r="V29" i="4" s="1"/>
  <c r="P12" i="4"/>
  <c r="R31" i="4" s="1"/>
  <c r="H12" i="4"/>
  <c r="H16" i="4" s="1"/>
  <c r="D12" i="4"/>
  <c r="F29" i="4" s="1"/>
  <c r="D4" i="4"/>
  <c r="V185" i="3"/>
  <c r="T185" i="3"/>
  <c r="P185" i="3"/>
  <c r="H185" i="3"/>
  <c r="D185" i="3"/>
  <c r="L185" i="3" s="1"/>
  <c r="N185" i="3" s="1"/>
  <c r="V184" i="3"/>
  <c r="T184" i="3"/>
  <c r="P184" i="3"/>
  <c r="X184" i="3" s="1"/>
  <c r="Z184" i="3" s="1"/>
  <c r="N184" i="3"/>
  <c r="L184" i="3"/>
  <c r="H184" i="3"/>
  <c r="D184" i="3"/>
  <c r="Z180" i="3"/>
  <c r="X180" i="3"/>
  <c r="V180" i="3"/>
  <c r="L180" i="3"/>
  <c r="N180" i="3" s="1"/>
  <c r="J180" i="3"/>
  <c r="Z176" i="3"/>
  <c r="X176" i="3"/>
  <c r="V176" i="3"/>
  <c r="P176" i="3"/>
  <c r="N176" i="3"/>
  <c r="L176" i="3"/>
  <c r="D176" i="3"/>
  <c r="B176" i="3"/>
  <c r="Z175" i="3"/>
  <c r="X175" i="3"/>
  <c r="P175" i="3"/>
  <c r="N175" i="3"/>
  <c r="L175" i="3"/>
  <c r="J175" i="3"/>
  <c r="D175" i="3"/>
  <c r="B175" i="3"/>
  <c r="P174" i="3"/>
  <c r="X174" i="3" s="1"/>
  <c r="Z174" i="3" s="1"/>
  <c r="N174" i="3"/>
  <c r="L174" i="3"/>
  <c r="D174" i="3"/>
  <c r="B174" i="3"/>
  <c r="Z173" i="3"/>
  <c r="X173" i="3"/>
  <c r="V173" i="3"/>
  <c r="P173" i="3"/>
  <c r="N173" i="3"/>
  <c r="D173" i="3"/>
  <c r="L173" i="3" s="1"/>
  <c r="B173" i="3"/>
  <c r="Z172" i="3"/>
  <c r="X172" i="3"/>
  <c r="V172" i="3"/>
  <c r="P172" i="3"/>
  <c r="L172" i="3"/>
  <c r="N172" i="3" s="1"/>
  <c r="J172" i="3"/>
  <c r="D172" i="3"/>
  <c r="B172" i="3"/>
  <c r="V171" i="3"/>
  <c r="P171" i="3"/>
  <c r="X171" i="3" s="1"/>
  <c r="Z171" i="3" s="1"/>
  <c r="N171" i="3"/>
  <c r="L171" i="3"/>
  <c r="J171" i="3"/>
  <c r="D171" i="3"/>
  <c r="B171" i="3"/>
  <c r="Z170" i="3"/>
  <c r="P170" i="3"/>
  <c r="X170" i="3" s="1"/>
  <c r="N170" i="3"/>
  <c r="J170" i="3"/>
  <c r="D170" i="3"/>
  <c r="L170" i="3" s="1"/>
  <c r="B170" i="3"/>
  <c r="Z169" i="3"/>
  <c r="X169" i="3"/>
  <c r="P169" i="3"/>
  <c r="P168" i="3" s="1"/>
  <c r="X168" i="3" s="1"/>
  <c r="N169" i="3"/>
  <c r="D169" i="3"/>
  <c r="L169" i="3" s="1"/>
  <c r="B169" i="3"/>
  <c r="V168" i="3"/>
  <c r="T168" i="3"/>
  <c r="Z168" i="3" s="1"/>
  <c r="H168" i="3"/>
  <c r="Z166" i="3"/>
  <c r="X166" i="3"/>
  <c r="V166" i="3"/>
  <c r="L166" i="3"/>
  <c r="N166" i="3" s="1"/>
  <c r="J166" i="3"/>
  <c r="B166" i="3"/>
  <c r="X165" i="3"/>
  <c r="Z165" i="3" s="1"/>
  <c r="T165" i="3"/>
  <c r="P165" i="3"/>
  <c r="H165" i="3"/>
  <c r="D165" i="3"/>
  <c r="B165" i="3"/>
  <c r="Z164" i="3"/>
  <c r="X164" i="3"/>
  <c r="N164" i="3"/>
  <c r="L164" i="3"/>
  <c r="B164" i="3"/>
  <c r="Z163" i="3"/>
  <c r="X163" i="3"/>
  <c r="L163" i="3"/>
  <c r="N163" i="3" s="1"/>
  <c r="J163" i="3"/>
  <c r="B163" i="3"/>
  <c r="Z162" i="3"/>
  <c r="X162" i="3"/>
  <c r="V162" i="3"/>
  <c r="L162" i="3"/>
  <c r="N162" i="3" s="1"/>
  <c r="J162" i="3"/>
  <c r="B162" i="3"/>
  <c r="X161" i="3"/>
  <c r="Z161" i="3" s="1"/>
  <c r="T161" i="3"/>
  <c r="P161" i="3"/>
  <c r="H161" i="3"/>
  <c r="D161" i="3"/>
  <c r="B161" i="3"/>
  <c r="Z160" i="3"/>
  <c r="X160" i="3"/>
  <c r="N160" i="3"/>
  <c r="L160" i="3"/>
  <c r="B160" i="3"/>
  <c r="T159" i="3"/>
  <c r="P159" i="3"/>
  <c r="J159" i="3"/>
  <c r="H159" i="3"/>
  <c r="D159" i="3"/>
  <c r="L159" i="3" s="1"/>
  <c r="N159" i="3" s="1"/>
  <c r="B159" i="3"/>
  <c r="X158" i="3"/>
  <c r="Z158" i="3" s="1"/>
  <c r="V158" i="3"/>
  <c r="N158" i="3"/>
  <c r="L158" i="3"/>
  <c r="J158" i="3"/>
  <c r="B158" i="3"/>
  <c r="X157" i="3"/>
  <c r="Z157" i="3" s="1"/>
  <c r="V157" i="3"/>
  <c r="L157" i="3"/>
  <c r="N157" i="3" s="1"/>
  <c r="B157" i="3"/>
  <c r="Z156" i="3"/>
  <c r="X156" i="3"/>
  <c r="T156" i="3"/>
  <c r="P156" i="3"/>
  <c r="J156" i="3"/>
  <c r="H156" i="3"/>
  <c r="L156" i="3" s="1"/>
  <c r="D156" i="3"/>
  <c r="B156" i="3"/>
  <c r="X155" i="3"/>
  <c r="Z155" i="3" s="1"/>
  <c r="V155" i="3"/>
  <c r="N155" i="3"/>
  <c r="L155" i="3"/>
  <c r="B155" i="3"/>
  <c r="X154" i="3"/>
  <c r="Z154" i="3" s="1"/>
  <c r="V154" i="3"/>
  <c r="N154" i="3"/>
  <c r="L154" i="3"/>
  <c r="J154" i="3"/>
  <c r="B154" i="3"/>
  <c r="X153" i="3"/>
  <c r="Z153" i="3" s="1"/>
  <c r="V153" i="3"/>
  <c r="L153" i="3"/>
  <c r="N153" i="3" s="1"/>
  <c r="B153" i="3"/>
  <c r="Z152" i="3"/>
  <c r="X152" i="3"/>
  <c r="N152" i="3"/>
  <c r="L152" i="3"/>
  <c r="B152" i="3"/>
  <c r="Z151" i="3"/>
  <c r="X151" i="3"/>
  <c r="L151" i="3"/>
  <c r="N151" i="3" s="1"/>
  <c r="J151" i="3"/>
  <c r="B151" i="3"/>
  <c r="Z150" i="3"/>
  <c r="X150" i="3"/>
  <c r="V150" i="3"/>
  <c r="L150" i="3"/>
  <c r="N150" i="3" s="1"/>
  <c r="J150" i="3"/>
  <c r="B150" i="3"/>
  <c r="X149" i="3"/>
  <c r="Z149" i="3" s="1"/>
  <c r="L149" i="3"/>
  <c r="N149" i="3" s="1"/>
  <c r="J149" i="3"/>
  <c r="B149" i="3"/>
  <c r="Z148" i="3"/>
  <c r="X148" i="3"/>
  <c r="N148" i="3"/>
  <c r="L148" i="3"/>
  <c r="B148" i="3"/>
  <c r="X147" i="3"/>
  <c r="Z147" i="3" s="1"/>
  <c r="V147" i="3"/>
  <c r="N147" i="3"/>
  <c r="L147" i="3"/>
  <c r="B147" i="3"/>
  <c r="X146" i="3"/>
  <c r="Z146" i="3" s="1"/>
  <c r="V146" i="3"/>
  <c r="N146" i="3"/>
  <c r="L146" i="3"/>
  <c r="J146" i="3"/>
  <c r="B146" i="3"/>
  <c r="V145" i="3"/>
  <c r="T145" i="3"/>
  <c r="P145" i="3"/>
  <c r="X145" i="3" s="1"/>
  <c r="Z145" i="3" s="1"/>
  <c r="H145" i="3"/>
  <c r="D145" i="3"/>
  <c r="L145" i="3" s="1"/>
  <c r="B145" i="3"/>
  <c r="Z144" i="3"/>
  <c r="X144" i="3"/>
  <c r="N144" i="3"/>
  <c r="L144" i="3"/>
  <c r="B144" i="3"/>
  <c r="X143" i="3"/>
  <c r="Z143" i="3" s="1"/>
  <c r="V143" i="3"/>
  <c r="N143" i="3"/>
  <c r="L143" i="3"/>
  <c r="B143" i="3"/>
  <c r="V142" i="3"/>
  <c r="T142" i="3"/>
  <c r="X142" i="3" s="1"/>
  <c r="P142" i="3"/>
  <c r="H142" i="3"/>
  <c r="D142" i="3"/>
  <c r="L142" i="3" s="1"/>
  <c r="N142" i="3" s="1"/>
  <c r="B142" i="3"/>
  <c r="X141" i="3"/>
  <c r="Z141" i="3" s="1"/>
  <c r="L141" i="3"/>
  <c r="N141" i="3" s="1"/>
  <c r="J141" i="3"/>
  <c r="B141" i="3"/>
  <c r="Z140" i="3"/>
  <c r="X140" i="3"/>
  <c r="N140" i="3"/>
  <c r="L140" i="3"/>
  <c r="B140" i="3"/>
  <c r="X139" i="3"/>
  <c r="Z139" i="3" s="1"/>
  <c r="V139" i="3"/>
  <c r="N139" i="3"/>
  <c r="L139" i="3"/>
  <c r="B139" i="3"/>
  <c r="X138" i="3"/>
  <c r="Z138" i="3" s="1"/>
  <c r="V138" i="3"/>
  <c r="N138" i="3"/>
  <c r="L138" i="3"/>
  <c r="J138" i="3"/>
  <c r="B138" i="3"/>
  <c r="X137" i="3"/>
  <c r="Z137" i="3" s="1"/>
  <c r="V137" i="3"/>
  <c r="L137" i="3"/>
  <c r="N137" i="3" s="1"/>
  <c r="B137" i="3"/>
  <c r="Z136" i="3"/>
  <c r="X136" i="3"/>
  <c r="T136" i="3"/>
  <c r="P136" i="3"/>
  <c r="J136" i="3"/>
  <c r="H136" i="3"/>
  <c r="D136" i="3"/>
  <c r="B136" i="3"/>
  <c r="Z135" i="3"/>
  <c r="X135" i="3"/>
  <c r="V135" i="3"/>
  <c r="N135" i="3"/>
  <c r="L135" i="3"/>
  <c r="B135" i="3"/>
  <c r="X134" i="3"/>
  <c r="Z134" i="3" s="1"/>
  <c r="V134" i="3"/>
  <c r="N134" i="3"/>
  <c r="L134" i="3"/>
  <c r="J134" i="3"/>
  <c r="B134" i="3"/>
  <c r="X133" i="3"/>
  <c r="Z133" i="3" s="1"/>
  <c r="V133" i="3"/>
  <c r="N133" i="3"/>
  <c r="L133" i="3"/>
  <c r="B133" i="3"/>
  <c r="Z132" i="3"/>
  <c r="X132" i="3"/>
  <c r="N132" i="3"/>
  <c r="L132" i="3"/>
  <c r="B132" i="3"/>
  <c r="T131" i="3"/>
  <c r="P131" i="3"/>
  <c r="J131" i="3"/>
  <c r="H131" i="3"/>
  <c r="D131" i="3"/>
  <c r="L131" i="3" s="1"/>
  <c r="N131" i="3" s="1"/>
  <c r="B131" i="3"/>
  <c r="X130" i="3"/>
  <c r="Z130" i="3" s="1"/>
  <c r="V130" i="3"/>
  <c r="N130" i="3"/>
  <c r="L130" i="3"/>
  <c r="J130" i="3"/>
  <c r="B130" i="3"/>
  <c r="X129" i="3"/>
  <c r="Z129" i="3" s="1"/>
  <c r="V129" i="3"/>
  <c r="L129" i="3"/>
  <c r="N129" i="3" s="1"/>
  <c r="B129" i="3"/>
  <c r="Z128" i="3"/>
  <c r="X128" i="3"/>
  <c r="N128" i="3"/>
  <c r="L128" i="3"/>
  <c r="B128" i="3"/>
  <c r="Z127" i="3"/>
  <c r="X127" i="3"/>
  <c r="L127" i="3"/>
  <c r="N127" i="3" s="1"/>
  <c r="J127" i="3"/>
  <c r="B127" i="3"/>
  <c r="V126" i="3"/>
  <c r="T126" i="3"/>
  <c r="P126" i="3"/>
  <c r="X126" i="3" s="1"/>
  <c r="Z126" i="3" s="1"/>
  <c r="N126" i="3"/>
  <c r="L126" i="3"/>
  <c r="H126" i="3"/>
  <c r="D126" i="3"/>
  <c r="B126" i="3"/>
  <c r="X125" i="3"/>
  <c r="Z125" i="3" s="1"/>
  <c r="V125" i="3"/>
  <c r="L125" i="3"/>
  <c r="N125" i="3" s="1"/>
  <c r="B125" i="3"/>
  <c r="Z124" i="3"/>
  <c r="X124" i="3"/>
  <c r="T124" i="3"/>
  <c r="P124" i="3"/>
  <c r="J124" i="3"/>
  <c r="H124" i="3"/>
  <c r="L124" i="3" s="1"/>
  <c r="D124" i="3"/>
  <c r="B124" i="3"/>
  <c r="X123" i="3"/>
  <c r="Z123" i="3" s="1"/>
  <c r="V123" i="3"/>
  <c r="N123" i="3"/>
  <c r="L123" i="3"/>
  <c r="B123" i="3"/>
  <c r="V122" i="3"/>
  <c r="T122" i="3"/>
  <c r="X122" i="3" s="1"/>
  <c r="P122" i="3"/>
  <c r="N122" i="3"/>
  <c r="H122" i="3"/>
  <c r="D122" i="3"/>
  <c r="L122" i="3" s="1"/>
  <c r="B122" i="3"/>
  <c r="X121" i="3"/>
  <c r="Z121" i="3" s="1"/>
  <c r="N121" i="3"/>
  <c r="L121" i="3"/>
  <c r="J121" i="3"/>
  <c r="B121" i="3"/>
  <c r="T120" i="3"/>
  <c r="P120" i="3"/>
  <c r="X120" i="3" s="1"/>
  <c r="Z120" i="3" s="1"/>
  <c r="N120" i="3"/>
  <c r="J120" i="3"/>
  <c r="H120" i="3"/>
  <c r="D120" i="3"/>
  <c r="L120" i="3" s="1"/>
  <c r="B120" i="3"/>
  <c r="Z119" i="3"/>
  <c r="X119" i="3"/>
  <c r="L119" i="3"/>
  <c r="N119" i="3" s="1"/>
  <c r="J119" i="3"/>
  <c r="B119" i="3"/>
  <c r="V118" i="3"/>
  <c r="T118" i="3"/>
  <c r="P118" i="3"/>
  <c r="X118" i="3" s="1"/>
  <c r="Z118" i="3" s="1"/>
  <c r="N118" i="3"/>
  <c r="L118" i="3"/>
  <c r="H118" i="3"/>
  <c r="D118" i="3"/>
  <c r="B118" i="3"/>
  <c r="X117" i="3"/>
  <c r="Z117" i="3" s="1"/>
  <c r="V117" i="3"/>
  <c r="L117" i="3"/>
  <c r="N117" i="3" s="1"/>
  <c r="B117" i="3"/>
  <c r="Z116" i="3"/>
  <c r="X116" i="3"/>
  <c r="T116" i="3"/>
  <c r="P116" i="3"/>
  <c r="J116" i="3"/>
  <c r="H116" i="3"/>
  <c r="L116" i="3" s="1"/>
  <c r="D116" i="3"/>
  <c r="B116" i="3"/>
  <c r="X115" i="3"/>
  <c r="Z115" i="3" s="1"/>
  <c r="V115" i="3"/>
  <c r="N115" i="3"/>
  <c r="L115" i="3"/>
  <c r="B115" i="3"/>
  <c r="V114" i="3"/>
  <c r="T114" i="3"/>
  <c r="X114" i="3" s="1"/>
  <c r="P114" i="3"/>
  <c r="H114" i="3"/>
  <c r="D114" i="3"/>
  <c r="L114" i="3" s="1"/>
  <c r="N114" i="3" s="1"/>
  <c r="B114" i="3"/>
  <c r="X113" i="3"/>
  <c r="Z113" i="3" s="1"/>
  <c r="L113" i="3"/>
  <c r="N113" i="3" s="1"/>
  <c r="J113" i="3"/>
  <c r="B113" i="3"/>
  <c r="Z112" i="3"/>
  <c r="X112" i="3"/>
  <c r="N112" i="3"/>
  <c r="L112" i="3"/>
  <c r="B112" i="3"/>
  <c r="Z111" i="3"/>
  <c r="X111" i="3"/>
  <c r="V111" i="3"/>
  <c r="N111" i="3"/>
  <c r="L111" i="3"/>
  <c r="B111" i="3"/>
  <c r="V110" i="3"/>
  <c r="T110" i="3"/>
  <c r="X110" i="3" s="1"/>
  <c r="P110" i="3"/>
  <c r="H110" i="3"/>
  <c r="D110" i="3"/>
  <c r="L110" i="3" s="1"/>
  <c r="N110" i="3" s="1"/>
  <c r="B110" i="3"/>
  <c r="X109" i="3"/>
  <c r="Z109" i="3" s="1"/>
  <c r="L109" i="3"/>
  <c r="N109" i="3" s="1"/>
  <c r="J109" i="3"/>
  <c r="B109" i="3"/>
  <c r="Z108" i="3"/>
  <c r="X108" i="3"/>
  <c r="N108" i="3"/>
  <c r="L108" i="3"/>
  <c r="B108" i="3"/>
  <c r="T107" i="3"/>
  <c r="Z107" i="3" s="1"/>
  <c r="P107" i="3"/>
  <c r="X107" i="3" s="1"/>
  <c r="L107" i="3"/>
  <c r="N107" i="3" s="1"/>
  <c r="H107" i="3"/>
  <c r="D107" i="3"/>
  <c r="B107" i="3"/>
  <c r="Z106" i="3"/>
  <c r="X106" i="3"/>
  <c r="V106" i="3"/>
  <c r="L106" i="3"/>
  <c r="N106" i="3" s="1"/>
  <c r="J106" i="3"/>
  <c r="B106" i="3"/>
  <c r="X105" i="3"/>
  <c r="Z105" i="3" s="1"/>
  <c r="T105" i="3"/>
  <c r="P105" i="3"/>
  <c r="H105" i="3"/>
  <c r="D105" i="3"/>
  <c r="B105" i="3"/>
  <c r="Z104" i="3"/>
  <c r="X104" i="3"/>
  <c r="N104" i="3"/>
  <c r="L104" i="3"/>
  <c r="B104" i="3"/>
  <c r="T103" i="3"/>
  <c r="P103" i="3"/>
  <c r="J103" i="3"/>
  <c r="H103" i="3"/>
  <c r="D103" i="3"/>
  <c r="L103" i="3" s="1"/>
  <c r="N103" i="3" s="1"/>
  <c r="B103" i="3"/>
  <c r="X102" i="3"/>
  <c r="Z102" i="3" s="1"/>
  <c r="V102" i="3"/>
  <c r="N102" i="3"/>
  <c r="L102" i="3"/>
  <c r="J102" i="3"/>
  <c r="B102" i="3"/>
  <c r="V101" i="3"/>
  <c r="T101" i="3"/>
  <c r="P101" i="3"/>
  <c r="X101" i="3" s="1"/>
  <c r="Z101" i="3" s="1"/>
  <c r="H101" i="3"/>
  <c r="N101" i="3" s="1"/>
  <c r="D101" i="3"/>
  <c r="L101" i="3" s="1"/>
  <c r="B101" i="3"/>
  <c r="Z100" i="3"/>
  <c r="X100" i="3"/>
  <c r="N100" i="3"/>
  <c r="L100" i="3"/>
  <c r="B100" i="3"/>
  <c r="Z99" i="3"/>
  <c r="X99" i="3"/>
  <c r="V99" i="3"/>
  <c r="N99" i="3"/>
  <c r="L99" i="3"/>
  <c r="B99" i="3"/>
  <c r="V98" i="3"/>
  <c r="T98" i="3"/>
  <c r="X98" i="3" s="1"/>
  <c r="P98" i="3"/>
  <c r="N98" i="3"/>
  <c r="H98" i="3"/>
  <c r="D98" i="3"/>
  <c r="L98" i="3" s="1"/>
  <c r="B98" i="3"/>
  <c r="X97" i="3"/>
  <c r="Z97" i="3" s="1"/>
  <c r="L97" i="3"/>
  <c r="N97" i="3" s="1"/>
  <c r="J97" i="3"/>
  <c r="B97" i="3"/>
  <c r="Z96" i="3"/>
  <c r="X96" i="3"/>
  <c r="N96" i="3"/>
  <c r="L96" i="3"/>
  <c r="B96" i="3"/>
  <c r="T95" i="3"/>
  <c r="P95" i="3"/>
  <c r="X95" i="3" s="1"/>
  <c r="L95" i="3"/>
  <c r="N95" i="3" s="1"/>
  <c r="H95" i="3"/>
  <c r="D95" i="3"/>
  <c r="B95" i="3"/>
  <c r="Z94" i="3"/>
  <c r="X94" i="3"/>
  <c r="V94" i="3"/>
  <c r="L94" i="3"/>
  <c r="N94" i="3" s="1"/>
  <c r="J94" i="3"/>
  <c r="B94" i="3"/>
  <c r="X93" i="3"/>
  <c r="Z93" i="3" s="1"/>
  <c r="T93" i="3"/>
  <c r="P93" i="3"/>
  <c r="H93" i="3"/>
  <c r="D93" i="3"/>
  <c r="B93" i="3"/>
  <c r="Z92" i="3"/>
  <c r="X92" i="3"/>
  <c r="N92" i="3"/>
  <c r="L92" i="3"/>
  <c r="B92" i="3"/>
  <c r="T91" i="3"/>
  <c r="P91" i="3"/>
  <c r="J91" i="3"/>
  <c r="H91" i="3"/>
  <c r="D91" i="3"/>
  <c r="L91" i="3" s="1"/>
  <c r="N91" i="3" s="1"/>
  <c r="B91" i="3"/>
  <c r="X90" i="3"/>
  <c r="Z90" i="3" s="1"/>
  <c r="V90" i="3"/>
  <c r="N90" i="3"/>
  <c r="L90" i="3"/>
  <c r="J90" i="3"/>
  <c r="B90" i="3"/>
  <c r="V89" i="3"/>
  <c r="T89" i="3"/>
  <c r="P89" i="3"/>
  <c r="X89" i="3" s="1"/>
  <c r="Z89" i="3" s="1"/>
  <c r="H89" i="3"/>
  <c r="D89" i="3"/>
  <c r="L89" i="3" s="1"/>
  <c r="B89" i="3"/>
  <c r="Z88" i="3"/>
  <c r="X88" i="3"/>
  <c r="N88" i="3"/>
  <c r="L88" i="3"/>
  <c r="B88" i="3"/>
  <c r="Z87" i="3"/>
  <c r="X87" i="3"/>
  <c r="V87" i="3"/>
  <c r="N87" i="3"/>
  <c r="L87" i="3"/>
  <c r="B87" i="3"/>
  <c r="X86" i="3"/>
  <c r="Z86" i="3" s="1"/>
  <c r="V86" i="3"/>
  <c r="N86" i="3"/>
  <c r="L86" i="3"/>
  <c r="J86" i="3"/>
  <c r="B86" i="3"/>
  <c r="X85" i="3"/>
  <c r="Z85" i="3" s="1"/>
  <c r="V85" i="3"/>
  <c r="L85" i="3"/>
  <c r="N85" i="3" s="1"/>
  <c r="B85" i="3"/>
  <c r="Z84" i="3"/>
  <c r="X84" i="3"/>
  <c r="N84" i="3"/>
  <c r="L84" i="3"/>
  <c r="B84" i="3"/>
  <c r="Z83" i="3"/>
  <c r="X83" i="3"/>
  <c r="N83" i="3"/>
  <c r="L83" i="3"/>
  <c r="J83" i="3"/>
  <c r="B83" i="3"/>
  <c r="Z82" i="3"/>
  <c r="X82" i="3"/>
  <c r="V82" i="3"/>
  <c r="L82" i="3"/>
  <c r="N82" i="3" s="1"/>
  <c r="J82" i="3"/>
  <c r="B82" i="3"/>
  <c r="Z81" i="3"/>
  <c r="X81" i="3"/>
  <c r="N81" i="3"/>
  <c r="L81" i="3"/>
  <c r="J81" i="3"/>
  <c r="B81" i="3"/>
  <c r="Z80" i="3"/>
  <c r="X80" i="3"/>
  <c r="N80" i="3"/>
  <c r="L80" i="3"/>
  <c r="B80" i="3"/>
  <c r="Z79" i="3"/>
  <c r="X79" i="3"/>
  <c r="V79" i="3"/>
  <c r="N79" i="3"/>
  <c r="L79" i="3"/>
  <c r="B79" i="3"/>
  <c r="V78" i="3"/>
  <c r="T78" i="3"/>
  <c r="P78" i="3"/>
  <c r="H78" i="3"/>
  <c r="D78" i="3"/>
  <c r="L78" i="3" s="1"/>
  <c r="N78" i="3" s="1"/>
  <c r="B78" i="3"/>
  <c r="X77" i="3"/>
  <c r="Z77" i="3" s="1"/>
  <c r="L77" i="3"/>
  <c r="N77" i="3" s="1"/>
  <c r="J77" i="3"/>
  <c r="B77" i="3"/>
  <c r="Z76" i="3"/>
  <c r="X76" i="3"/>
  <c r="N76" i="3"/>
  <c r="L76" i="3"/>
  <c r="B76" i="3"/>
  <c r="Z75" i="3"/>
  <c r="X75" i="3"/>
  <c r="V75" i="3"/>
  <c r="N75" i="3"/>
  <c r="L75" i="3"/>
  <c r="B75" i="3"/>
  <c r="Z74" i="3"/>
  <c r="X74" i="3"/>
  <c r="V74" i="3"/>
  <c r="N74" i="3"/>
  <c r="L74" i="3"/>
  <c r="J74" i="3"/>
  <c r="B74" i="3"/>
  <c r="Z73" i="3"/>
  <c r="X73" i="3"/>
  <c r="V73" i="3"/>
  <c r="N73" i="3"/>
  <c r="L73" i="3"/>
  <c r="B73" i="3"/>
  <c r="Z72" i="3"/>
  <c r="X72" i="3"/>
  <c r="N72" i="3"/>
  <c r="L72" i="3"/>
  <c r="B72" i="3"/>
  <c r="Z71" i="3"/>
  <c r="X71" i="3"/>
  <c r="N71" i="3"/>
  <c r="L71" i="3"/>
  <c r="J71" i="3"/>
  <c r="B71" i="3"/>
  <c r="Z70" i="3"/>
  <c r="X70" i="3"/>
  <c r="V70" i="3"/>
  <c r="L70" i="3"/>
  <c r="N70" i="3" s="1"/>
  <c r="J70" i="3"/>
  <c r="B70" i="3"/>
  <c r="X69" i="3"/>
  <c r="Z69" i="3" s="1"/>
  <c r="L69" i="3"/>
  <c r="N69" i="3" s="1"/>
  <c r="J69" i="3"/>
  <c r="B69" i="3"/>
  <c r="Z68" i="3"/>
  <c r="X68" i="3"/>
  <c r="N68" i="3"/>
  <c r="L68" i="3"/>
  <c r="B68" i="3"/>
  <c r="T67" i="3"/>
  <c r="Z67" i="3" s="1"/>
  <c r="P67" i="3"/>
  <c r="X67" i="3" s="1"/>
  <c r="L67" i="3"/>
  <c r="N67" i="3" s="1"/>
  <c r="H67" i="3"/>
  <c r="D67" i="3"/>
  <c r="B67" i="3"/>
  <c r="T66" i="3" a="1"/>
  <c r="T66" i="3" s="1"/>
  <c r="P66" i="3" a="1"/>
  <c r="P66" i="3" s="1"/>
  <c r="H66" i="3" a="1"/>
  <c r="H66" i="3" s="1"/>
  <c r="D66" i="3" a="1"/>
  <c r="D66" i="3" s="1"/>
  <c r="Z62" i="3"/>
  <c r="X62" i="3"/>
  <c r="V62" i="3"/>
  <c r="N62" i="3"/>
  <c r="L62" i="3"/>
  <c r="J62" i="3"/>
  <c r="B62" i="3"/>
  <c r="Z61" i="3"/>
  <c r="X61" i="3"/>
  <c r="V61" i="3"/>
  <c r="N61" i="3"/>
  <c r="L61" i="3"/>
  <c r="B61" i="3"/>
  <c r="Z60" i="3"/>
  <c r="X60" i="3"/>
  <c r="N60" i="3"/>
  <c r="L60" i="3"/>
  <c r="B60" i="3"/>
  <c r="Z59" i="3"/>
  <c r="X59" i="3"/>
  <c r="N59" i="3"/>
  <c r="L59" i="3"/>
  <c r="J59" i="3"/>
  <c r="B59" i="3"/>
  <c r="Z58" i="3"/>
  <c r="X58" i="3"/>
  <c r="V58" i="3"/>
  <c r="N58" i="3"/>
  <c r="L58" i="3"/>
  <c r="J58" i="3"/>
  <c r="B58" i="3"/>
  <c r="Z57" i="3"/>
  <c r="X57" i="3"/>
  <c r="N57" i="3"/>
  <c r="L57" i="3"/>
  <c r="J57" i="3"/>
  <c r="B57" i="3"/>
  <c r="Z56" i="3"/>
  <c r="X56" i="3"/>
  <c r="N56" i="3"/>
  <c r="L56" i="3"/>
  <c r="B56" i="3"/>
  <c r="Z55" i="3"/>
  <c r="X55" i="3"/>
  <c r="V55" i="3"/>
  <c r="N55" i="3"/>
  <c r="L55" i="3"/>
  <c r="J55" i="3"/>
  <c r="B55" i="3"/>
  <c r="Z54" i="3"/>
  <c r="X54" i="3"/>
  <c r="V54" i="3"/>
  <c r="N54" i="3"/>
  <c r="L54" i="3"/>
  <c r="J54" i="3"/>
  <c r="B54" i="3"/>
  <c r="Z53" i="3"/>
  <c r="X53" i="3"/>
  <c r="V53" i="3"/>
  <c r="N53" i="3"/>
  <c r="L53" i="3"/>
  <c r="B53" i="3"/>
  <c r="Z52" i="3"/>
  <c r="X52" i="3"/>
  <c r="N52" i="3"/>
  <c r="L52" i="3"/>
  <c r="B52" i="3"/>
  <c r="Z51" i="3"/>
  <c r="X51" i="3"/>
  <c r="N51" i="3"/>
  <c r="L51" i="3"/>
  <c r="J51" i="3"/>
  <c r="B51" i="3"/>
  <c r="Z50" i="3"/>
  <c r="X50" i="3"/>
  <c r="V50" i="3"/>
  <c r="N50" i="3"/>
  <c r="L50" i="3"/>
  <c r="J50" i="3"/>
  <c r="B50" i="3"/>
  <c r="Z49" i="3"/>
  <c r="X49" i="3"/>
  <c r="N49" i="3"/>
  <c r="L49" i="3"/>
  <c r="J49" i="3"/>
  <c r="B49" i="3"/>
  <c r="Z48" i="3"/>
  <c r="X48" i="3"/>
  <c r="N48" i="3"/>
  <c r="L48" i="3"/>
  <c r="B48" i="3"/>
  <c r="Z47" i="3"/>
  <c r="X47" i="3"/>
  <c r="V47" i="3"/>
  <c r="N47" i="3"/>
  <c r="L47" i="3"/>
  <c r="J47" i="3"/>
  <c r="B47" i="3"/>
  <c r="Z46" i="3"/>
  <c r="X46" i="3"/>
  <c r="V46" i="3"/>
  <c r="N46" i="3"/>
  <c r="L46" i="3"/>
  <c r="J46" i="3"/>
  <c r="B46" i="3"/>
  <c r="Z45" i="3"/>
  <c r="X45" i="3"/>
  <c r="V45" i="3"/>
  <c r="N45" i="3"/>
  <c r="L45" i="3"/>
  <c r="J45" i="3"/>
  <c r="B45" i="3"/>
  <c r="Z44" i="3"/>
  <c r="X44" i="3"/>
  <c r="N44" i="3"/>
  <c r="L44" i="3"/>
  <c r="B44" i="3"/>
  <c r="Z43" i="3"/>
  <c r="X43" i="3"/>
  <c r="N43" i="3"/>
  <c r="L43" i="3"/>
  <c r="J43" i="3"/>
  <c r="B43" i="3"/>
  <c r="Z42" i="3"/>
  <c r="X42" i="3"/>
  <c r="V42" i="3"/>
  <c r="N42" i="3"/>
  <c r="L42" i="3"/>
  <c r="J42" i="3"/>
  <c r="B42" i="3"/>
  <c r="Z41" i="3"/>
  <c r="X41" i="3"/>
  <c r="N41" i="3"/>
  <c r="L41" i="3"/>
  <c r="J41" i="3"/>
  <c r="B41" i="3"/>
  <c r="Z40" i="3"/>
  <c r="X40" i="3"/>
  <c r="N40" i="3"/>
  <c r="L40" i="3"/>
  <c r="J40" i="3"/>
  <c r="B40" i="3"/>
  <c r="Z39" i="3"/>
  <c r="X39" i="3"/>
  <c r="V39" i="3"/>
  <c r="N39" i="3"/>
  <c r="L39" i="3"/>
  <c r="J39" i="3"/>
  <c r="B39" i="3"/>
  <c r="Z38" i="3"/>
  <c r="X38" i="3"/>
  <c r="V38" i="3"/>
  <c r="N38" i="3"/>
  <c r="L38" i="3"/>
  <c r="J38" i="3"/>
  <c r="B38" i="3"/>
  <c r="Z37" i="3"/>
  <c r="X37" i="3"/>
  <c r="V37" i="3"/>
  <c r="N37" i="3"/>
  <c r="L37" i="3"/>
  <c r="J37" i="3"/>
  <c r="B37" i="3"/>
  <c r="Z36" i="3"/>
  <c r="X36" i="3"/>
  <c r="N36" i="3"/>
  <c r="L36" i="3"/>
  <c r="B36" i="3"/>
  <c r="Z35" i="3"/>
  <c r="X35" i="3"/>
  <c r="N35" i="3"/>
  <c r="L35" i="3"/>
  <c r="J35" i="3"/>
  <c r="B35" i="3"/>
  <c r="Z34" i="3"/>
  <c r="X34" i="3"/>
  <c r="V34" i="3"/>
  <c r="N34" i="3"/>
  <c r="L34" i="3"/>
  <c r="J34" i="3"/>
  <c r="B34" i="3"/>
  <c r="Z33" i="3"/>
  <c r="X33" i="3"/>
  <c r="N33" i="3"/>
  <c r="L33" i="3"/>
  <c r="J33" i="3"/>
  <c r="B33" i="3"/>
  <c r="Z32" i="3"/>
  <c r="X32" i="3"/>
  <c r="N32" i="3"/>
  <c r="L32" i="3"/>
  <c r="J32" i="3"/>
  <c r="B32" i="3"/>
  <c r="Z31" i="3"/>
  <c r="X31" i="3"/>
  <c r="V31" i="3"/>
  <c r="N31" i="3"/>
  <c r="L31" i="3"/>
  <c r="J31" i="3"/>
  <c r="B31" i="3"/>
  <c r="Z30" i="3"/>
  <c r="X30" i="3"/>
  <c r="V30" i="3"/>
  <c r="N30" i="3"/>
  <c r="L30" i="3"/>
  <c r="J30" i="3"/>
  <c r="B30" i="3"/>
  <c r="Z29" i="3"/>
  <c r="X29" i="3"/>
  <c r="V29" i="3"/>
  <c r="N29" i="3"/>
  <c r="L29" i="3"/>
  <c r="J29" i="3"/>
  <c r="B29" i="3"/>
  <c r="Z28" i="3"/>
  <c r="X28" i="3"/>
  <c r="N28" i="3"/>
  <c r="L28" i="3"/>
  <c r="B28" i="3"/>
  <c r="T27" i="3"/>
  <c r="P27" i="3"/>
  <c r="J27" i="3"/>
  <c r="H27" i="3"/>
  <c r="D27" i="3"/>
  <c r="L27" i="3" s="1"/>
  <c r="N27" i="3" s="1"/>
  <c r="Z25" i="3"/>
  <c r="P25" i="3"/>
  <c r="X25" i="3" s="1"/>
  <c r="N25" i="3"/>
  <c r="L25" i="3"/>
  <c r="D25" i="3"/>
  <c r="B25" i="3"/>
  <c r="Z24" i="3"/>
  <c r="X24" i="3"/>
  <c r="P24" i="3"/>
  <c r="N24" i="3"/>
  <c r="L24" i="3"/>
  <c r="D24" i="3"/>
  <c r="B24" i="3"/>
  <c r="Z23" i="3"/>
  <c r="X23" i="3"/>
  <c r="P23" i="3"/>
  <c r="N23" i="3"/>
  <c r="D23" i="3"/>
  <c r="L23" i="3" s="1"/>
  <c r="B23" i="3"/>
  <c r="Z22" i="3"/>
  <c r="P22" i="3"/>
  <c r="X22" i="3" s="1"/>
  <c r="N22" i="3"/>
  <c r="D22" i="3"/>
  <c r="L22" i="3" s="1"/>
  <c r="B22" i="3"/>
  <c r="Z21" i="3"/>
  <c r="P21" i="3"/>
  <c r="X21" i="3" s="1"/>
  <c r="N21" i="3"/>
  <c r="L21" i="3"/>
  <c r="D21" i="3"/>
  <c r="B21" i="3"/>
  <c r="Z20" i="3"/>
  <c r="X20" i="3"/>
  <c r="P20" i="3"/>
  <c r="N20" i="3"/>
  <c r="L20" i="3"/>
  <c r="D20" i="3"/>
  <c r="B20" i="3"/>
  <c r="Z19" i="3"/>
  <c r="X19" i="3"/>
  <c r="P19" i="3"/>
  <c r="N19" i="3"/>
  <c r="D19" i="3"/>
  <c r="L19" i="3" s="1"/>
  <c r="B19" i="3"/>
  <c r="Z18" i="3"/>
  <c r="P18" i="3"/>
  <c r="X18" i="3" s="1"/>
  <c r="N18" i="3"/>
  <c r="D18" i="3"/>
  <c r="L18" i="3" s="1"/>
  <c r="B18" i="3"/>
  <c r="P17" i="3"/>
  <c r="X17" i="3" s="1"/>
  <c r="Z17" i="3" s="1"/>
  <c r="N17" i="3"/>
  <c r="L17" i="3"/>
  <c r="D17" i="3"/>
  <c r="B17" i="3"/>
  <c r="Z16" i="3"/>
  <c r="X16" i="3"/>
  <c r="P16" i="3"/>
  <c r="N16" i="3"/>
  <c r="L16" i="3"/>
  <c r="D16" i="3"/>
  <c r="B16" i="3"/>
  <c r="Z15" i="3"/>
  <c r="X15" i="3"/>
  <c r="P15" i="3"/>
  <c r="N15" i="3"/>
  <c r="D15" i="3"/>
  <c r="L15" i="3" s="1"/>
  <c r="B15" i="3"/>
  <c r="Z14" i="3"/>
  <c r="P14" i="3"/>
  <c r="X14" i="3" s="1"/>
  <c r="N14" i="3"/>
  <c r="D14" i="3"/>
  <c r="L14" i="3" s="1"/>
  <c r="B14" i="3"/>
  <c r="P13" i="3"/>
  <c r="X13" i="3" s="1"/>
  <c r="Z13" i="3" s="1"/>
  <c r="N13" i="3"/>
  <c r="L13" i="3"/>
  <c r="D13" i="3"/>
  <c r="B13" i="3"/>
  <c r="T12" i="3"/>
  <c r="V170" i="3" s="1"/>
  <c r="H12" i="3"/>
  <c r="D4" i="3"/>
  <c r="X32" i="29" l="1"/>
  <c r="N18" i="46"/>
  <c r="X18" i="43"/>
  <c r="L20" i="52"/>
  <c r="X18" i="5"/>
  <c r="Z18" i="5" s="1"/>
  <c r="T75" i="18"/>
  <c r="X22" i="37"/>
  <c r="X19" i="45"/>
  <c r="Z19" i="45" s="1"/>
  <c r="X19" i="51"/>
  <c r="Z19" i="51" s="1"/>
  <c r="N44" i="13"/>
  <c r="L19" i="45"/>
  <c r="N19" i="45" s="1"/>
  <c r="X25" i="56"/>
  <c r="N29" i="14"/>
  <c r="T92" i="57"/>
  <c r="X24" i="30"/>
  <c r="Z24" i="30" s="1"/>
  <c r="L58" i="6"/>
  <c r="N42" i="11"/>
  <c r="L24" i="41"/>
  <c r="X20" i="52"/>
  <c r="X22" i="36"/>
  <c r="X24" i="59"/>
  <c r="L15" i="36"/>
  <c r="L34" i="36"/>
  <c r="L15" i="59"/>
  <c r="X34" i="59"/>
  <c r="L13" i="59"/>
  <c r="L22" i="36"/>
  <c r="L25" i="36"/>
  <c r="L21" i="36"/>
  <c r="X25" i="36"/>
  <c r="X33" i="36"/>
  <c r="X20" i="59"/>
  <c r="X13" i="59"/>
  <c r="L21" i="59"/>
  <c r="X22" i="59"/>
  <c r="X34" i="36"/>
  <c r="X21" i="59"/>
  <c r="Z12" i="36"/>
  <c r="X20" i="36"/>
  <c r="R20" i="59"/>
  <c r="V20" i="36"/>
  <c r="V31" i="36"/>
  <c r="X29" i="59"/>
  <c r="L29" i="36"/>
  <c r="L33" i="36"/>
  <c r="L22" i="59"/>
  <c r="R29" i="59"/>
  <c r="N22" i="36"/>
  <c r="J36" i="36"/>
  <c r="X16" i="59"/>
  <c r="L25" i="59"/>
  <c r="J29" i="36"/>
  <c r="L20" i="36"/>
  <c r="L20" i="59"/>
  <c r="X25" i="59"/>
  <c r="L13" i="36"/>
  <c r="X15" i="36"/>
  <c r="X21" i="36"/>
  <c r="X29" i="36"/>
  <c r="X15" i="59"/>
  <c r="L24" i="59"/>
  <c r="F34" i="36"/>
  <c r="V16" i="36"/>
  <c r="V21" i="36"/>
  <c r="F27" i="36"/>
  <c r="J33" i="36"/>
  <c r="Z12" i="59"/>
  <c r="H18" i="36"/>
  <c r="N18" i="36" s="1"/>
  <c r="R27" i="36"/>
  <c r="R16" i="59"/>
  <c r="L33" i="59"/>
  <c r="F21" i="36"/>
  <c r="J25" i="36"/>
  <c r="V27" i="36"/>
  <c r="R25" i="59"/>
  <c r="L16" i="36"/>
  <c r="F20" i="36"/>
  <c r="F31" i="36"/>
  <c r="V34" i="36"/>
  <c r="R15" i="59"/>
  <c r="V16" i="59"/>
  <c r="R22" i="59"/>
  <c r="X33" i="59"/>
  <c r="J15" i="36"/>
  <c r="F16" i="36"/>
  <c r="J21" i="36"/>
  <c r="J24" i="36"/>
  <c r="V20" i="59"/>
  <c r="L29" i="59"/>
  <c r="R33" i="59"/>
  <c r="R36" i="59"/>
  <c r="V22" i="59"/>
  <c r="L16" i="59"/>
  <c r="R18" i="59"/>
  <c r="N89" i="3"/>
  <c r="N19" i="5"/>
  <c r="L66" i="3"/>
  <c r="N66" i="3" s="1"/>
  <c r="D26" i="4"/>
  <c r="J66" i="3"/>
  <c r="X66" i="3"/>
  <c r="Z66" i="3" s="1"/>
  <c r="N145" i="3"/>
  <c r="Z57" i="5"/>
  <c r="V66" i="3"/>
  <c r="D97" i="5"/>
  <c r="L18" i="5"/>
  <c r="N18" i="5" s="1"/>
  <c r="Z95" i="3"/>
  <c r="H22" i="4"/>
  <c r="N16" i="4"/>
  <c r="F140" i="6"/>
  <c r="F116" i="6"/>
  <c r="F111" i="6"/>
  <c r="F108" i="6"/>
  <c r="F99" i="6"/>
  <c r="F96" i="6"/>
  <c r="F87" i="6"/>
  <c r="F84" i="6"/>
  <c r="F76" i="6"/>
  <c r="F64" i="6"/>
  <c r="F59" i="6"/>
  <c r="F58" i="6"/>
  <c r="F52" i="6"/>
  <c r="F44" i="6"/>
  <c r="F156" i="6"/>
  <c r="F150" i="6"/>
  <c r="F146" i="6"/>
  <c r="F143" i="6"/>
  <c r="F139" i="6"/>
  <c r="F130" i="6"/>
  <c r="F102" i="6"/>
  <c r="F90" i="6"/>
  <c r="F75" i="6"/>
  <c r="F70" i="6"/>
  <c r="F63" i="6"/>
  <c r="F142" i="6"/>
  <c r="F138" i="6"/>
  <c r="F133" i="6"/>
  <c r="F125" i="6"/>
  <c r="F113" i="6"/>
  <c r="F110" i="6"/>
  <c r="F105" i="6"/>
  <c r="F98" i="6"/>
  <c r="F93" i="6"/>
  <c r="F86" i="6"/>
  <c r="F81" i="6"/>
  <c r="F74" i="6"/>
  <c r="F62" i="6"/>
  <c r="F50" i="6"/>
  <c r="F42" i="6"/>
  <c r="F158" i="6"/>
  <c r="F149" i="6"/>
  <c r="F145" i="6"/>
  <c r="F137" i="6"/>
  <c r="F129" i="6"/>
  <c r="F120" i="6"/>
  <c r="F101" i="6"/>
  <c r="F89" i="6"/>
  <c r="F73" i="6"/>
  <c r="F69" i="6"/>
  <c r="F61" i="6"/>
  <c r="F49" i="6"/>
  <c r="F155" i="6"/>
  <c r="F153" i="6"/>
  <c r="F148" i="6"/>
  <c r="F136" i="6"/>
  <c r="F132" i="6"/>
  <c r="F128" i="6"/>
  <c r="F124" i="6"/>
  <c r="F115" i="6"/>
  <c r="F112" i="6"/>
  <c r="F107" i="6"/>
  <c r="F104" i="6"/>
  <c r="F100" i="6"/>
  <c r="F95" i="6"/>
  <c r="F92" i="6"/>
  <c r="F88" i="6"/>
  <c r="F83" i="6"/>
  <c r="F80" i="6"/>
  <c r="F72" i="6"/>
  <c r="F68" i="6"/>
  <c r="F60" i="6"/>
  <c r="F48" i="6"/>
  <c r="F162" i="6"/>
  <c r="F157" i="6"/>
  <c r="F141" i="6"/>
  <c r="F134" i="6"/>
  <c r="F126" i="6"/>
  <c r="F122" i="6"/>
  <c r="F118" i="6"/>
  <c r="F114" i="6"/>
  <c r="F109" i="6"/>
  <c r="F106" i="6"/>
  <c r="F97" i="6"/>
  <c r="F94" i="6"/>
  <c r="F85" i="6"/>
  <c r="F82" i="6"/>
  <c r="F78" i="6"/>
  <c r="F66" i="6"/>
  <c r="F154" i="6"/>
  <c r="F144" i="6"/>
  <c r="F121" i="6"/>
  <c r="F117" i="6"/>
  <c r="F77" i="6"/>
  <c r="F65" i="6"/>
  <c r="F53" i="6"/>
  <c r="F45" i="6"/>
  <c r="F147" i="6"/>
  <c r="F119" i="6"/>
  <c r="F103" i="6"/>
  <c r="F91" i="6"/>
  <c r="F79" i="6"/>
  <c r="F67" i="6"/>
  <c r="F40" i="6"/>
  <c r="F32" i="6"/>
  <c r="F131" i="6"/>
  <c r="D56" i="6"/>
  <c r="F38" i="6"/>
  <c r="F30" i="6"/>
  <c r="F25" i="6"/>
  <c r="F123" i="6"/>
  <c r="F51" i="6"/>
  <c r="F37" i="6"/>
  <c r="F29" i="6"/>
  <c r="F71" i="6"/>
  <c r="F47" i="6"/>
  <c r="F151" i="6"/>
  <c r="F36" i="6"/>
  <c r="F28" i="6"/>
  <c r="F46" i="6"/>
  <c r="F35" i="6"/>
  <c r="F27" i="6"/>
  <c r="F34" i="6"/>
  <c r="F26" i="6"/>
  <c r="L12" i="6"/>
  <c r="N12" i="6" s="1"/>
  <c r="F39" i="6"/>
  <c r="F31" i="6"/>
  <c r="F135" i="6"/>
  <c r="F127" i="6"/>
  <c r="F43" i="6"/>
  <c r="F41" i="6"/>
  <c r="F33" i="6"/>
  <c r="F56" i="6"/>
  <c r="F54" i="6"/>
  <c r="T22" i="4"/>
  <c r="T101" i="5"/>
  <c r="X107" i="6"/>
  <c r="Z107" i="6" s="1"/>
  <c r="D12" i="3"/>
  <c r="X78" i="3"/>
  <c r="Z78" i="3" s="1"/>
  <c r="V95" i="3"/>
  <c r="L136" i="3"/>
  <c r="N136" i="3" s="1"/>
  <c r="X185" i="3"/>
  <c r="Z185" i="3" s="1"/>
  <c r="F14" i="4"/>
  <c r="F18" i="4"/>
  <c r="F22" i="4"/>
  <c r="R22" i="5"/>
  <c r="R30" i="5"/>
  <c r="R34" i="5"/>
  <c r="R55" i="5"/>
  <c r="R58" i="5"/>
  <c r="R63" i="5"/>
  <c r="R79" i="5"/>
  <c r="L86" i="5"/>
  <c r="N86" i="5" s="1"/>
  <c r="R91" i="5"/>
  <c r="L15" i="6"/>
  <c r="J28" i="3"/>
  <c r="V32" i="3"/>
  <c r="J36" i="3"/>
  <c r="V40" i="3"/>
  <c r="J44" i="3"/>
  <c r="V48" i="3"/>
  <c r="J52" i="3"/>
  <c r="V56" i="3"/>
  <c r="J60" i="3"/>
  <c r="V68" i="3"/>
  <c r="J72" i="3"/>
  <c r="V76" i="3"/>
  <c r="J78" i="3"/>
  <c r="V80" i="3"/>
  <c r="J84" i="3"/>
  <c r="V88" i="3"/>
  <c r="J92" i="3"/>
  <c r="V96" i="3"/>
  <c r="J98" i="3"/>
  <c r="Z98" i="3"/>
  <c r="V100" i="3"/>
  <c r="J104" i="3"/>
  <c r="V108" i="3"/>
  <c r="J110" i="3"/>
  <c r="Z110" i="3"/>
  <c r="V112" i="3"/>
  <c r="J114" i="3"/>
  <c r="Z114" i="3"/>
  <c r="N116" i="3"/>
  <c r="V120" i="3"/>
  <c r="J122" i="3"/>
  <c r="Z122" i="3"/>
  <c r="N124" i="3"/>
  <c r="J128" i="3"/>
  <c r="J132" i="3"/>
  <c r="V140" i="3"/>
  <c r="J142" i="3"/>
  <c r="Z142" i="3"/>
  <c r="V144" i="3"/>
  <c r="V148" i="3"/>
  <c r="J152" i="3"/>
  <c r="N156" i="3"/>
  <c r="J160" i="3"/>
  <c r="J164" i="3"/>
  <c r="J168" i="3"/>
  <c r="J173" i="3"/>
  <c r="V174" i="3"/>
  <c r="J185" i="3"/>
  <c r="L12" i="4"/>
  <c r="P16" i="4"/>
  <c r="N14" i="5"/>
  <c r="F16" i="5"/>
  <c r="V16" i="5"/>
  <c r="J18" i="5"/>
  <c r="V18" i="5"/>
  <c r="V22" i="5"/>
  <c r="R23" i="5"/>
  <c r="J26" i="5"/>
  <c r="F27" i="5"/>
  <c r="V30" i="5"/>
  <c r="V34" i="5"/>
  <c r="R35" i="5"/>
  <c r="J38" i="5"/>
  <c r="F39" i="5"/>
  <c r="N42" i="5"/>
  <c r="F43" i="5"/>
  <c r="R44" i="5"/>
  <c r="F46" i="5"/>
  <c r="V46" i="5"/>
  <c r="R47" i="5"/>
  <c r="J48" i="5"/>
  <c r="Z48" i="5"/>
  <c r="V50" i="5"/>
  <c r="J54" i="5"/>
  <c r="V58" i="5"/>
  <c r="J62" i="5"/>
  <c r="J66" i="5"/>
  <c r="F67" i="5"/>
  <c r="R68" i="5"/>
  <c r="J70" i="5"/>
  <c r="F71" i="5"/>
  <c r="J74" i="5"/>
  <c r="F75" i="5"/>
  <c r="R76" i="5"/>
  <c r="J78" i="5"/>
  <c r="J82" i="5"/>
  <c r="F83" i="5"/>
  <c r="F87" i="5"/>
  <c r="J90" i="5"/>
  <c r="P97" i="5"/>
  <c r="J156" i="6"/>
  <c r="J143" i="6"/>
  <c r="J139" i="6"/>
  <c r="J133" i="6"/>
  <c r="J125" i="6"/>
  <c r="J113" i="6"/>
  <c r="J105" i="6"/>
  <c r="J93" i="6"/>
  <c r="J81" i="6"/>
  <c r="J75" i="6"/>
  <c r="J63" i="6"/>
  <c r="J51" i="6"/>
  <c r="J43" i="6"/>
  <c r="J142" i="6"/>
  <c r="J138" i="6"/>
  <c r="J120" i="6"/>
  <c r="J110" i="6"/>
  <c r="J98" i="6"/>
  <c r="J86" i="6"/>
  <c r="J74" i="6"/>
  <c r="J62" i="6"/>
  <c r="J158" i="6"/>
  <c r="J153" i="6"/>
  <c r="J149" i="6"/>
  <c r="J145" i="6"/>
  <c r="J137" i="6"/>
  <c r="J129" i="6"/>
  <c r="J115" i="6"/>
  <c r="J107" i="6"/>
  <c r="J101" i="6"/>
  <c r="J95" i="6"/>
  <c r="J89" i="6"/>
  <c r="J83" i="6"/>
  <c r="J73" i="6"/>
  <c r="J69" i="6"/>
  <c r="J61" i="6"/>
  <c r="J49" i="6"/>
  <c r="J155" i="6"/>
  <c r="J148" i="6"/>
  <c r="J136" i="6"/>
  <c r="J132" i="6"/>
  <c r="J128" i="6"/>
  <c r="J124" i="6"/>
  <c r="J112" i="6"/>
  <c r="J104" i="6"/>
  <c r="J100" i="6"/>
  <c r="J92" i="6"/>
  <c r="J88" i="6"/>
  <c r="J80" i="6"/>
  <c r="J72" i="6"/>
  <c r="J68" i="6"/>
  <c r="J60" i="6"/>
  <c r="J48" i="6"/>
  <c r="J151" i="6"/>
  <c r="J147" i="6"/>
  <c r="J141" i="6"/>
  <c r="J135" i="6"/>
  <c r="J131" i="6"/>
  <c r="J127" i="6"/>
  <c r="J123" i="6"/>
  <c r="J119" i="6"/>
  <c r="J109" i="6"/>
  <c r="J103" i="6"/>
  <c r="J97" i="6"/>
  <c r="J91" i="6"/>
  <c r="J85" i="6"/>
  <c r="J79" i="6"/>
  <c r="J71" i="6"/>
  <c r="J67" i="6"/>
  <c r="H56" i="6"/>
  <c r="J47" i="6"/>
  <c r="J154" i="6"/>
  <c r="J121" i="6"/>
  <c r="J117" i="6"/>
  <c r="J111" i="6"/>
  <c r="J99" i="6"/>
  <c r="J87" i="6"/>
  <c r="J77" i="6"/>
  <c r="J65" i="6"/>
  <c r="J59" i="6"/>
  <c r="J150" i="6"/>
  <c r="J146" i="6"/>
  <c r="J140" i="6"/>
  <c r="J130" i="6"/>
  <c r="J116" i="6"/>
  <c r="J108" i="6"/>
  <c r="J102" i="6"/>
  <c r="J96" i="6"/>
  <c r="J90" i="6"/>
  <c r="J84" i="6"/>
  <c r="J76" i="6"/>
  <c r="J70" i="6"/>
  <c r="J64" i="6"/>
  <c r="J52" i="6"/>
  <c r="J44" i="6"/>
  <c r="V28" i="6"/>
  <c r="J32" i="6"/>
  <c r="V36" i="6"/>
  <c r="J40" i="6"/>
  <c r="J42" i="6"/>
  <c r="V49" i="6"/>
  <c r="V50" i="6"/>
  <c r="J53" i="6"/>
  <c r="T56" i="6"/>
  <c r="V62" i="6"/>
  <c r="J114" i="6"/>
  <c r="X115" i="6"/>
  <c r="Z115" i="6" s="1"/>
  <c r="F24" i="7"/>
  <c r="Z64" i="7"/>
  <c r="F76" i="7"/>
  <c r="F91" i="7"/>
  <c r="N101" i="7"/>
  <c r="X58" i="8"/>
  <c r="Z58" i="8" s="1"/>
  <c r="X157" i="8"/>
  <c r="P150" i="8"/>
  <c r="X150" i="8" s="1"/>
  <c r="L16" i="4"/>
  <c r="R24" i="4"/>
  <c r="N85" i="6"/>
  <c r="L85" i="6"/>
  <c r="V67" i="3"/>
  <c r="J89" i="3"/>
  <c r="J101" i="3"/>
  <c r="V107" i="3"/>
  <c r="J145" i="3"/>
  <c r="F28" i="4"/>
  <c r="F31" i="4"/>
  <c r="R50" i="5"/>
  <c r="V33" i="3"/>
  <c r="V41" i="3"/>
  <c r="V49" i="3"/>
  <c r="J53" i="3"/>
  <c r="V57" i="3"/>
  <c r="J61" i="3"/>
  <c r="T64" i="3"/>
  <c r="J67" i="3"/>
  <c r="V69" i="3"/>
  <c r="J73" i="3"/>
  <c r="V77" i="3"/>
  <c r="V81" i="3"/>
  <c r="J85" i="3"/>
  <c r="V93" i="3"/>
  <c r="J95" i="3"/>
  <c r="V97" i="3"/>
  <c r="V105" i="3"/>
  <c r="J107" i="3"/>
  <c r="V109" i="3"/>
  <c r="V113" i="3"/>
  <c r="J117" i="3"/>
  <c r="V121" i="3"/>
  <c r="J125" i="3"/>
  <c r="J129" i="3"/>
  <c r="J133" i="3"/>
  <c r="J137" i="3"/>
  <c r="V141" i="3"/>
  <c r="V149" i="3"/>
  <c r="J153" i="3"/>
  <c r="J157" i="3"/>
  <c r="V161" i="3"/>
  <c r="V165" i="3"/>
  <c r="V169" i="3"/>
  <c r="J176" i="3"/>
  <c r="N12" i="4"/>
  <c r="J14" i="4"/>
  <c r="R16" i="4"/>
  <c r="J18" i="4"/>
  <c r="R20" i="4"/>
  <c r="J22" i="4"/>
  <c r="R26" i="4"/>
  <c r="J28" i="4"/>
  <c r="R29" i="4"/>
  <c r="J31" i="4"/>
  <c r="X12" i="5"/>
  <c r="H16" i="5"/>
  <c r="F20" i="5"/>
  <c r="V23" i="5"/>
  <c r="R24" i="5"/>
  <c r="J27" i="5"/>
  <c r="F28" i="5"/>
  <c r="F32" i="5"/>
  <c r="V35" i="5"/>
  <c r="R36" i="5"/>
  <c r="J39" i="5"/>
  <c r="F40" i="5"/>
  <c r="J43" i="5"/>
  <c r="V47" i="5"/>
  <c r="F52" i="5"/>
  <c r="R53" i="5"/>
  <c r="F55" i="5"/>
  <c r="V55" i="5"/>
  <c r="R56" i="5"/>
  <c r="J57" i="5"/>
  <c r="F60" i="5"/>
  <c r="R61" i="5"/>
  <c r="F63" i="5"/>
  <c r="V63" i="5"/>
  <c r="R64" i="5"/>
  <c r="J67" i="5"/>
  <c r="J71" i="5"/>
  <c r="F72" i="5"/>
  <c r="R73" i="5"/>
  <c r="J75" i="5"/>
  <c r="F79" i="5"/>
  <c r="V79" i="5"/>
  <c r="R80" i="5"/>
  <c r="J83" i="5"/>
  <c r="F84" i="5"/>
  <c r="J87" i="5"/>
  <c r="F88" i="5"/>
  <c r="R89" i="5"/>
  <c r="F91" i="5"/>
  <c r="V91" i="5"/>
  <c r="R92" i="5"/>
  <c r="J95" i="5"/>
  <c r="R97" i="5"/>
  <c r="J101" i="5"/>
  <c r="R104" i="5"/>
  <c r="N25" i="6"/>
  <c r="V29" i="6"/>
  <c r="J33" i="6"/>
  <c r="V37" i="6"/>
  <c r="J41" i="6"/>
  <c r="V56" i="6"/>
  <c r="J66" i="6"/>
  <c r="V74" i="6"/>
  <c r="F40" i="7"/>
  <c r="F79" i="7"/>
  <c r="F100" i="7"/>
  <c r="F108" i="7"/>
  <c r="X132" i="7"/>
  <c r="P12" i="3"/>
  <c r="V27" i="3"/>
  <c r="V35" i="3"/>
  <c r="V43" i="3"/>
  <c r="V51" i="3"/>
  <c r="V59" i="3"/>
  <c r="H64" i="3"/>
  <c r="V71" i="3"/>
  <c r="J75" i="3"/>
  <c r="J79" i="3"/>
  <c r="V83" i="3"/>
  <c r="J87" i="3"/>
  <c r="V91" i="3"/>
  <c r="J93" i="3"/>
  <c r="J99" i="3"/>
  <c r="V103" i="3"/>
  <c r="J105" i="3"/>
  <c r="J111" i="3"/>
  <c r="J115" i="3"/>
  <c r="V119" i="3"/>
  <c r="J123" i="3"/>
  <c r="V127" i="3"/>
  <c r="V131" i="3"/>
  <c r="J135" i="3"/>
  <c r="J139" i="3"/>
  <c r="J143" i="3"/>
  <c r="J147" i="3"/>
  <c r="V151" i="3"/>
  <c r="J155" i="3"/>
  <c r="V159" i="3"/>
  <c r="J161" i="3"/>
  <c r="V163" i="3"/>
  <c r="J165" i="3"/>
  <c r="J174" i="3"/>
  <c r="V175" i="3"/>
  <c r="F16" i="4"/>
  <c r="V16" i="4"/>
  <c r="F20" i="4"/>
  <c r="V20" i="4"/>
  <c r="J24" i="4"/>
  <c r="F26" i="4"/>
  <c r="V26" i="4"/>
  <c r="R19" i="5"/>
  <c r="J21" i="5"/>
  <c r="F22" i="5"/>
  <c r="R26" i="5"/>
  <c r="J29" i="5"/>
  <c r="F30" i="5"/>
  <c r="R31" i="5"/>
  <c r="J33" i="5"/>
  <c r="F34" i="5"/>
  <c r="V37" i="5"/>
  <c r="R38" i="5"/>
  <c r="J41" i="5"/>
  <c r="V45" i="5"/>
  <c r="J49" i="5"/>
  <c r="F50" i="5"/>
  <c r="R51" i="5"/>
  <c r="F53" i="5"/>
  <c r="V53" i="5"/>
  <c r="R54" i="5"/>
  <c r="J55" i="5"/>
  <c r="F58" i="5"/>
  <c r="R59" i="5"/>
  <c r="F61" i="5"/>
  <c r="V61" i="5"/>
  <c r="R62" i="5"/>
  <c r="J63" i="5"/>
  <c r="V65" i="5"/>
  <c r="R66" i="5"/>
  <c r="V69" i="5"/>
  <c r="R70" i="5"/>
  <c r="F73" i="5"/>
  <c r="V73" i="5"/>
  <c r="R74" i="5"/>
  <c r="V77" i="5"/>
  <c r="R78" i="5"/>
  <c r="J79" i="5"/>
  <c r="V81" i="5"/>
  <c r="R82" i="5"/>
  <c r="J85" i="5"/>
  <c r="F89" i="5"/>
  <c r="V89" i="5"/>
  <c r="R90" i="5"/>
  <c r="J91" i="5"/>
  <c r="V93" i="5"/>
  <c r="F97" i="5"/>
  <c r="V97" i="5"/>
  <c r="V99" i="5"/>
  <c r="F104" i="5"/>
  <c r="V104" i="5"/>
  <c r="P12" i="6"/>
  <c r="V31" i="6"/>
  <c r="V39" i="6"/>
  <c r="N58" i="6"/>
  <c r="N81" i="6"/>
  <c r="N93" i="6"/>
  <c r="J126" i="6"/>
  <c r="J134" i="6"/>
  <c r="T151" i="7"/>
  <c r="N95" i="8"/>
  <c r="Z105" i="8"/>
  <c r="X14" i="9"/>
  <c r="P12" i="9"/>
  <c r="V121" i="11"/>
  <c r="V115" i="11"/>
  <c r="V111" i="11"/>
  <c r="V103" i="11"/>
  <c r="V87" i="11"/>
  <c r="V75" i="11"/>
  <c r="V67" i="11"/>
  <c r="V59" i="11"/>
  <c r="V47" i="11"/>
  <c r="V35" i="11"/>
  <c r="V27" i="11"/>
  <c r="V19" i="11"/>
  <c r="V114" i="11"/>
  <c r="V86" i="11"/>
  <c r="V78" i="11"/>
  <c r="V74" i="11"/>
  <c r="V66" i="11"/>
  <c r="V58" i="11"/>
  <c r="V46" i="11"/>
  <c r="V42" i="11"/>
  <c r="V40" i="11"/>
  <c r="V34" i="11"/>
  <c r="V26" i="11"/>
  <c r="V123" i="11"/>
  <c r="V117" i="11"/>
  <c r="V113" i="11"/>
  <c r="V89" i="11"/>
  <c r="V81" i="11"/>
  <c r="V77" i="11"/>
  <c r="V69" i="11"/>
  <c r="V57" i="11"/>
  <c r="V45" i="11"/>
  <c r="T40" i="11"/>
  <c r="V33" i="11"/>
  <c r="V25" i="11"/>
  <c r="V120" i="11"/>
  <c r="V116" i="11"/>
  <c r="V108" i="11"/>
  <c r="V96" i="11"/>
  <c r="V92" i="11"/>
  <c r="V88" i="11"/>
  <c r="V80" i="11"/>
  <c r="V76" i="11"/>
  <c r="V68" i="11"/>
  <c r="V56" i="11"/>
  <c r="V52" i="11"/>
  <c r="V44" i="11"/>
  <c r="V32" i="11"/>
  <c r="V24" i="11"/>
  <c r="V107" i="11"/>
  <c r="V99" i="11"/>
  <c r="V95" i="11"/>
  <c r="V91" i="11"/>
  <c r="V83" i="11"/>
  <c r="V79" i="11"/>
  <c r="V71" i="11"/>
  <c r="V63" i="11"/>
  <c r="V55" i="11"/>
  <c r="V51" i="11"/>
  <c r="V43" i="11"/>
  <c r="V31" i="11"/>
  <c r="V23" i="11"/>
  <c r="V122" i="11"/>
  <c r="V110" i="11"/>
  <c r="V106" i="11"/>
  <c r="V102" i="11"/>
  <c r="V98" i="11"/>
  <c r="V94" i="11"/>
  <c r="V90" i="11"/>
  <c r="V82" i="11"/>
  <c r="V70" i="11"/>
  <c r="V62" i="11"/>
  <c r="V54" i="11"/>
  <c r="V50" i="11"/>
  <c r="V38" i="11"/>
  <c r="V30" i="11"/>
  <c r="V22" i="11"/>
  <c r="V127" i="11"/>
  <c r="V119" i="11"/>
  <c r="V109" i="11"/>
  <c r="V105" i="11"/>
  <c r="V101" i="11"/>
  <c r="V97" i="11"/>
  <c r="V93" i="11"/>
  <c r="V85" i="11"/>
  <c r="V73" i="11"/>
  <c r="V65" i="11"/>
  <c r="V61" i="11"/>
  <c r="V53" i="11"/>
  <c r="V49" i="11"/>
  <c r="V37" i="11"/>
  <c r="V29" i="11"/>
  <c r="V21" i="11"/>
  <c r="V100" i="11"/>
  <c r="V48" i="11"/>
  <c r="V20" i="11"/>
  <c r="V72" i="11"/>
  <c r="V64" i="11"/>
  <c r="V60" i="11"/>
  <c r="V28" i="11"/>
  <c r="V112" i="11"/>
  <c r="V36" i="11"/>
  <c r="V84" i="11"/>
  <c r="T159" i="8"/>
  <c r="Z27" i="15"/>
  <c r="V27" i="15"/>
  <c r="X27" i="15"/>
  <c r="X27" i="3"/>
  <c r="Z27" i="3" s="1"/>
  <c r="V28" i="3"/>
  <c r="V36" i="3"/>
  <c r="V44" i="3"/>
  <c r="J48" i="3"/>
  <c r="V52" i="3"/>
  <c r="J56" i="3"/>
  <c r="V60" i="3"/>
  <c r="J64" i="3"/>
  <c r="J68" i="3"/>
  <c r="V72" i="3"/>
  <c r="J76" i="3"/>
  <c r="J80" i="3"/>
  <c r="V84" i="3"/>
  <c r="J88" i="3"/>
  <c r="X91" i="3"/>
  <c r="Z91" i="3" s="1"/>
  <c r="V92" i="3"/>
  <c r="L93" i="3"/>
  <c r="N93" i="3" s="1"/>
  <c r="J96" i="3"/>
  <c r="J100" i="3"/>
  <c r="X103" i="3"/>
  <c r="Z103" i="3" s="1"/>
  <c r="V104" i="3"/>
  <c r="L105" i="3"/>
  <c r="N105" i="3" s="1"/>
  <c r="J108" i="3"/>
  <c r="J112" i="3"/>
  <c r="V116" i="3"/>
  <c r="J118" i="3"/>
  <c r="V124" i="3"/>
  <c r="J126" i="3"/>
  <c r="V128" i="3"/>
  <c r="X131" i="3"/>
  <c r="Z131" i="3" s="1"/>
  <c r="V132" i="3"/>
  <c r="V136" i="3"/>
  <c r="J140" i="3"/>
  <c r="J144" i="3"/>
  <c r="J148" i="3"/>
  <c r="V152" i="3"/>
  <c r="V156" i="3"/>
  <c r="X159" i="3"/>
  <c r="Z159" i="3" s="1"/>
  <c r="V160" i="3"/>
  <c r="L161" i="3"/>
  <c r="N161" i="3" s="1"/>
  <c r="V164" i="3"/>
  <c r="L165" i="3"/>
  <c r="N165" i="3" s="1"/>
  <c r="J169" i="3"/>
  <c r="J184" i="3"/>
  <c r="X12" i="4"/>
  <c r="X20" i="4"/>
  <c r="X29" i="4"/>
  <c r="Z29" i="4" s="1"/>
  <c r="J22" i="5"/>
  <c r="R27" i="5"/>
  <c r="J30" i="5"/>
  <c r="J34" i="5"/>
  <c r="F35" i="5"/>
  <c r="R39" i="5"/>
  <c r="F42" i="5"/>
  <c r="V42" i="5"/>
  <c r="R43" i="5"/>
  <c r="J44" i="5"/>
  <c r="F47" i="5"/>
  <c r="R48" i="5"/>
  <c r="J50" i="5"/>
  <c r="X53" i="5"/>
  <c r="Z53" i="5" s="1"/>
  <c r="V54" i="5"/>
  <c r="L55" i="5"/>
  <c r="N55" i="5" s="1"/>
  <c r="J58" i="5"/>
  <c r="X61" i="5"/>
  <c r="Z61" i="5" s="1"/>
  <c r="V62" i="5"/>
  <c r="L63" i="5"/>
  <c r="N63" i="5" s="1"/>
  <c r="V66" i="5"/>
  <c r="R67" i="5"/>
  <c r="J68" i="5"/>
  <c r="V70" i="5"/>
  <c r="R71" i="5"/>
  <c r="X73" i="5"/>
  <c r="Z73" i="5" s="1"/>
  <c r="V74" i="5"/>
  <c r="R75" i="5"/>
  <c r="V78" i="5"/>
  <c r="L79" i="5"/>
  <c r="N79" i="5" s="1"/>
  <c r="V82" i="5"/>
  <c r="R83" i="5"/>
  <c r="V86" i="5"/>
  <c r="R87" i="5"/>
  <c r="X89" i="5"/>
  <c r="Z89" i="5" s="1"/>
  <c r="L91" i="5"/>
  <c r="V157" i="6"/>
  <c r="V151" i="6"/>
  <c r="V147" i="6"/>
  <c r="V135" i="6"/>
  <c r="V131" i="6"/>
  <c r="V127" i="6"/>
  <c r="V123" i="6"/>
  <c r="V119" i="6"/>
  <c r="V111" i="6"/>
  <c r="V103" i="6"/>
  <c r="V99" i="6"/>
  <c r="V91" i="6"/>
  <c r="V87" i="6"/>
  <c r="V79" i="6"/>
  <c r="V71" i="6"/>
  <c r="V67" i="6"/>
  <c r="V59" i="6"/>
  <c r="V47" i="6"/>
  <c r="V162" i="6"/>
  <c r="V154" i="6"/>
  <c r="V150" i="6"/>
  <c r="V146" i="6"/>
  <c r="V134" i="6"/>
  <c r="V130" i="6"/>
  <c r="V126" i="6"/>
  <c r="V122" i="6"/>
  <c r="V118" i="6"/>
  <c r="V114" i="6"/>
  <c r="V106" i="6"/>
  <c r="V102" i="6"/>
  <c r="V94" i="6"/>
  <c r="V90" i="6"/>
  <c r="V82" i="6"/>
  <c r="V78" i="6"/>
  <c r="V70" i="6"/>
  <c r="V66" i="6"/>
  <c r="V133" i="6"/>
  <c r="V125" i="6"/>
  <c r="V121" i="6"/>
  <c r="V117" i="6"/>
  <c r="V113" i="6"/>
  <c r="V105" i="6"/>
  <c r="V93" i="6"/>
  <c r="V81" i="6"/>
  <c r="V77" i="6"/>
  <c r="V65" i="6"/>
  <c r="V53" i="6"/>
  <c r="V45" i="6"/>
  <c r="V156" i="6"/>
  <c r="V140" i="6"/>
  <c r="V120" i="6"/>
  <c r="V116" i="6"/>
  <c r="V108" i="6"/>
  <c r="V96" i="6"/>
  <c r="V84" i="6"/>
  <c r="V76" i="6"/>
  <c r="V64" i="6"/>
  <c r="V52" i="6"/>
  <c r="V44" i="6"/>
  <c r="V153" i="6"/>
  <c r="V143" i="6"/>
  <c r="V139" i="6"/>
  <c r="V115" i="6"/>
  <c r="V107" i="6"/>
  <c r="V95" i="6"/>
  <c r="V83" i="6"/>
  <c r="V75" i="6"/>
  <c r="V63" i="6"/>
  <c r="V51" i="6"/>
  <c r="V43" i="6"/>
  <c r="V155" i="6"/>
  <c r="V149" i="6"/>
  <c r="V145" i="6"/>
  <c r="V141" i="6"/>
  <c r="V137" i="6"/>
  <c r="V129" i="6"/>
  <c r="V109" i="6"/>
  <c r="V101" i="6"/>
  <c r="V97" i="6"/>
  <c r="V89" i="6"/>
  <c r="V85" i="6"/>
  <c r="V73" i="6"/>
  <c r="V69" i="6"/>
  <c r="V61" i="6"/>
  <c r="V148" i="6"/>
  <c r="V144" i="6"/>
  <c r="V136" i="6"/>
  <c r="V132" i="6"/>
  <c r="V128" i="6"/>
  <c r="V124" i="6"/>
  <c r="V112" i="6"/>
  <c r="V104" i="6"/>
  <c r="V100" i="6"/>
  <c r="V92" i="6"/>
  <c r="V88" i="6"/>
  <c r="V80" i="6"/>
  <c r="V72" i="6"/>
  <c r="V68" i="6"/>
  <c r="V60" i="6"/>
  <c r="V48" i="6"/>
  <c r="V32" i="6"/>
  <c r="V40" i="6"/>
  <c r="V41" i="6"/>
  <c r="V42" i="6"/>
  <c r="V86" i="6"/>
  <c r="L141" i="6"/>
  <c r="N141" i="6" s="1"/>
  <c r="L52" i="7"/>
  <c r="N52" i="7" s="1"/>
  <c r="Z81" i="8"/>
  <c r="N107" i="8"/>
  <c r="X138" i="8"/>
  <c r="L13" i="9"/>
  <c r="N13" i="9" s="1"/>
  <c r="D12" i="9"/>
  <c r="X14" i="10"/>
  <c r="P12" i="10"/>
  <c r="T31" i="10"/>
  <c r="D168" i="3"/>
  <c r="L168" i="3" s="1"/>
  <c r="N168" i="3" s="1"/>
  <c r="R14" i="4"/>
  <c r="R18" i="4"/>
  <c r="R22" i="4"/>
  <c r="R28" i="4"/>
  <c r="R52" i="5"/>
  <c r="R57" i="5"/>
  <c r="R60" i="5"/>
  <c r="R72" i="5"/>
  <c r="R84" i="5"/>
  <c r="R88" i="5"/>
  <c r="R95" i="5"/>
  <c r="X58" i="6"/>
  <c r="Z58" i="6" s="1"/>
  <c r="L109" i="6"/>
  <c r="N109" i="6" s="1"/>
  <c r="P153" i="6"/>
  <c r="X153" i="6" s="1"/>
  <c r="Z153" i="6" s="1"/>
  <c r="F133" i="7"/>
  <c r="F129" i="7"/>
  <c r="F124" i="7"/>
  <c r="F112" i="7"/>
  <c r="F96" i="7"/>
  <c r="F84" i="7"/>
  <c r="F69" i="7"/>
  <c r="F64" i="7"/>
  <c r="F57" i="7"/>
  <c r="F45" i="7"/>
  <c r="F37" i="7"/>
  <c r="F29" i="7"/>
  <c r="F149" i="7"/>
  <c r="F140" i="7"/>
  <c r="F136" i="7"/>
  <c r="F128" i="7"/>
  <c r="F120" i="7"/>
  <c r="F116" i="7"/>
  <c r="F107" i="7"/>
  <c r="F104" i="7"/>
  <c r="F99" i="7"/>
  <c r="F92" i="7"/>
  <c r="F87" i="7"/>
  <c r="F80" i="7"/>
  <c r="F75" i="7"/>
  <c r="F68" i="7"/>
  <c r="F56" i="7"/>
  <c r="F44" i="7"/>
  <c r="F36" i="7"/>
  <c r="F28" i="7"/>
  <c r="F146" i="7"/>
  <c r="F139" i="7"/>
  <c r="F127" i="7"/>
  <c r="F123" i="7"/>
  <c r="F119" i="7"/>
  <c r="F115" i="7"/>
  <c r="F111" i="7"/>
  <c r="F95" i="7"/>
  <c r="F83" i="7"/>
  <c r="F67" i="7"/>
  <c r="F63" i="7"/>
  <c r="F55" i="7"/>
  <c r="F43" i="7"/>
  <c r="F35" i="7"/>
  <c r="F27" i="7"/>
  <c r="F142" i="7"/>
  <c r="F138" i="7"/>
  <c r="F126" i="7"/>
  <c r="F122" i="7"/>
  <c r="F118" i="7"/>
  <c r="F114" i="7"/>
  <c r="F110" i="7"/>
  <c r="F106" i="7"/>
  <c r="F101" i="7"/>
  <c r="F98" i="7"/>
  <c r="F94" i="7"/>
  <c r="F89" i="7"/>
  <c r="F86" i="7"/>
  <c r="F82" i="7"/>
  <c r="F77" i="7"/>
  <c r="F74" i="7"/>
  <c r="F66" i="7"/>
  <c r="F62" i="7"/>
  <c r="F54" i="7"/>
  <c r="F42" i="7"/>
  <c r="F34" i="7"/>
  <c r="F26" i="7"/>
  <c r="F21" i="7"/>
  <c r="L12" i="7"/>
  <c r="N12" i="7" s="1"/>
  <c r="F153" i="7"/>
  <c r="F148" i="7"/>
  <c r="F132" i="7"/>
  <c r="F125" i="7"/>
  <c r="F113" i="7"/>
  <c r="F109" i="7"/>
  <c r="F97" i="7"/>
  <c r="F85" i="7"/>
  <c r="F73" i="7"/>
  <c r="F65" i="7"/>
  <c r="F61" i="7"/>
  <c r="F50" i="7"/>
  <c r="F41" i="7"/>
  <c r="F33" i="7"/>
  <c r="F25" i="7"/>
  <c r="F131" i="7"/>
  <c r="F71" i="7"/>
  <c r="F59" i="7"/>
  <c r="F47" i="7"/>
  <c r="F39" i="7"/>
  <c r="F31" i="7"/>
  <c r="F23" i="7"/>
  <c r="F147" i="7"/>
  <c r="F141" i="7"/>
  <c r="F137" i="7"/>
  <c r="F134" i="7"/>
  <c r="F130" i="7"/>
  <c r="F121" i="7"/>
  <c r="F117" i="7"/>
  <c r="F105" i="7"/>
  <c r="F102" i="7"/>
  <c r="F93" i="7"/>
  <c r="F90" i="7"/>
  <c r="F81" i="7"/>
  <c r="F78" i="7"/>
  <c r="F70" i="7"/>
  <c r="F58" i="7"/>
  <c r="F53" i="7"/>
  <c r="F52" i="7"/>
  <c r="F46" i="7"/>
  <c r="F38" i="7"/>
  <c r="F30" i="7"/>
  <c r="F22" i="7"/>
  <c r="F32" i="7"/>
  <c r="F48" i="7"/>
  <c r="F135" i="7"/>
  <c r="Z70" i="8"/>
  <c r="Z138" i="8"/>
  <c r="Z132" i="7"/>
  <c r="Z53" i="11"/>
  <c r="V35" i="6"/>
  <c r="V58" i="6"/>
  <c r="Z83" i="6"/>
  <c r="X83" i="6"/>
  <c r="X95" i="6"/>
  <c r="Z95" i="6" s="1"/>
  <c r="L97" i="6"/>
  <c r="N97" i="6" s="1"/>
  <c r="N125" i="6"/>
  <c r="N133" i="6"/>
  <c r="Z52" i="7"/>
  <c r="N77" i="7"/>
  <c r="F88" i="7"/>
  <c r="Z99" i="7"/>
  <c r="Z107" i="7"/>
  <c r="N58" i="8"/>
  <c r="V25" i="7"/>
  <c r="J29" i="7"/>
  <c r="V33" i="7"/>
  <c r="J37" i="7"/>
  <c r="V41" i="7"/>
  <c r="J45" i="7"/>
  <c r="V53" i="7"/>
  <c r="J57" i="7"/>
  <c r="V61" i="7"/>
  <c r="V65" i="7"/>
  <c r="J69" i="7"/>
  <c r="V73" i="7"/>
  <c r="J75" i="7"/>
  <c r="V81" i="7"/>
  <c r="V85" i="7"/>
  <c r="J87" i="7"/>
  <c r="V93" i="7"/>
  <c r="V97" i="7"/>
  <c r="J99" i="7"/>
  <c r="V105" i="7"/>
  <c r="J107" i="7"/>
  <c r="V109" i="7"/>
  <c r="V113" i="7"/>
  <c r="V117" i="7"/>
  <c r="V121" i="7"/>
  <c r="X124" i="7"/>
  <c r="Z124" i="7" s="1"/>
  <c r="V125" i="7"/>
  <c r="J129" i="7"/>
  <c r="J133" i="7"/>
  <c r="V137" i="7"/>
  <c r="V141" i="7"/>
  <c r="V145" i="7"/>
  <c r="V151" i="7"/>
  <c r="V153" i="7"/>
  <c r="P12" i="8"/>
  <c r="J21" i="8"/>
  <c r="Z21" i="8"/>
  <c r="V23" i="8"/>
  <c r="J27" i="8"/>
  <c r="V31" i="8"/>
  <c r="J35" i="8"/>
  <c r="V39" i="8"/>
  <c r="J43" i="8"/>
  <c r="V47" i="8"/>
  <c r="J51" i="8"/>
  <c r="V59" i="8"/>
  <c r="J63" i="8"/>
  <c r="V67" i="8"/>
  <c r="X70" i="8"/>
  <c r="V71" i="8"/>
  <c r="J75" i="8"/>
  <c r="V79" i="8"/>
  <c r="J81" i="8"/>
  <c r="V87" i="8"/>
  <c r="X90" i="8"/>
  <c r="V91" i="8"/>
  <c r="J93" i="8"/>
  <c r="V99" i="8"/>
  <c r="X102" i="8"/>
  <c r="Z102" i="8" s="1"/>
  <c r="V103" i="8"/>
  <c r="J105" i="8"/>
  <c r="V111" i="8"/>
  <c r="J113" i="8"/>
  <c r="V115" i="8"/>
  <c r="X118" i="8"/>
  <c r="Z118" i="8" s="1"/>
  <c r="V119" i="8"/>
  <c r="V123" i="8"/>
  <c r="V127" i="8"/>
  <c r="X130" i="8"/>
  <c r="Z130" i="8" s="1"/>
  <c r="V131" i="8"/>
  <c r="J135" i="8"/>
  <c r="J139" i="8"/>
  <c r="J143" i="8"/>
  <c r="V145" i="8"/>
  <c r="J157" i="8"/>
  <c r="H97" i="10"/>
  <c r="X42" i="11"/>
  <c r="Z42" i="11" s="1"/>
  <c r="N113" i="11"/>
  <c r="D119" i="11"/>
  <c r="L119" i="11" s="1"/>
  <c r="H130" i="13"/>
  <c r="J130" i="13" s="1"/>
  <c r="J22" i="7"/>
  <c r="V26" i="7"/>
  <c r="J30" i="7"/>
  <c r="V34" i="7"/>
  <c r="J38" i="7"/>
  <c r="V42" i="7"/>
  <c r="J46" i="7"/>
  <c r="V54" i="7"/>
  <c r="J58" i="7"/>
  <c r="V62" i="7"/>
  <c r="J64" i="7"/>
  <c r="V66" i="7"/>
  <c r="J70" i="7"/>
  <c r="V74" i="7"/>
  <c r="J78" i="7"/>
  <c r="V82" i="7"/>
  <c r="J84" i="7"/>
  <c r="V86" i="7"/>
  <c r="J90" i="7"/>
  <c r="V94" i="7"/>
  <c r="J96" i="7"/>
  <c r="V98" i="7"/>
  <c r="J102" i="7"/>
  <c r="V106" i="7"/>
  <c r="V110" i="7"/>
  <c r="J112" i="7"/>
  <c r="V114" i="7"/>
  <c r="V118" i="7"/>
  <c r="V122" i="7"/>
  <c r="J124" i="7"/>
  <c r="V126" i="7"/>
  <c r="J130" i="7"/>
  <c r="J134" i="7"/>
  <c r="V138" i="7"/>
  <c r="V142" i="7"/>
  <c r="J147" i="7"/>
  <c r="V148" i="7"/>
  <c r="V155" i="8"/>
  <c r="V154" i="8"/>
  <c r="V148" i="8"/>
  <c r="V144" i="8"/>
  <c r="V156" i="8"/>
  <c r="V161" i="8"/>
  <c r="V159" i="8"/>
  <c r="V153" i="8"/>
  <c r="V24" i="8"/>
  <c r="J28" i="8"/>
  <c r="V32" i="8"/>
  <c r="J36" i="8"/>
  <c r="V40" i="8"/>
  <c r="J44" i="8"/>
  <c r="V48" i="8"/>
  <c r="J52" i="8"/>
  <c r="V60" i="8"/>
  <c r="J64" i="8"/>
  <c r="V68" i="8"/>
  <c r="J70" i="8"/>
  <c r="V72" i="8"/>
  <c r="J76" i="8"/>
  <c r="V80" i="8"/>
  <c r="J84" i="8"/>
  <c r="V88" i="8"/>
  <c r="J90" i="8"/>
  <c r="V92" i="8"/>
  <c r="J96" i="8"/>
  <c r="V100" i="8"/>
  <c r="J102" i="8"/>
  <c r="V104" i="8"/>
  <c r="J108" i="8"/>
  <c r="V112" i="8"/>
  <c r="V116" i="8"/>
  <c r="J118" i="8"/>
  <c r="V120" i="8"/>
  <c r="V124" i="8"/>
  <c r="V128" i="8"/>
  <c r="J130" i="8"/>
  <c r="V132" i="8"/>
  <c r="J136" i="8"/>
  <c r="J140" i="8"/>
  <c r="V142" i="8"/>
  <c r="N150" i="8"/>
  <c r="X73" i="9"/>
  <c r="Z73" i="9" s="1"/>
  <c r="X19" i="10"/>
  <c r="Z19" i="10" s="1"/>
  <c r="Z69" i="10"/>
  <c r="Z19" i="11"/>
  <c r="X53" i="11"/>
  <c r="X93" i="11"/>
  <c r="Z93" i="11" s="1"/>
  <c r="N119" i="11"/>
  <c r="H80" i="12"/>
  <c r="P12" i="13"/>
  <c r="N107" i="13"/>
  <c r="L107" i="13"/>
  <c r="X58" i="16"/>
  <c r="Z58" i="16" s="1"/>
  <c r="J24" i="7"/>
  <c r="V28" i="7"/>
  <c r="J32" i="7"/>
  <c r="V36" i="7"/>
  <c r="J40" i="7"/>
  <c r="V44" i="7"/>
  <c r="J48" i="7"/>
  <c r="V50" i="7"/>
  <c r="J52" i="7"/>
  <c r="V52" i="7"/>
  <c r="V56" i="7"/>
  <c r="J60" i="7"/>
  <c r="V68" i="7"/>
  <c r="J72" i="7"/>
  <c r="J76" i="7"/>
  <c r="V80" i="7"/>
  <c r="J88" i="7"/>
  <c r="V92" i="7"/>
  <c r="J100" i="7"/>
  <c r="V104" i="7"/>
  <c r="J108" i="7"/>
  <c r="V116" i="7"/>
  <c r="V120" i="7"/>
  <c r="V128" i="7"/>
  <c r="V132" i="7"/>
  <c r="V136" i="7"/>
  <c r="V140" i="7"/>
  <c r="J145" i="7"/>
  <c r="V146" i="7"/>
  <c r="J22" i="8"/>
  <c r="J30" i="8"/>
  <c r="V34" i="8"/>
  <c r="J38" i="8"/>
  <c r="V42" i="8"/>
  <c r="J46" i="8"/>
  <c r="V50" i="8"/>
  <c r="J54" i="8"/>
  <c r="V56" i="8"/>
  <c r="J58" i="8"/>
  <c r="V58" i="8"/>
  <c r="V62" i="8"/>
  <c r="J66" i="8"/>
  <c r="V74" i="8"/>
  <c r="J78" i="8"/>
  <c r="J82" i="8"/>
  <c r="V86" i="8"/>
  <c r="J94" i="8"/>
  <c r="V98" i="8"/>
  <c r="J106" i="8"/>
  <c r="V110" i="8"/>
  <c r="J114" i="8"/>
  <c r="V122" i="8"/>
  <c r="V126" i="8"/>
  <c r="V134" i="8"/>
  <c r="V138" i="8"/>
  <c r="J148" i="8"/>
  <c r="V157" i="8"/>
  <c r="N27" i="9"/>
  <c r="J40" i="9"/>
  <c r="Z64" i="11"/>
  <c r="Z72" i="11"/>
  <c r="N103" i="11"/>
  <c r="N109" i="11"/>
  <c r="N49" i="12"/>
  <c r="V21" i="7"/>
  <c r="J25" i="7"/>
  <c r="V29" i="7"/>
  <c r="J33" i="7"/>
  <c r="V37" i="7"/>
  <c r="J41" i="7"/>
  <c r="V45" i="7"/>
  <c r="H50" i="7"/>
  <c r="L50" i="7" s="1"/>
  <c r="V57" i="7"/>
  <c r="J61" i="7"/>
  <c r="J65" i="7"/>
  <c r="V69" i="7"/>
  <c r="J73" i="7"/>
  <c r="V77" i="7"/>
  <c r="J79" i="7"/>
  <c r="J85" i="7"/>
  <c r="V89" i="7"/>
  <c r="J91" i="7"/>
  <c r="J97" i="7"/>
  <c r="V101" i="7"/>
  <c r="J103" i="7"/>
  <c r="J109" i="7"/>
  <c r="J113" i="7"/>
  <c r="J125" i="7"/>
  <c r="V129" i="7"/>
  <c r="V133" i="7"/>
  <c r="J135" i="7"/>
  <c r="D144" i="7"/>
  <c r="L144" i="7" s="1"/>
  <c r="N144" i="7" s="1"/>
  <c r="J148" i="7"/>
  <c r="V149" i="7"/>
  <c r="J153" i="7"/>
  <c r="D12" i="8"/>
  <c r="J23" i="8"/>
  <c r="V27" i="8"/>
  <c r="J31" i="8"/>
  <c r="V35" i="8"/>
  <c r="J39" i="8"/>
  <c r="V43" i="8"/>
  <c r="J47" i="8"/>
  <c r="V51" i="8"/>
  <c r="H56" i="8"/>
  <c r="V63" i="8"/>
  <c r="J67" i="8"/>
  <c r="J71" i="8"/>
  <c r="V75" i="8"/>
  <c r="J79" i="8"/>
  <c r="V83" i="8"/>
  <c r="J85" i="8"/>
  <c r="J91" i="8"/>
  <c r="V95" i="8"/>
  <c r="J97" i="8"/>
  <c r="J103" i="8"/>
  <c r="V107" i="8"/>
  <c r="J109" i="8"/>
  <c r="J115" i="8"/>
  <c r="J119" i="8"/>
  <c r="J131" i="8"/>
  <c r="V135" i="8"/>
  <c r="V139" i="8"/>
  <c r="J141" i="8"/>
  <c r="V143" i="8"/>
  <c r="J147" i="8"/>
  <c r="J36" i="9"/>
  <c r="X61" i="9"/>
  <c r="T97" i="9"/>
  <c r="V97" i="9" s="1"/>
  <c r="X33" i="10"/>
  <c r="Z33" i="10" s="1"/>
  <c r="N66" i="11"/>
  <c r="X109" i="11"/>
  <c r="X19" i="12"/>
  <c r="N25" i="12"/>
  <c r="Z47" i="12"/>
  <c r="F122" i="13"/>
  <c r="F93" i="13"/>
  <c r="F90" i="13"/>
  <c r="F85" i="13"/>
  <c r="F78" i="13"/>
  <c r="F62" i="13"/>
  <c r="F50" i="13"/>
  <c r="F45" i="13"/>
  <c r="F44" i="13"/>
  <c r="F125" i="13"/>
  <c r="F112" i="13"/>
  <c r="F107" i="13"/>
  <c r="F92" i="13"/>
  <c r="F87" i="13"/>
  <c r="F84" i="13"/>
  <c r="F80" i="13"/>
  <c r="F75" i="13"/>
  <c r="F118" i="13"/>
  <c r="F115" i="13"/>
  <c r="F111" i="13"/>
  <c r="F103" i="13"/>
  <c r="F99" i="13"/>
  <c r="F95" i="13"/>
  <c r="F83" i="13"/>
  <c r="F71" i="13"/>
  <c r="F66" i="13"/>
  <c r="F59" i="13"/>
  <c r="F47" i="13"/>
  <c r="F132" i="13"/>
  <c r="F127" i="13"/>
  <c r="F121" i="13"/>
  <c r="F110" i="13"/>
  <c r="F106" i="13"/>
  <c r="F102" i="13"/>
  <c r="F98" i="13"/>
  <c r="F94" i="13"/>
  <c r="F89" i="13"/>
  <c r="F86" i="13"/>
  <c r="F77" i="13"/>
  <c r="F74" i="13"/>
  <c r="F117" i="13"/>
  <c r="F109" i="13"/>
  <c r="F105" i="13"/>
  <c r="F101" i="13"/>
  <c r="F97" i="13"/>
  <c r="F73" i="13"/>
  <c r="F68" i="13"/>
  <c r="F65" i="13"/>
  <c r="F57" i="13"/>
  <c r="F53" i="13"/>
  <c r="F120" i="13"/>
  <c r="F108" i="13"/>
  <c r="F91" i="13"/>
  <c r="F88" i="13"/>
  <c r="F79" i="13"/>
  <c r="F76" i="13"/>
  <c r="F64" i="13"/>
  <c r="F56" i="13"/>
  <c r="F52" i="13"/>
  <c r="F114" i="13"/>
  <c r="F67" i="13"/>
  <c r="F54" i="13"/>
  <c r="D42" i="13"/>
  <c r="F39" i="13"/>
  <c r="F31" i="13"/>
  <c r="F23" i="13"/>
  <c r="F55" i="13"/>
  <c r="F38" i="13"/>
  <c r="F30" i="13"/>
  <c r="F22" i="13"/>
  <c r="L12" i="13"/>
  <c r="N12" i="13" s="1"/>
  <c r="F116" i="13"/>
  <c r="F104" i="13"/>
  <c r="F63" i="13"/>
  <c r="F46" i="13"/>
  <c r="F37" i="13"/>
  <c r="F29" i="13"/>
  <c r="F21" i="13"/>
  <c r="F126" i="13"/>
  <c r="F69" i="13"/>
  <c r="F58" i="13"/>
  <c r="F51" i="13"/>
  <c r="F36" i="13"/>
  <c r="F28" i="13"/>
  <c r="F20" i="13"/>
  <c r="F119" i="13"/>
  <c r="F100" i="13"/>
  <c r="F70" i="13"/>
  <c r="F35" i="13"/>
  <c r="F27" i="13"/>
  <c r="F96" i="13"/>
  <c r="F48" i="13"/>
  <c r="F34" i="13"/>
  <c r="F26" i="13"/>
  <c r="F113" i="13"/>
  <c r="F81" i="13"/>
  <c r="F72" i="13"/>
  <c r="F60" i="13"/>
  <c r="F33" i="13"/>
  <c r="F25" i="13"/>
  <c r="F82" i="13"/>
  <c r="V22" i="7"/>
  <c r="J26" i="7"/>
  <c r="V30" i="7"/>
  <c r="J34" i="7"/>
  <c r="V38" i="7"/>
  <c r="J42" i="7"/>
  <c r="V46" i="7"/>
  <c r="J50" i="7"/>
  <c r="J54" i="7"/>
  <c r="V58" i="7"/>
  <c r="J62" i="7"/>
  <c r="J66" i="7"/>
  <c r="V70" i="7"/>
  <c r="J74" i="7"/>
  <c r="V78" i="7"/>
  <c r="J82" i="7"/>
  <c r="J86" i="7"/>
  <c r="V90" i="7"/>
  <c r="J94" i="7"/>
  <c r="J98" i="7"/>
  <c r="V102" i="7"/>
  <c r="J106" i="7"/>
  <c r="J110" i="7"/>
  <c r="J114" i="7"/>
  <c r="J118" i="7"/>
  <c r="J122" i="7"/>
  <c r="J126" i="7"/>
  <c r="V130" i="7"/>
  <c r="J132" i="7"/>
  <c r="V134" i="7"/>
  <c r="L135" i="7"/>
  <c r="J138" i="7"/>
  <c r="J142" i="7"/>
  <c r="V144" i="7"/>
  <c r="J154" i="8"/>
  <c r="J153" i="8"/>
  <c r="J155" i="8"/>
  <c r="J150" i="8"/>
  <c r="J146" i="8"/>
  <c r="J142" i="8"/>
  <c r="J152" i="8"/>
  <c r="J145" i="8"/>
  <c r="J24" i="8"/>
  <c r="V28" i="8"/>
  <c r="J32" i="8"/>
  <c r="V36" i="8"/>
  <c r="J40" i="8"/>
  <c r="V44" i="8"/>
  <c r="J48" i="8"/>
  <c r="V52" i="8"/>
  <c r="J60" i="8"/>
  <c r="V64" i="8"/>
  <c r="J68" i="8"/>
  <c r="J72" i="8"/>
  <c r="V76" i="8"/>
  <c r="J80" i="8"/>
  <c r="X83" i="8"/>
  <c r="Z83" i="8" s="1"/>
  <c r="V84" i="8"/>
  <c r="L85" i="8"/>
  <c r="N85" i="8" s="1"/>
  <c r="J88" i="8"/>
  <c r="J92" i="8"/>
  <c r="X95" i="8"/>
  <c r="Z95" i="8" s="1"/>
  <c r="V96" i="8"/>
  <c r="L97" i="8"/>
  <c r="N97" i="8" s="1"/>
  <c r="J100" i="8"/>
  <c r="J104" i="8"/>
  <c r="X107" i="8"/>
  <c r="Z107" i="8" s="1"/>
  <c r="V108" i="8"/>
  <c r="L109" i="8"/>
  <c r="J112" i="8"/>
  <c r="J116" i="8"/>
  <c r="J120" i="8"/>
  <c r="J124" i="8"/>
  <c r="J128" i="8"/>
  <c r="J132" i="8"/>
  <c r="V136" i="8"/>
  <c r="J138" i="8"/>
  <c r="V140" i="8"/>
  <c r="L141" i="8"/>
  <c r="V146" i="8"/>
  <c r="Z150" i="8"/>
  <c r="V151" i="8"/>
  <c r="J95" i="9"/>
  <c r="J91" i="9"/>
  <c r="J83" i="9"/>
  <c r="J79" i="9"/>
  <c r="J75" i="9"/>
  <c r="J71" i="9"/>
  <c r="J65" i="9"/>
  <c r="J51" i="9"/>
  <c r="J47" i="9"/>
  <c r="J35" i="9"/>
  <c r="J27" i="9"/>
  <c r="J23" i="9"/>
  <c r="J82" i="9"/>
  <c r="J78" i="9"/>
  <c r="J74" i="9"/>
  <c r="J70" i="9"/>
  <c r="J62" i="9"/>
  <c r="J56" i="9"/>
  <c r="J46" i="9"/>
  <c r="J34" i="9"/>
  <c r="J28" i="9"/>
  <c r="J99" i="9"/>
  <c r="J93" i="9"/>
  <c r="J87" i="9"/>
  <c r="J81" i="9"/>
  <c r="J77" i="9"/>
  <c r="J67" i="9"/>
  <c r="J59" i="9"/>
  <c r="J53" i="9"/>
  <c r="J45" i="9"/>
  <c r="J39" i="9"/>
  <c r="J33" i="9"/>
  <c r="J21" i="9"/>
  <c r="J90" i="9"/>
  <c r="J64" i="9"/>
  <c r="J50" i="9"/>
  <c r="J44" i="9"/>
  <c r="J32" i="9"/>
  <c r="J73" i="9"/>
  <c r="J69" i="9"/>
  <c r="J61" i="9"/>
  <c r="J55" i="9"/>
  <c r="J43" i="9"/>
  <c r="J31" i="9"/>
  <c r="J92" i="9"/>
  <c r="J86" i="9"/>
  <c r="J80" i="9"/>
  <c r="J76" i="9"/>
  <c r="J66" i="9"/>
  <c r="J58" i="9"/>
  <c r="J52" i="9"/>
  <c r="J42" i="9"/>
  <c r="J38" i="9"/>
  <c r="J30" i="9"/>
  <c r="J20" i="9"/>
  <c r="J89" i="9"/>
  <c r="J85" i="9"/>
  <c r="J63" i="9"/>
  <c r="J57" i="9"/>
  <c r="J49" i="9"/>
  <c r="J41" i="9"/>
  <c r="J37" i="9"/>
  <c r="J29" i="9"/>
  <c r="J25" i="9"/>
  <c r="Z61" i="9"/>
  <c r="P87" i="10"/>
  <c r="X87" i="10" s="1"/>
  <c r="Z87" i="10" s="1"/>
  <c r="X88" i="10"/>
  <c r="Z88" i="10" s="1"/>
  <c r="Z109" i="11"/>
  <c r="X14" i="12"/>
  <c r="Z14" i="12" s="1"/>
  <c r="P12" i="12"/>
  <c r="T23" i="12"/>
  <c r="Z19" i="12"/>
  <c r="T128" i="14"/>
  <c r="P12" i="7"/>
  <c r="J21" i="7"/>
  <c r="V23" i="7"/>
  <c r="J27" i="7"/>
  <c r="V31" i="7"/>
  <c r="J35" i="7"/>
  <c r="V39" i="7"/>
  <c r="J43" i="7"/>
  <c r="V47" i="7"/>
  <c r="J55" i="7"/>
  <c r="V59" i="7"/>
  <c r="J63" i="7"/>
  <c r="J67" i="7"/>
  <c r="V71" i="7"/>
  <c r="V75" i="7"/>
  <c r="J77" i="7"/>
  <c r="J83" i="7"/>
  <c r="V87" i="7"/>
  <c r="J89" i="7"/>
  <c r="J95" i="7"/>
  <c r="V99" i="7"/>
  <c r="J101" i="7"/>
  <c r="V107" i="7"/>
  <c r="J111" i="7"/>
  <c r="J115" i="7"/>
  <c r="J119" i="7"/>
  <c r="J123" i="7"/>
  <c r="J127" i="7"/>
  <c r="V131" i="7"/>
  <c r="J139" i="7"/>
  <c r="J146" i="7"/>
  <c r="V147" i="7"/>
  <c r="J25" i="8"/>
  <c r="V29" i="8"/>
  <c r="J33" i="8"/>
  <c r="V37" i="8"/>
  <c r="J41" i="8"/>
  <c r="V45" i="8"/>
  <c r="J49" i="8"/>
  <c r="V53" i="8"/>
  <c r="J61" i="8"/>
  <c r="V65" i="8"/>
  <c r="J69" i="8"/>
  <c r="J73" i="8"/>
  <c r="V77" i="8"/>
  <c r="V81" i="8"/>
  <c r="J83" i="8"/>
  <c r="J89" i="8"/>
  <c r="V93" i="8"/>
  <c r="J95" i="8"/>
  <c r="J101" i="8"/>
  <c r="V105" i="8"/>
  <c r="J107" i="8"/>
  <c r="V113" i="8"/>
  <c r="J117" i="8"/>
  <c r="J121" i="8"/>
  <c r="J125" i="8"/>
  <c r="J129" i="8"/>
  <c r="J133" i="8"/>
  <c r="V137" i="8"/>
  <c r="V150" i="8"/>
  <c r="V152" i="8"/>
  <c r="Z27" i="9"/>
  <c r="J48" i="9"/>
  <c r="Z97" i="11"/>
  <c r="Z100" i="11"/>
  <c r="X14" i="15"/>
  <c r="P12" i="15"/>
  <c r="V24" i="7"/>
  <c r="V32" i="7"/>
  <c r="J36" i="7"/>
  <c r="V40" i="7"/>
  <c r="J44" i="7"/>
  <c r="V48" i="7"/>
  <c r="J56" i="7"/>
  <c r="V60" i="7"/>
  <c r="V64" i="7"/>
  <c r="J68" i="7"/>
  <c r="V72" i="7"/>
  <c r="V76" i="7"/>
  <c r="J80" i="7"/>
  <c r="V84" i="7"/>
  <c r="V88" i="7"/>
  <c r="J92" i="7"/>
  <c r="V96" i="7"/>
  <c r="V100" i="7"/>
  <c r="J104" i="7"/>
  <c r="V108" i="7"/>
  <c r="V112" i="7"/>
  <c r="J116" i="7"/>
  <c r="J120" i="7"/>
  <c r="J128" i="7"/>
  <c r="J136" i="7"/>
  <c r="J140" i="7"/>
  <c r="J144" i="7"/>
  <c r="V22" i="8"/>
  <c r="J26" i="8"/>
  <c r="V30" i="8"/>
  <c r="J34" i="8"/>
  <c r="V38" i="8"/>
  <c r="J42" i="8"/>
  <c r="V46" i="8"/>
  <c r="J50" i="8"/>
  <c r="V54" i="8"/>
  <c r="J62" i="8"/>
  <c r="V66" i="8"/>
  <c r="V70" i="8"/>
  <c r="J74" i="8"/>
  <c r="V78" i="8"/>
  <c r="V82" i="8"/>
  <c r="J86" i="8"/>
  <c r="V90" i="8"/>
  <c r="V94" i="8"/>
  <c r="J98" i="8"/>
  <c r="V102" i="8"/>
  <c r="V106" i="8"/>
  <c r="J110" i="8"/>
  <c r="V114" i="8"/>
  <c r="V118" i="8"/>
  <c r="J122" i="8"/>
  <c r="J126" i="8"/>
  <c r="V130" i="8"/>
  <c r="J134" i="8"/>
  <c r="J144" i="8"/>
  <c r="H25" i="9"/>
  <c r="N65" i="9"/>
  <c r="J68" i="9"/>
  <c r="Z69" i="9"/>
  <c r="J88" i="9"/>
  <c r="N33" i="10"/>
  <c r="X67" i="10"/>
  <c r="Z67" i="10" s="1"/>
  <c r="L69" i="10"/>
  <c r="N69" i="10" s="1"/>
  <c r="L87" i="10"/>
  <c r="N87" i="10" s="1"/>
  <c r="N19" i="11"/>
  <c r="P119" i="11"/>
  <c r="X119" i="11" s="1"/>
  <c r="Z119" i="11" s="1"/>
  <c r="X122" i="11"/>
  <c r="Z122" i="11" s="1"/>
  <c r="Z25" i="12"/>
  <c r="N51" i="12"/>
  <c r="Z77" i="12"/>
  <c r="Z44" i="13"/>
  <c r="V21" i="9"/>
  <c r="V33" i="9"/>
  <c r="V45" i="9"/>
  <c r="V53" i="9"/>
  <c r="V61" i="9"/>
  <c r="V69" i="9"/>
  <c r="V73" i="9"/>
  <c r="V77" i="9"/>
  <c r="V81" i="9"/>
  <c r="V93" i="9"/>
  <c r="V99" i="9"/>
  <c r="V19" i="10"/>
  <c r="J23" i="10"/>
  <c r="V27" i="10"/>
  <c r="J31" i="10"/>
  <c r="J35" i="10"/>
  <c r="V39" i="10"/>
  <c r="J43" i="10"/>
  <c r="J47" i="10"/>
  <c r="V51" i="10"/>
  <c r="J55" i="10"/>
  <c r="V59" i="10"/>
  <c r="J63" i="10"/>
  <c r="V67" i="10"/>
  <c r="J69" i="10"/>
  <c r="J79" i="10"/>
  <c r="J83" i="10"/>
  <c r="J87" i="10"/>
  <c r="J93" i="10"/>
  <c r="J19" i="11"/>
  <c r="J25" i="11"/>
  <c r="J33" i="11"/>
  <c r="J45" i="11"/>
  <c r="J57" i="11"/>
  <c r="J69" i="11"/>
  <c r="J77" i="11"/>
  <c r="J81" i="11"/>
  <c r="J89" i="11"/>
  <c r="J103" i="11"/>
  <c r="J111" i="11"/>
  <c r="J117" i="11"/>
  <c r="V19" i="12"/>
  <c r="J23" i="12"/>
  <c r="J27" i="12"/>
  <c r="V31" i="12"/>
  <c r="J35" i="12"/>
  <c r="J39" i="12"/>
  <c r="V43" i="12"/>
  <c r="V47" i="12"/>
  <c r="J49" i="12"/>
  <c r="J55" i="12"/>
  <c r="X58" i="12"/>
  <c r="V59" i="12"/>
  <c r="L60" i="12"/>
  <c r="N60" i="12" s="1"/>
  <c r="V63" i="12"/>
  <c r="J67" i="12"/>
  <c r="J71" i="12"/>
  <c r="J75" i="12"/>
  <c r="V77" i="12"/>
  <c r="V117" i="13"/>
  <c r="V109" i="13"/>
  <c r="V105" i="13"/>
  <c r="V101" i="13"/>
  <c r="V97" i="13"/>
  <c r="V93" i="13"/>
  <c r="V85" i="13"/>
  <c r="V73" i="13"/>
  <c r="V65" i="13"/>
  <c r="V57" i="13"/>
  <c r="V53" i="13"/>
  <c r="V45" i="13"/>
  <c r="V119" i="13"/>
  <c r="V107" i="13"/>
  <c r="V87" i="13"/>
  <c r="V75" i="13"/>
  <c r="V67" i="13"/>
  <c r="V63" i="13"/>
  <c r="V128" i="13"/>
  <c r="V122" i="13"/>
  <c r="V118" i="13"/>
  <c r="V90" i="13"/>
  <c r="V78" i="13"/>
  <c r="V66" i="13"/>
  <c r="V62" i="13"/>
  <c r="V50" i="13"/>
  <c r="V125" i="13"/>
  <c r="V121" i="13"/>
  <c r="V113" i="13"/>
  <c r="V89" i="13"/>
  <c r="V81" i="13"/>
  <c r="V77" i="13"/>
  <c r="V112" i="13"/>
  <c r="V92" i="13"/>
  <c r="V84" i="13"/>
  <c r="V80" i="13"/>
  <c r="V68" i="13"/>
  <c r="V60" i="13"/>
  <c r="V48" i="13"/>
  <c r="V44" i="13"/>
  <c r="V127" i="13"/>
  <c r="V115" i="13"/>
  <c r="V111" i="13"/>
  <c r="V103" i="13"/>
  <c r="V99" i="13"/>
  <c r="V95" i="13"/>
  <c r="V91" i="13"/>
  <c r="V83" i="13"/>
  <c r="V79" i="13"/>
  <c r="V71" i="13"/>
  <c r="V59" i="13"/>
  <c r="V47" i="13"/>
  <c r="V20" i="13"/>
  <c r="J24" i="13"/>
  <c r="V28" i="13"/>
  <c r="J32" i="13"/>
  <c r="V36" i="13"/>
  <c r="J42" i="13"/>
  <c r="V46" i="13"/>
  <c r="J53" i="13"/>
  <c r="J66" i="13"/>
  <c r="V70" i="13"/>
  <c r="J78" i="13"/>
  <c r="X79" i="13"/>
  <c r="Z91" i="13"/>
  <c r="N93" i="13"/>
  <c r="V98" i="13"/>
  <c r="V120" i="13"/>
  <c r="R24" i="14"/>
  <c r="X29" i="14"/>
  <c r="Z30" i="14"/>
  <c r="N52" i="14"/>
  <c r="L54" i="14"/>
  <c r="N54" i="14" s="1"/>
  <c r="X72" i="14"/>
  <c r="Z72" i="14" s="1"/>
  <c r="X96" i="14"/>
  <c r="H118" i="15"/>
  <c r="D112" i="15"/>
  <c r="L112" i="15" s="1"/>
  <c r="L115" i="15"/>
  <c r="X38" i="16"/>
  <c r="Z38" i="16" s="1"/>
  <c r="R67" i="16"/>
  <c r="N86" i="16"/>
  <c r="R94" i="16"/>
  <c r="V22" i="9"/>
  <c r="V34" i="9"/>
  <c r="V46" i="9"/>
  <c r="V50" i="9"/>
  <c r="V62" i="9"/>
  <c r="V70" i="9"/>
  <c r="V74" i="9"/>
  <c r="V78" i="9"/>
  <c r="V82" i="9"/>
  <c r="V90" i="9"/>
  <c r="V20" i="10"/>
  <c r="J24" i="10"/>
  <c r="V28" i="10"/>
  <c r="J36" i="10"/>
  <c r="V40" i="10"/>
  <c r="J44" i="10"/>
  <c r="J48" i="10"/>
  <c r="V52" i="10"/>
  <c r="V56" i="10"/>
  <c r="J58" i="10"/>
  <c r="V64" i="10"/>
  <c r="V68" i="10"/>
  <c r="J72" i="10"/>
  <c r="J76" i="10"/>
  <c r="J80" i="10"/>
  <c r="V84" i="10"/>
  <c r="V88" i="10"/>
  <c r="J46" i="11"/>
  <c r="J58" i="11"/>
  <c r="J64" i="11"/>
  <c r="J72" i="11"/>
  <c r="J78" i="11"/>
  <c r="J84" i="11"/>
  <c r="J100" i="11"/>
  <c r="J114" i="11"/>
  <c r="J121" i="11"/>
  <c r="V20" i="12"/>
  <c r="J28" i="12"/>
  <c r="V32" i="12"/>
  <c r="V36" i="12"/>
  <c r="J40" i="12"/>
  <c r="V44" i="12"/>
  <c r="V48" i="12"/>
  <c r="J52" i="12"/>
  <c r="V56" i="12"/>
  <c r="J58" i="12"/>
  <c r="V68" i="12"/>
  <c r="J72" i="12"/>
  <c r="J80" i="12"/>
  <c r="V29" i="13"/>
  <c r="J33" i="13"/>
  <c r="V37" i="13"/>
  <c r="Z45" i="13"/>
  <c r="V49" i="13"/>
  <c r="V54" i="13"/>
  <c r="V56" i="13"/>
  <c r="J60" i="13"/>
  <c r="V74" i="13"/>
  <c r="Z79" i="13"/>
  <c r="V104" i="13"/>
  <c r="V116" i="13"/>
  <c r="Z124" i="13"/>
  <c r="R88" i="14"/>
  <c r="R93" i="14"/>
  <c r="Z96" i="14"/>
  <c r="R104" i="14"/>
  <c r="N72" i="15"/>
  <c r="P112" i="15"/>
  <c r="X112" i="15" s="1"/>
  <c r="Z112" i="15" s="1"/>
  <c r="Z67" i="16"/>
  <c r="R70" i="16"/>
  <c r="X102" i="16"/>
  <c r="V35" i="9"/>
  <c r="V39" i="9"/>
  <c r="V47" i="9"/>
  <c r="V51" i="9"/>
  <c r="V59" i="9"/>
  <c r="V67" i="9"/>
  <c r="V71" i="9"/>
  <c r="V75" i="9"/>
  <c r="V79" i="9"/>
  <c r="V83" i="9"/>
  <c r="V87" i="9"/>
  <c r="V91" i="9"/>
  <c r="J19" i="10"/>
  <c r="J25" i="10"/>
  <c r="J37" i="10"/>
  <c r="V41" i="10"/>
  <c r="V45" i="10"/>
  <c r="J49" i="10"/>
  <c r="V53" i="10"/>
  <c r="X56" i="10"/>
  <c r="Z56" i="10" s="1"/>
  <c r="V57" i="10"/>
  <c r="L58" i="10"/>
  <c r="J61" i="10"/>
  <c r="V65" i="10"/>
  <c r="J67" i="10"/>
  <c r="J73" i="10"/>
  <c r="J77" i="10"/>
  <c r="V81" i="10"/>
  <c r="V85" i="10"/>
  <c r="J90" i="10"/>
  <c r="V91" i="10"/>
  <c r="J95" i="10"/>
  <c r="D12" i="11"/>
  <c r="J27" i="11"/>
  <c r="J35" i="11"/>
  <c r="J47" i="11"/>
  <c r="J53" i="11"/>
  <c r="J59" i="11"/>
  <c r="J67" i="11"/>
  <c r="J75" i="11"/>
  <c r="J87" i="11"/>
  <c r="J93" i="11"/>
  <c r="J97" i="11"/>
  <c r="J109" i="11"/>
  <c r="J115" i="11"/>
  <c r="J119" i="11"/>
  <c r="J19" i="12"/>
  <c r="J29" i="12"/>
  <c r="V33" i="12"/>
  <c r="V37" i="12"/>
  <c r="J41" i="12"/>
  <c r="V45" i="12"/>
  <c r="J47" i="12"/>
  <c r="V53" i="12"/>
  <c r="V57" i="12"/>
  <c r="J61" i="12"/>
  <c r="J65" i="12"/>
  <c r="V69" i="12"/>
  <c r="J73" i="12"/>
  <c r="J77" i="12"/>
  <c r="V22" i="13"/>
  <c r="J26" i="13"/>
  <c r="V30" i="13"/>
  <c r="J34" i="13"/>
  <c r="V38" i="13"/>
  <c r="J48" i="13"/>
  <c r="Z55" i="13"/>
  <c r="J59" i="13"/>
  <c r="V61" i="13"/>
  <c r="J72" i="13"/>
  <c r="V86" i="13"/>
  <c r="J92" i="13"/>
  <c r="V102" i="13"/>
  <c r="V110" i="13"/>
  <c r="J112" i="13"/>
  <c r="J122" i="13"/>
  <c r="V124" i="13"/>
  <c r="V132" i="13"/>
  <c r="Z29" i="14"/>
  <c r="R36" i="14"/>
  <c r="Z52" i="14"/>
  <c r="N109" i="15"/>
  <c r="N112" i="15"/>
  <c r="Z102" i="16"/>
  <c r="N107" i="16"/>
  <c r="N27" i="17"/>
  <c r="V28" i="9"/>
  <c r="V36" i="9"/>
  <c r="V40" i="9"/>
  <c r="V48" i="9"/>
  <c r="V56" i="9"/>
  <c r="V60" i="9"/>
  <c r="V68" i="9"/>
  <c r="V72" i="9"/>
  <c r="V84" i="9"/>
  <c r="V88" i="9"/>
  <c r="V22" i="10"/>
  <c r="J26" i="10"/>
  <c r="V34" i="10"/>
  <c r="J38" i="10"/>
  <c r="V42" i="10"/>
  <c r="V46" i="10"/>
  <c r="J50" i="10"/>
  <c r="V54" i="10"/>
  <c r="J56" i="10"/>
  <c r="V62" i="10"/>
  <c r="J64" i="10"/>
  <c r="V66" i="10"/>
  <c r="J70" i="10"/>
  <c r="J74" i="10"/>
  <c r="V78" i="10"/>
  <c r="V82" i="10"/>
  <c r="J84" i="10"/>
  <c r="J20" i="11"/>
  <c r="J28" i="11"/>
  <c r="J36" i="11"/>
  <c r="J48" i="11"/>
  <c r="J60" i="11"/>
  <c r="J70" i="11"/>
  <c r="J82" i="11"/>
  <c r="J90" i="11"/>
  <c r="J104" i="11"/>
  <c r="J112" i="11"/>
  <c r="V26" i="12"/>
  <c r="J30" i="12"/>
  <c r="V34" i="12"/>
  <c r="J36" i="12"/>
  <c r="V38" i="12"/>
  <c r="J42" i="12"/>
  <c r="V46" i="12"/>
  <c r="J50" i="12"/>
  <c r="V54" i="12"/>
  <c r="J56" i="12"/>
  <c r="J62" i="12"/>
  <c r="V66" i="12"/>
  <c r="J68" i="12"/>
  <c r="V70" i="12"/>
  <c r="V74" i="12"/>
  <c r="V78" i="12"/>
  <c r="J82" i="12"/>
  <c r="V23" i="13"/>
  <c r="J27" i="13"/>
  <c r="V31" i="13"/>
  <c r="J35" i="13"/>
  <c r="V39" i="13"/>
  <c r="V40" i="13"/>
  <c r="J47" i="13"/>
  <c r="V55" i="13"/>
  <c r="V64" i="13"/>
  <c r="J80" i="13"/>
  <c r="N85" i="13"/>
  <c r="X93" i="13"/>
  <c r="Z93" i="13" s="1"/>
  <c r="N100" i="13"/>
  <c r="V106" i="13"/>
  <c r="Z114" i="13"/>
  <c r="L22" i="14"/>
  <c r="N22" i="14" s="1"/>
  <c r="R41" i="14"/>
  <c r="Z54" i="14"/>
  <c r="R61" i="14"/>
  <c r="P118" i="14"/>
  <c r="X118" i="14" s="1"/>
  <c r="X121" i="14"/>
  <c r="Z121" i="14" s="1"/>
  <c r="N39" i="15"/>
  <c r="X61" i="15"/>
  <c r="Z61" i="15" s="1"/>
  <c r="N63" i="15"/>
  <c r="L63" i="15"/>
  <c r="L79" i="15"/>
  <c r="N79" i="15" s="1"/>
  <c r="N88" i="15"/>
  <c r="X109" i="15"/>
  <c r="Z109" i="15" s="1"/>
  <c r="L26" i="16"/>
  <c r="N26" i="16" s="1"/>
  <c r="N51" i="16"/>
  <c r="V49" i="9"/>
  <c r="V57" i="9"/>
  <c r="V65" i="9"/>
  <c r="V85" i="9"/>
  <c r="V89" i="9"/>
  <c r="V95" i="9"/>
  <c r="D12" i="10"/>
  <c r="J27" i="10"/>
  <c r="V35" i="10"/>
  <c r="J39" i="10"/>
  <c r="V43" i="10"/>
  <c r="J45" i="10"/>
  <c r="V47" i="10"/>
  <c r="J51" i="10"/>
  <c r="V55" i="10"/>
  <c r="J59" i="10"/>
  <c r="V63" i="10"/>
  <c r="V71" i="10"/>
  <c r="V75" i="10"/>
  <c r="V79" i="10"/>
  <c r="J81" i="10"/>
  <c r="V83" i="10"/>
  <c r="J88" i="10"/>
  <c r="V89" i="10"/>
  <c r="J97" i="10"/>
  <c r="J43" i="11"/>
  <c r="J49" i="11"/>
  <c r="J61" i="11"/>
  <c r="J65" i="11"/>
  <c r="J73" i="11"/>
  <c r="J79" i="11"/>
  <c r="J85" i="11"/>
  <c r="J101" i="11"/>
  <c r="J105" i="11"/>
  <c r="J122" i="11"/>
  <c r="J127" i="11"/>
  <c r="D12" i="12"/>
  <c r="V27" i="12"/>
  <c r="J31" i="12"/>
  <c r="V35" i="12"/>
  <c r="V39" i="12"/>
  <c r="J43" i="12"/>
  <c r="V51" i="12"/>
  <c r="J53" i="12"/>
  <c r="V55" i="12"/>
  <c r="J59" i="12"/>
  <c r="J63" i="12"/>
  <c r="V67" i="12"/>
  <c r="V71" i="12"/>
  <c r="V75" i="12"/>
  <c r="J128" i="13"/>
  <c r="J113" i="13"/>
  <c r="J107" i="13"/>
  <c r="J87" i="13"/>
  <c r="J81" i="13"/>
  <c r="J75" i="13"/>
  <c r="J69" i="13"/>
  <c r="J61" i="13"/>
  <c r="J55" i="13"/>
  <c r="J49" i="13"/>
  <c r="J121" i="13"/>
  <c r="J115" i="13"/>
  <c r="J111" i="13"/>
  <c r="J103" i="13"/>
  <c r="J99" i="13"/>
  <c r="J95" i="13"/>
  <c r="J89" i="13"/>
  <c r="J83" i="13"/>
  <c r="J77" i="13"/>
  <c r="J71" i="13"/>
  <c r="J132" i="13"/>
  <c r="J127" i="13"/>
  <c r="J110" i="13"/>
  <c r="J106" i="13"/>
  <c r="J102" i="13"/>
  <c r="J98" i="13"/>
  <c r="J94" i="13"/>
  <c r="J86" i="13"/>
  <c r="J74" i="13"/>
  <c r="J68" i="13"/>
  <c r="J58" i="13"/>
  <c r="J54" i="13"/>
  <c r="J117" i="13"/>
  <c r="J109" i="13"/>
  <c r="J105" i="13"/>
  <c r="J101" i="13"/>
  <c r="J97" i="13"/>
  <c r="J91" i="13"/>
  <c r="J79" i="13"/>
  <c r="J73" i="13"/>
  <c r="J124" i="13"/>
  <c r="J120" i="13"/>
  <c r="J114" i="13"/>
  <c r="J108" i="13"/>
  <c r="J88" i="13"/>
  <c r="J82" i="13"/>
  <c r="J76" i="13"/>
  <c r="J70" i="13"/>
  <c r="J64" i="13"/>
  <c r="J56" i="13"/>
  <c r="J52" i="13"/>
  <c r="J44" i="13"/>
  <c r="J40" i="13"/>
  <c r="J126" i="13"/>
  <c r="J119" i="13"/>
  <c r="J93" i="13"/>
  <c r="J85" i="13"/>
  <c r="J67" i="13"/>
  <c r="J63" i="13"/>
  <c r="J51" i="13"/>
  <c r="J45" i="13"/>
  <c r="J20" i="13"/>
  <c r="V24" i="13"/>
  <c r="J28" i="13"/>
  <c r="V32" i="13"/>
  <c r="J36" i="13"/>
  <c r="T42" i="13"/>
  <c r="L45" i="13"/>
  <c r="N45" i="13" s="1"/>
  <c r="V52" i="13"/>
  <c r="J100" i="13"/>
  <c r="V114" i="13"/>
  <c r="J118" i="13"/>
  <c r="N56" i="14"/>
  <c r="X80" i="14"/>
  <c r="D118" i="14"/>
  <c r="L118" i="14" s="1"/>
  <c r="N27" i="15"/>
  <c r="N52" i="15"/>
  <c r="Z68" i="15"/>
  <c r="R110" i="16"/>
  <c r="R103" i="16"/>
  <c r="R95" i="16"/>
  <c r="R88" i="16"/>
  <c r="R80" i="16"/>
  <c r="R59" i="16"/>
  <c r="R47" i="16"/>
  <c r="R39" i="16"/>
  <c r="R35" i="16"/>
  <c r="R112" i="16"/>
  <c r="R106" i="16"/>
  <c r="R105" i="16"/>
  <c r="R102" i="16"/>
  <c r="R93" i="16"/>
  <c r="R85" i="16"/>
  <c r="R77" i="16"/>
  <c r="R61" i="16"/>
  <c r="R58" i="16"/>
  <c r="R45" i="16"/>
  <c r="R38" i="16"/>
  <c r="R33" i="16"/>
  <c r="R21" i="16"/>
  <c r="R114" i="16"/>
  <c r="R108" i="16"/>
  <c r="R92" i="16"/>
  <c r="R84" i="16"/>
  <c r="R76" i="16"/>
  <c r="R72" i="16"/>
  <c r="R69" i="16"/>
  <c r="R64" i="16"/>
  <c r="R52" i="16"/>
  <c r="R49" i="16"/>
  <c r="R44" i="16"/>
  <c r="R32" i="16"/>
  <c r="R20" i="16"/>
  <c r="R111" i="16"/>
  <c r="R104" i="16"/>
  <c r="R91" i="16"/>
  <c r="R87" i="16"/>
  <c r="R83" i="16"/>
  <c r="R79" i="16"/>
  <c r="R75" i="16"/>
  <c r="R63" i="16"/>
  <c r="R60" i="16"/>
  <c r="R43" i="16"/>
  <c r="R31" i="16"/>
  <c r="R107" i="16"/>
  <c r="R98" i="16"/>
  <c r="R90" i="16"/>
  <c r="R82" i="16"/>
  <c r="R74" i="16"/>
  <c r="R71" i="16"/>
  <c r="R66" i="16"/>
  <c r="R54" i="16"/>
  <c r="R51" i="16"/>
  <c r="R42" i="16"/>
  <c r="R30" i="16"/>
  <c r="R19" i="16"/>
  <c r="R113" i="16"/>
  <c r="R101" i="16"/>
  <c r="R97" i="16"/>
  <c r="R89" i="16"/>
  <c r="R86" i="16"/>
  <c r="R81" i="16"/>
  <c r="R78" i="16"/>
  <c r="R62" i="16"/>
  <c r="R57" i="16"/>
  <c r="R41" i="16"/>
  <c r="R37" i="16"/>
  <c r="R29" i="16"/>
  <c r="R24" i="16"/>
  <c r="R118" i="16"/>
  <c r="R100" i="16"/>
  <c r="R96" i="16"/>
  <c r="R73" i="16"/>
  <c r="R68" i="16"/>
  <c r="R65" i="16"/>
  <c r="R56" i="16"/>
  <c r="R53" i="16"/>
  <c r="R48" i="16"/>
  <c r="R40" i="16"/>
  <c r="R36" i="16"/>
  <c r="R28" i="16"/>
  <c r="R26" i="16"/>
  <c r="P24" i="16"/>
  <c r="Z107" i="16"/>
  <c r="Z27" i="17"/>
  <c r="V54" i="9"/>
  <c r="V58" i="9"/>
  <c r="V66" i="9"/>
  <c r="V86" i="9"/>
  <c r="J20" i="10"/>
  <c r="J28" i="10"/>
  <c r="J34" i="10"/>
  <c r="V36" i="10"/>
  <c r="J40" i="10"/>
  <c r="V44" i="10"/>
  <c r="V48" i="10"/>
  <c r="J52" i="10"/>
  <c r="V60" i="10"/>
  <c r="J62" i="10"/>
  <c r="J68" i="10"/>
  <c r="V72" i="10"/>
  <c r="V76" i="10"/>
  <c r="J78" i="10"/>
  <c r="V80" i="10"/>
  <c r="J91" i="10"/>
  <c r="J42" i="11"/>
  <c r="J50" i="11"/>
  <c r="J54" i="11"/>
  <c r="J62" i="11"/>
  <c r="J68" i="11"/>
  <c r="J76" i="11"/>
  <c r="J88" i="11"/>
  <c r="J94" i="11"/>
  <c r="J98" i="11"/>
  <c r="J102" i="11"/>
  <c r="J106" i="11"/>
  <c r="J110" i="11"/>
  <c r="J116" i="11"/>
  <c r="J20" i="12"/>
  <c r="J26" i="12"/>
  <c r="V28" i="12"/>
  <c r="J32" i="12"/>
  <c r="V40" i="12"/>
  <c r="J44" i="12"/>
  <c r="J48" i="12"/>
  <c r="V52" i="12"/>
  <c r="V60" i="12"/>
  <c r="V64" i="12"/>
  <c r="J66" i="12"/>
  <c r="V72" i="12"/>
  <c r="J74" i="12"/>
  <c r="J46" i="13"/>
  <c r="J50" i="13"/>
  <c r="J57" i="13"/>
  <c r="V69" i="13"/>
  <c r="V76" i="13"/>
  <c r="V82" i="13"/>
  <c r="J84" i="13"/>
  <c r="Z85" i="13"/>
  <c r="V88" i="13"/>
  <c r="J125" i="13"/>
  <c r="V126" i="13"/>
  <c r="R121" i="14"/>
  <c r="R109" i="14"/>
  <c r="R105" i="14"/>
  <c r="R97" i="14"/>
  <c r="R89" i="14"/>
  <c r="R81" i="14"/>
  <c r="R78" i="14"/>
  <c r="R73" i="14"/>
  <c r="R70" i="14"/>
  <c r="R58" i="14"/>
  <c r="R53" i="14"/>
  <c r="R49" i="14"/>
  <c r="R37" i="14"/>
  <c r="R30" i="14"/>
  <c r="R25" i="14"/>
  <c r="R118" i="14"/>
  <c r="R111" i="14"/>
  <c r="R103" i="14"/>
  <c r="R96" i="14"/>
  <c r="R80" i="14"/>
  <c r="R75" i="14"/>
  <c r="R72" i="14"/>
  <c r="R55" i="14"/>
  <c r="R52" i="14"/>
  <c r="R47" i="14"/>
  <c r="R35" i="14"/>
  <c r="R23" i="14"/>
  <c r="R120" i="14"/>
  <c r="R114" i="14"/>
  <c r="R107" i="14"/>
  <c r="R102" i="14"/>
  <c r="R87" i="14"/>
  <c r="R66" i="14"/>
  <c r="R63" i="14"/>
  <c r="R46" i="14"/>
  <c r="R34" i="14"/>
  <c r="R113" i="14"/>
  <c r="R110" i="14"/>
  <c r="R101" i="14"/>
  <c r="R77" i="14"/>
  <c r="R74" i="14"/>
  <c r="R69" i="14"/>
  <c r="R57" i="14"/>
  <c r="R54" i="14"/>
  <c r="R45" i="14"/>
  <c r="R33" i="14"/>
  <c r="R22" i="14"/>
  <c r="R122" i="14"/>
  <c r="R116" i="14"/>
  <c r="R100" i="14"/>
  <c r="R92" i="14"/>
  <c r="R84" i="14"/>
  <c r="R68" i="14"/>
  <c r="R65" i="14"/>
  <c r="R60" i="14"/>
  <c r="R44" i="14"/>
  <c r="R40" i="14"/>
  <c r="R32" i="14"/>
  <c r="X12" i="14"/>
  <c r="Z12" i="14" s="1"/>
  <c r="R119" i="14"/>
  <c r="R112" i="14"/>
  <c r="R99" i="14"/>
  <c r="R95" i="14"/>
  <c r="R91" i="14"/>
  <c r="R83" i="14"/>
  <c r="R79" i="14"/>
  <c r="R76" i="14"/>
  <c r="R71" i="14"/>
  <c r="R59" i="14"/>
  <c r="R56" i="14"/>
  <c r="R51" i="14"/>
  <c r="R43" i="14"/>
  <c r="R39" i="14"/>
  <c r="R31" i="14"/>
  <c r="R29" i="14"/>
  <c r="P27" i="14"/>
  <c r="R115" i="14"/>
  <c r="R106" i="14"/>
  <c r="R98" i="14"/>
  <c r="R94" i="14"/>
  <c r="R90" i="14"/>
  <c r="R86" i="14"/>
  <c r="R82" i="14"/>
  <c r="R67" i="14"/>
  <c r="R62" i="14"/>
  <c r="R50" i="14"/>
  <c r="R42" i="14"/>
  <c r="R38" i="14"/>
  <c r="R64" i="14"/>
  <c r="Z80" i="14"/>
  <c r="N118" i="14"/>
  <c r="R126" i="14"/>
  <c r="V25" i="9"/>
  <c r="V27" i="9"/>
  <c r="V31" i="9"/>
  <c r="V43" i="9"/>
  <c r="V55" i="9"/>
  <c r="J21" i="10"/>
  <c r="V25" i="10"/>
  <c r="J29" i="10"/>
  <c r="V31" i="10"/>
  <c r="J33" i="10"/>
  <c r="V33" i="10"/>
  <c r="V37" i="10"/>
  <c r="J41" i="10"/>
  <c r="V49" i="10"/>
  <c r="J53" i="10"/>
  <c r="J57" i="10"/>
  <c r="V61" i="10"/>
  <c r="J65" i="10"/>
  <c r="V69" i="10"/>
  <c r="J71" i="10"/>
  <c r="V73" i="10"/>
  <c r="J75" i="10"/>
  <c r="V77" i="10"/>
  <c r="V87" i="10"/>
  <c r="V95" i="10"/>
  <c r="P12" i="11"/>
  <c r="J23" i="11"/>
  <c r="J31" i="11"/>
  <c r="H40" i="11"/>
  <c r="J51" i="11"/>
  <c r="J55" i="11"/>
  <c r="J63" i="11"/>
  <c r="J71" i="11"/>
  <c r="J83" i="11"/>
  <c r="J91" i="11"/>
  <c r="J95" i="11"/>
  <c r="J99" i="11"/>
  <c r="J107" i="11"/>
  <c r="J113" i="11"/>
  <c r="J120" i="11"/>
  <c r="J21" i="12"/>
  <c r="V23" i="12"/>
  <c r="J25" i="12"/>
  <c r="V25" i="12"/>
  <c r="V29" i="12"/>
  <c r="J33" i="12"/>
  <c r="J37" i="12"/>
  <c r="V41" i="12"/>
  <c r="J45" i="12"/>
  <c r="V49" i="12"/>
  <c r="J51" i="12"/>
  <c r="J57" i="12"/>
  <c r="V61" i="12"/>
  <c r="V65" i="12"/>
  <c r="J69" i="12"/>
  <c r="V26" i="13"/>
  <c r="J30" i="13"/>
  <c r="V34" i="13"/>
  <c r="J38" i="13"/>
  <c r="V51" i="13"/>
  <c r="N55" i="13"/>
  <c r="V58" i="13"/>
  <c r="J62" i="13"/>
  <c r="V72" i="13"/>
  <c r="N75" i="13"/>
  <c r="X85" i="13"/>
  <c r="N87" i="13"/>
  <c r="V96" i="13"/>
  <c r="J104" i="13"/>
  <c r="J116" i="13"/>
  <c r="R85" i="14"/>
  <c r="R108" i="14"/>
  <c r="L110" i="14"/>
  <c r="N110" i="14" s="1"/>
  <c r="Z115" i="14"/>
  <c r="Z118" i="14"/>
  <c r="X26" i="16"/>
  <c r="Z26" i="16" s="1"/>
  <c r="Z27" i="16"/>
  <c r="R50" i="16"/>
  <c r="N60" i="16"/>
  <c r="L60" i="16"/>
  <c r="Z20" i="17"/>
  <c r="J33" i="14"/>
  <c r="V37" i="14"/>
  <c r="V41" i="14"/>
  <c r="J45" i="14"/>
  <c r="V49" i="14"/>
  <c r="V53" i="14"/>
  <c r="J57" i="14"/>
  <c r="V61" i="14"/>
  <c r="J63" i="14"/>
  <c r="J69" i="14"/>
  <c r="V73" i="14"/>
  <c r="J77" i="14"/>
  <c r="V81" i="14"/>
  <c r="V85" i="14"/>
  <c r="J87" i="14"/>
  <c r="V89" i="14"/>
  <c r="V93" i="14"/>
  <c r="V97" i="14"/>
  <c r="J101" i="14"/>
  <c r="V105" i="14"/>
  <c r="J107" i="14"/>
  <c r="V109" i="14"/>
  <c r="J113" i="14"/>
  <c r="J120" i="14"/>
  <c r="V121" i="14"/>
  <c r="J20" i="15"/>
  <c r="V22" i="15"/>
  <c r="J30" i="15"/>
  <c r="V34" i="15"/>
  <c r="J38" i="15"/>
  <c r="J42" i="15"/>
  <c r="V46" i="15"/>
  <c r="V50" i="15"/>
  <c r="J52" i="15"/>
  <c r="J58" i="15"/>
  <c r="V62" i="15"/>
  <c r="V70" i="15"/>
  <c r="J72" i="15"/>
  <c r="V78" i="15"/>
  <c r="V86" i="15"/>
  <c r="J88" i="15"/>
  <c r="V94" i="15"/>
  <c r="J98" i="15"/>
  <c r="J102" i="15"/>
  <c r="V106" i="15"/>
  <c r="V110" i="15"/>
  <c r="X113" i="15"/>
  <c r="Z113" i="15" s="1"/>
  <c r="J115" i="15"/>
  <c r="V116" i="15"/>
  <c r="J120" i="15"/>
  <c r="D12" i="16"/>
  <c r="V27" i="16"/>
  <c r="J31" i="16"/>
  <c r="V35" i="16"/>
  <c r="V39" i="16"/>
  <c r="J43" i="16"/>
  <c r="V47" i="16"/>
  <c r="J49" i="16"/>
  <c r="V55" i="16"/>
  <c r="V59" i="16"/>
  <c r="J63" i="16"/>
  <c r="V67" i="16"/>
  <c r="J69" i="16"/>
  <c r="J75" i="16"/>
  <c r="J79" i="16"/>
  <c r="J83" i="16"/>
  <c r="J87" i="16"/>
  <c r="J91" i="16"/>
  <c r="V95" i="16"/>
  <c r="V99" i="16"/>
  <c r="V103" i="16"/>
  <c r="D110" i="16"/>
  <c r="L110" i="16" s="1"/>
  <c r="N110" i="16" s="1"/>
  <c r="J114" i="16"/>
  <c r="T116" i="16"/>
  <c r="V116" i="16" s="1"/>
  <c r="N12" i="17"/>
  <c r="V20" i="17"/>
  <c r="H25" i="17"/>
  <c r="V32" i="17"/>
  <c r="J36" i="17"/>
  <c r="J40" i="17"/>
  <c r="V44" i="17"/>
  <c r="J48" i="17"/>
  <c r="V52" i="17"/>
  <c r="R83" i="19"/>
  <c r="R71" i="19"/>
  <c r="R68" i="19"/>
  <c r="R63" i="19"/>
  <c r="R60" i="19"/>
  <c r="R55" i="19"/>
  <c r="R47" i="19"/>
  <c r="R43" i="19"/>
  <c r="R35" i="19"/>
  <c r="R33" i="19"/>
  <c r="P31" i="19"/>
  <c r="R23" i="19"/>
  <c r="R74" i="19"/>
  <c r="R54" i="19"/>
  <c r="R46" i="19"/>
  <c r="R42" i="19"/>
  <c r="R22" i="19"/>
  <c r="X12" i="19"/>
  <c r="Z12" i="19" s="1"/>
  <c r="R77" i="19"/>
  <c r="R70" i="19"/>
  <c r="R65" i="19"/>
  <c r="R62" i="19"/>
  <c r="R57" i="19"/>
  <c r="R53" i="19"/>
  <c r="R41" i="19"/>
  <c r="R34" i="19"/>
  <c r="R29" i="19"/>
  <c r="R21" i="19"/>
  <c r="R73" i="19"/>
  <c r="R52" i="19"/>
  <c r="R45" i="19"/>
  <c r="R40" i="19"/>
  <c r="R28" i="19"/>
  <c r="R20" i="19"/>
  <c r="R79" i="19"/>
  <c r="R67" i="19"/>
  <c r="R64" i="19"/>
  <c r="R59" i="19"/>
  <c r="R56" i="19"/>
  <c r="R51" i="19"/>
  <c r="R39" i="19"/>
  <c r="R27" i="19"/>
  <c r="R50" i="19"/>
  <c r="R38" i="19"/>
  <c r="R26" i="19"/>
  <c r="R19" i="19"/>
  <c r="R69" i="19"/>
  <c r="R66" i="19"/>
  <c r="R61" i="19"/>
  <c r="R58" i="19"/>
  <c r="R49" i="19"/>
  <c r="R37" i="19"/>
  <c r="R25" i="19"/>
  <c r="R78" i="19"/>
  <c r="R72" i="19"/>
  <c r="R48" i="19"/>
  <c r="R44" i="19"/>
  <c r="R36" i="19"/>
  <c r="R31" i="19"/>
  <c r="R24" i="19"/>
  <c r="V30" i="14"/>
  <c r="J34" i="14"/>
  <c r="V38" i="14"/>
  <c r="V42" i="14"/>
  <c r="J46" i="14"/>
  <c r="V50" i="14"/>
  <c r="J52" i="14"/>
  <c r="V58" i="14"/>
  <c r="V62" i="14"/>
  <c r="J66" i="14"/>
  <c r="V70" i="14"/>
  <c r="J72" i="14"/>
  <c r="V78" i="14"/>
  <c r="J80" i="14"/>
  <c r="V82" i="14"/>
  <c r="V86" i="14"/>
  <c r="V90" i="14"/>
  <c r="V94" i="14"/>
  <c r="J96" i="14"/>
  <c r="V98" i="14"/>
  <c r="J102" i="14"/>
  <c r="V106" i="14"/>
  <c r="J114" i="14"/>
  <c r="J118" i="14"/>
  <c r="J31" i="15"/>
  <c r="V35" i="15"/>
  <c r="V39" i="15"/>
  <c r="J43" i="15"/>
  <c r="V47" i="15"/>
  <c r="V51" i="15"/>
  <c r="J55" i="15"/>
  <c r="V59" i="15"/>
  <c r="J61" i="15"/>
  <c r="J67" i="15"/>
  <c r="V71" i="15"/>
  <c r="J75" i="15"/>
  <c r="J83" i="15"/>
  <c r="V87" i="15"/>
  <c r="J91" i="15"/>
  <c r="V95" i="15"/>
  <c r="J99" i="15"/>
  <c r="J103" i="15"/>
  <c r="V107" i="15"/>
  <c r="J109" i="15"/>
  <c r="J20" i="16"/>
  <c r="V28" i="16"/>
  <c r="J32" i="16"/>
  <c r="V36" i="16"/>
  <c r="J38" i="16"/>
  <c r="V40" i="16"/>
  <c r="J44" i="16"/>
  <c r="V48" i="16"/>
  <c r="J52" i="16"/>
  <c r="V56" i="16"/>
  <c r="J58" i="16"/>
  <c r="J64" i="16"/>
  <c r="V68" i="16"/>
  <c r="J72" i="16"/>
  <c r="J76" i="16"/>
  <c r="V80" i="16"/>
  <c r="J84" i="16"/>
  <c r="V88" i="16"/>
  <c r="J92" i="16"/>
  <c r="V96" i="16"/>
  <c r="V100" i="16"/>
  <c r="J102" i="16"/>
  <c r="J108" i="16"/>
  <c r="V110" i="16"/>
  <c r="V118" i="16"/>
  <c r="P12" i="17"/>
  <c r="J25" i="17"/>
  <c r="J29" i="17"/>
  <c r="V33" i="17"/>
  <c r="J37" i="17"/>
  <c r="J41" i="17"/>
  <c r="V45" i="17"/>
  <c r="J49" i="17"/>
  <c r="J23" i="14"/>
  <c r="V31" i="14"/>
  <c r="J35" i="14"/>
  <c r="V39" i="14"/>
  <c r="J41" i="14"/>
  <c r="V43" i="14"/>
  <c r="J47" i="14"/>
  <c r="V51" i="14"/>
  <c r="J55" i="14"/>
  <c r="V59" i="14"/>
  <c r="J61" i="14"/>
  <c r="V67" i="14"/>
  <c r="V71" i="14"/>
  <c r="J75" i="14"/>
  <c r="V79" i="14"/>
  <c r="V83" i="14"/>
  <c r="J85" i="14"/>
  <c r="V91" i="14"/>
  <c r="J93" i="14"/>
  <c r="V95" i="14"/>
  <c r="V99" i="14"/>
  <c r="J103" i="14"/>
  <c r="J111" i="14"/>
  <c r="V115" i="14"/>
  <c r="V119" i="14"/>
  <c r="V28" i="15"/>
  <c r="J32" i="15"/>
  <c r="V36" i="15"/>
  <c r="V40" i="15"/>
  <c r="J44" i="15"/>
  <c r="V48" i="15"/>
  <c r="J50" i="15"/>
  <c r="V56" i="15"/>
  <c r="V60" i="15"/>
  <c r="J64" i="15"/>
  <c r="V68" i="15"/>
  <c r="J70" i="15"/>
  <c r="J76" i="15"/>
  <c r="J80" i="15"/>
  <c r="J84" i="15"/>
  <c r="J92" i="15"/>
  <c r="V96" i="15"/>
  <c r="J100" i="15"/>
  <c r="V104" i="15"/>
  <c r="J106" i="15"/>
  <c r="V108" i="15"/>
  <c r="J113" i="15"/>
  <c r="V114" i="15"/>
  <c r="J27" i="16"/>
  <c r="V29" i="16"/>
  <c r="J33" i="16"/>
  <c r="V37" i="16"/>
  <c r="V41" i="16"/>
  <c r="J45" i="16"/>
  <c r="V53" i="16"/>
  <c r="J55" i="16"/>
  <c r="V57" i="16"/>
  <c r="J61" i="16"/>
  <c r="V65" i="16"/>
  <c r="J67" i="16"/>
  <c r="V73" i="16"/>
  <c r="J77" i="16"/>
  <c r="V81" i="16"/>
  <c r="J85" i="16"/>
  <c r="V89" i="16"/>
  <c r="J93" i="16"/>
  <c r="V97" i="16"/>
  <c r="J99" i="16"/>
  <c r="V101" i="16"/>
  <c r="J105" i="16"/>
  <c r="J112" i="16"/>
  <c r="V113" i="16"/>
  <c r="V95" i="17"/>
  <c r="V91" i="17"/>
  <c r="V87" i="17"/>
  <c r="V67" i="17"/>
  <c r="V59" i="17"/>
  <c r="V104" i="17"/>
  <c r="V98" i="17"/>
  <c r="V94" i="17"/>
  <c r="V86" i="17"/>
  <c r="V78" i="17"/>
  <c r="V66" i="17"/>
  <c r="V58" i="17"/>
  <c r="V97" i="17"/>
  <c r="V85" i="17"/>
  <c r="V77" i="17"/>
  <c r="V73" i="17"/>
  <c r="V69" i="17"/>
  <c r="V61" i="17"/>
  <c r="V96" i="17"/>
  <c r="V84" i="17"/>
  <c r="V80" i="17"/>
  <c r="V76" i="17"/>
  <c r="V72" i="17"/>
  <c r="V68" i="17"/>
  <c r="V60" i="17"/>
  <c r="V83" i="17"/>
  <c r="V79" i="17"/>
  <c r="V75" i="17"/>
  <c r="V71" i="17"/>
  <c r="V63" i="17"/>
  <c r="V55" i="17"/>
  <c r="V100" i="17"/>
  <c r="V90" i="17"/>
  <c r="V82" i="17"/>
  <c r="V74" i="17"/>
  <c r="V70" i="17"/>
  <c r="V62" i="17"/>
  <c r="V93" i="17"/>
  <c r="V89" i="17"/>
  <c r="V81" i="17"/>
  <c r="V65" i="17"/>
  <c r="V57" i="17"/>
  <c r="V92" i="17"/>
  <c r="V88" i="17"/>
  <c r="V64" i="17"/>
  <c r="V56" i="17"/>
  <c r="J20" i="17"/>
  <c r="V22" i="17"/>
  <c r="J30" i="17"/>
  <c r="V34" i="17"/>
  <c r="J38" i="17"/>
  <c r="J42" i="17"/>
  <c r="V46" i="17"/>
  <c r="V50" i="17"/>
  <c r="J52" i="17"/>
  <c r="J57" i="17"/>
  <c r="N31" i="18"/>
  <c r="N53" i="18"/>
  <c r="Z33" i="19"/>
  <c r="N18" i="21"/>
  <c r="T77" i="22"/>
  <c r="Z16" i="22"/>
  <c r="J30" i="14"/>
  <c r="V32" i="14"/>
  <c r="J36" i="14"/>
  <c r="V40" i="14"/>
  <c r="V44" i="14"/>
  <c r="J48" i="14"/>
  <c r="V56" i="14"/>
  <c r="J58" i="14"/>
  <c r="V60" i="14"/>
  <c r="J64" i="14"/>
  <c r="V68" i="14"/>
  <c r="J70" i="14"/>
  <c r="V76" i="14"/>
  <c r="J78" i="14"/>
  <c r="V84" i="14"/>
  <c r="J88" i="14"/>
  <c r="V92" i="14"/>
  <c r="V100" i="14"/>
  <c r="J104" i="14"/>
  <c r="J108" i="14"/>
  <c r="V112" i="14"/>
  <c r="V116" i="14"/>
  <c r="J121" i="14"/>
  <c r="V122" i="14"/>
  <c r="J126" i="14"/>
  <c r="V128" i="14"/>
  <c r="D12" i="15"/>
  <c r="J21" i="15"/>
  <c r="V29" i="15"/>
  <c r="J33" i="15"/>
  <c r="V37" i="15"/>
  <c r="J39" i="15"/>
  <c r="V41" i="15"/>
  <c r="J45" i="15"/>
  <c r="V49" i="15"/>
  <c r="J53" i="15"/>
  <c r="V57" i="15"/>
  <c r="J59" i="15"/>
  <c r="J65" i="15"/>
  <c r="V69" i="15"/>
  <c r="J73" i="15"/>
  <c r="J77" i="15"/>
  <c r="J81" i="15"/>
  <c r="J85" i="15"/>
  <c r="J89" i="15"/>
  <c r="J93" i="15"/>
  <c r="V97" i="15"/>
  <c r="V101" i="15"/>
  <c r="V105" i="15"/>
  <c r="J116" i="15"/>
  <c r="T118" i="15"/>
  <c r="X15" i="16"/>
  <c r="J22" i="16"/>
  <c r="V24" i="16"/>
  <c r="J26" i="16"/>
  <c r="V26" i="16"/>
  <c r="V30" i="16"/>
  <c r="J34" i="16"/>
  <c r="V42" i="16"/>
  <c r="J46" i="16"/>
  <c r="J50" i="16"/>
  <c r="V54" i="16"/>
  <c r="V62" i="16"/>
  <c r="V66" i="16"/>
  <c r="J70" i="16"/>
  <c r="V74" i="16"/>
  <c r="V78" i="16"/>
  <c r="J80" i="16"/>
  <c r="V82" i="16"/>
  <c r="V86" i="16"/>
  <c r="J88" i="16"/>
  <c r="V90" i="16"/>
  <c r="J94" i="16"/>
  <c r="V98" i="16"/>
  <c r="J106" i="16"/>
  <c r="J110" i="16"/>
  <c r="J31" i="17"/>
  <c r="V35" i="17"/>
  <c r="V39" i="17"/>
  <c r="J43" i="17"/>
  <c r="V47" i="17"/>
  <c r="X50" i="17"/>
  <c r="Z50" i="17" s="1"/>
  <c r="V51" i="17"/>
  <c r="L52" i="17"/>
  <c r="N52" i="17" s="1"/>
  <c r="D12" i="14"/>
  <c r="V27" i="14"/>
  <c r="V29" i="14"/>
  <c r="V33" i="14"/>
  <c r="J37" i="14"/>
  <c r="V45" i="14"/>
  <c r="J49" i="14"/>
  <c r="J53" i="14"/>
  <c r="V57" i="14"/>
  <c r="V65" i="14"/>
  <c r="J67" i="14"/>
  <c r="V69" i="14"/>
  <c r="J73" i="14"/>
  <c r="V77" i="14"/>
  <c r="J81" i="14"/>
  <c r="J89" i="14"/>
  <c r="J97" i="14"/>
  <c r="V101" i="14"/>
  <c r="J105" i="14"/>
  <c r="J109" i="14"/>
  <c r="V113" i="14"/>
  <c r="J115" i="14"/>
  <c r="J22" i="15"/>
  <c r="J28" i="15"/>
  <c r="V30" i="15"/>
  <c r="J34" i="15"/>
  <c r="V38" i="15"/>
  <c r="V42" i="15"/>
  <c r="J46" i="15"/>
  <c r="V54" i="15"/>
  <c r="J56" i="15"/>
  <c r="V58" i="15"/>
  <c r="J62" i="15"/>
  <c r="V66" i="15"/>
  <c r="J68" i="15"/>
  <c r="V74" i="15"/>
  <c r="J78" i="15"/>
  <c r="V82" i="15"/>
  <c r="J86" i="15"/>
  <c r="V90" i="15"/>
  <c r="J94" i="15"/>
  <c r="V98" i="15"/>
  <c r="V102" i="15"/>
  <c r="J104" i="15"/>
  <c r="J110" i="15"/>
  <c r="V112" i="15"/>
  <c r="V118" i="15"/>
  <c r="V120" i="15"/>
  <c r="V19" i="16"/>
  <c r="H24" i="16"/>
  <c r="V31" i="16"/>
  <c r="J35" i="16"/>
  <c r="J39" i="16"/>
  <c r="V43" i="16"/>
  <c r="J47" i="16"/>
  <c r="V51" i="16"/>
  <c r="J53" i="16"/>
  <c r="J59" i="16"/>
  <c r="V63" i="16"/>
  <c r="J65" i="16"/>
  <c r="V71" i="16"/>
  <c r="J73" i="16"/>
  <c r="V75" i="16"/>
  <c r="V79" i="16"/>
  <c r="V83" i="16"/>
  <c r="V87" i="16"/>
  <c r="V91" i="16"/>
  <c r="J95" i="16"/>
  <c r="J103" i="16"/>
  <c r="V107" i="16"/>
  <c r="V111" i="16"/>
  <c r="V28" i="17"/>
  <c r="J32" i="17"/>
  <c r="V36" i="17"/>
  <c r="V40" i="17"/>
  <c r="J44" i="17"/>
  <c r="V48" i="17"/>
  <c r="J50" i="17"/>
  <c r="V54" i="17"/>
  <c r="T79" i="18"/>
  <c r="P22" i="20"/>
  <c r="N28" i="20"/>
  <c r="V22" i="14"/>
  <c r="H27" i="14"/>
  <c r="V34" i="14"/>
  <c r="J38" i="14"/>
  <c r="J42" i="14"/>
  <c r="V46" i="14"/>
  <c r="J50" i="14"/>
  <c r="V54" i="14"/>
  <c r="J56" i="14"/>
  <c r="J62" i="14"/>
  <c r="V66" i="14"/>
  <c r="V74" i="14"/>
  <c r="J76" i="14"/>
  <c r="J82" i="14"/>
  <c r="J86" i="14"/>
  <c r="J90" i="14"/>
  <c r="J94" i="14"/>
  <c r="J98" i="14"/>
  <c r="V102" i="14"/>
  <c r="J106" i="14"/>
  <c r="V110" i="14"/>
  <c r="J112" i="14"/>
  <c r="V114" i="14"/>
  <c r="J119" i="14"/>
  <c r="V120" i="14"/>
  <c r="J23" i="15"/>
  <c r="V25" i="15"/>
  <c r="J27" i="15"/>
  <c r="V31" i="15"/>
  <c r="J35" i="15"/>
  <c r="V43" i="15"/>
  <c r="J47" i="15"/>
  <c r="J51" i="15"/>
  <c r="V55" i="15"/>
  <c r="V63" i="15"/>
  <c r="V67" i="15"/>
  <c r="J71" i="15"/>
  <c r="V75" i="15"/>
  <c r="V79" i="15"/>
  <c r="V83" i="15"/>
  <c r="J87" i="15"/>
  <c r="V91" i="15"/>
  <c r="J95" i="15"/>
  <c r="V99" i="15"/>
  <c r="J101" i="15"/>
  <c r="V103" i="15"/>
  <c r="J107" i="15"/>
  <c r="J114" i="15"/>
  <c r="V115" i="15"/>
  <c r="V20" i="16"/>
  <c r="J24" i="16"/>
  <c r="J28" i="16"/>
  <c r="V32" i="16"/>
  <c r="J36" i="16"/>
  <c r="J40" i="16"/>
  <c r="V44" i="16"/>
  <c r="J48" i="16"/>
  <c r="V52" i="16"/>
  <c r="J56" i="16"/>
  <c r="V60" i="16"/>
  <c r="J62" i="16"/>
  <c r="V64" i="16"/>
  <c r="J68" i="16"/>
  <c r="V72" i="16"/>
  <c r="V76" i="16"/>
  <c r="J78" i="16"/>
  <c r="V84" i="16"/>
  <c r="J86" i="16"/>
  <c r="V92" i="16"/>
  <c r="J96" i="16"/>
  <c r="J100" i="16"/>
  <c r="V104" i="16"/>
  <c r="V108" i="16"/>
  <c r="J113" i="16"/>
  <c r="V114" i="16"/>
  <c r="J118" i="16"/>
  <c r="D12" i="17"/>
  <c r="J21" i="17"/>
  <c r="V29" i="17"/>
  <c r="J33" i="17"/>
  <c r="V37" i="17"/>
  <c r="J39" i="17"/>
  <c r="V41" i="17"/>
  <c r="J45" i="17"/>
  <c r="V49" i="17"/>
  <c r="Z79" i="17"/>
  <c r="L19" i="18"/>
  <c r="Z63" i="18"/>
  <c r="N34" i="19"/>
  <c r="Z56" i="19"/>
  <c r="V105" i="16"/>
  <c r="J107" i="16"/>
  <c r="J83" i="17"/>
  <c r="J75" i="17"/>
  <c r="J71" i="17"/>
  <c r="J63" i="17"/>
  <c r="J96" i="17"/>
  <c r="J90" i="17"/>
  <c r="J82" i="17"/>
  <c r="J68" i="17"/>
  <c r="J60" i="17"/>
  <c r="J93" i="17"/>
  <c r="J89" i="17"/>
  <c r="J79" i="17"/>
  <c r="J65" i="17"/>
  <c r="J106" i="17"/>
  <c r="J100" i="17"/>
  <c r="J92" i="17"/>
  <c r="J88" i="17"/>
  <c r="J74" i="17"/>
  <c r="J70" i="17"/>
  <c r="J62" i="17"/>
  <c r="J54" i="17"/>
  <c r="J95" i="17"/>
  <c r="J87" i="17"/>
  <c r="J81" i="17"/>
  <c r="J67" i="17"/>
  <c r="J59" i="17"/>
  <c r="J104" i="17"/>
  <c r="J98" i="17"/>
  <c r="J86" i="17"/>
  <c r="J78" i="17"/>
  <c r="J64" i="17"/>
  <c r="J56" i="17"/>
  <c r="J97" i="17"/>
  <c r="J91" i="17"/>
  <c r="J85" i="17"/>
  <c r="J77" i="17"/>
  <c r="J73" i="17"/>
  <c r="J69" i="17"/>
  <c r="J61" i="17"/>
  <c r="J109" i="17"/>
  <c r="J102" i="17"/>
  <c r="J94" i="17"/>
  <c r="J84" i="17"/>
  <c r="J80" i="17"/>
  <c r="J76" i="17"/>
  <c r="J72" i="17"/>
  <c r="J66" i="17"/>
  <c r="J58" i="17"/>
  <c r="J22" i="17"/>
  <c r="T102" i="17"/>
  <c r="V102" i="17" s="1"/>
  <c r="J28" i="17"/>
  <c r="V30" i="17"/>
  <c r="J34" i="17"/>
  <c r="V38" i="17"/>
  <c r="L39" i="17"/>
  <c r="N39" i="17" s="1"/>
  <c r="V42" i="17"/>
  <c r="J46" i="17"/>
  <c r="N19" i="18"/>
  <c r="N46" i="18"/>
  <c r="Z18" i="21"/>
  <c r="D124" i="13"/>
  <c r="L124" i="13" s="1"/>
  <c r="N124" i="13" s="1"/>
  <c r="J22" i="14"/>
  <c r="V24" i="14"/>
  <c r="J32" i="14"/>
  <c r="V36" i="14"/>
  <c r="J40" i="14"/>
  <c r="J44" i="14"/>
  <c r="V48" i="14"/>
  <c r="V52" i="14"/>
  <c r="J54" i="14"/>
  <c r="J60" i="14"/>
  <c r="V64" i="14"/>
  <c r="J68" i="14"/>
  <c r="V72" i="14"/>
  <c r="J74" i="14"/>
  <c r="V80" i="14"/>
  <c r="J84" i="14"/>
  <c r="V88" i="14"/>
  <c r="J92" i="14"/>
  <c r="V96" i="14"/>
  <c r="J100" i="14"/>
  <c r="V104" i="14"/>
  <c r="V108" i="14"/>
  <c r="J110" i="14"/>
  <c r="V118" i="14"/>
  <c r="V124" i="14"/>
  <c r="V126" i="14"/>
  <c r="J25" i="15"/>
  <c r="J29" i="15"/>
  <c r="J37" i="15"/>
  <c r="J41" i="15"/>
  <c r="V45" i="15"/>
  <c r="J49" i="15"/>
  <c r="V53" i="15"/>
  <c r="J57" i="15"/>
  <c r="V61" i="15"/>
  <c r="J63" i="15"/>
  <c r="V65" i="15"/>
  <c r="J69" i="15"/>
  <c r="V73" i="15"/>
  <c r="V77" i="15"/>
  <c r="J79" i="15"/>
  <c r="V81" i="15"/>
  <c r="V85" i="15"/>
  <c r="V89" i="15"/>
  <c r="V93" i="15"/>
  <c r="J97" i="15"/>
  <c r="V109" i="15"/>
  <c r="J30" i="16"/>
  <c r="V34" i="16"/>
  <c r="V38" i="16"/>
  <c r="J42" i="16"/>
  <c r="V46" i="16"/>
  <c r="V50" i="16"/>
  <c r="J54" i="16"/>
  <c r="V58" i="16"/>
  <c r="J60" i="16"/>
  <c r="J66" i="16"/>
  <c r="V70" i="16"/>
  <c r="J74" i="16"/>
  <c r="J82" i="16"/>
  <c r="J90" i="16"/>
  <c r="V94" i="16"/>
  <c r="J98" i="16"/>
  <c r="V102" i="16"/>
  <c r="J104" i="16"/>
  <c r="V106" i="16"/>
  <c r="J111" i="16"/>
  <c r="J23" i="17"/>
  <c r="V25" i="17"/>
  <c r="J27" i="17"/>
  <c r="V27" i="17"/>
  <c r="V31" i="17"/>
  <c r="J35" i="17"/>
  <c r="V43" i="17"/>
  <c r="J47" i="17"/>
  <c r="J51" i="17"/>
  <c r="J55" i="17"/>
  <c r="X19" i="18"/>
  <c r="Z19" i="18" s="1"/>
  <c r="Z44" i="18"/>
  <c r="L33" i="19"/>
  <c r="N33" i="19" s="1"/>
  <c r="Z34" i="19"/>
  <c r="Z45" i="19"/>
  <c r="Z73" i="19"/>
  <c r="H26" i="20"/>
  <c r="N22" i="20"/>
  <c r="T32" i="21"/>
  <c r="Z16" i="21"/>
  <c r="Z58" i="17"/>
  <c r="N60" i="17"/>
  <c r="Z66" i="17"/>
  <c r="N68" i="17"/>
  <c r="X12" i="18"/>
  <c r="R15" i="18"/>
  <c r="J21" i="18"/>
  <c r="F22" i="18"/>
  <c r="V25" i="18"/>
  <c r="R26" i="18"/>
  <c r="J29" i="18"/>
  <c r="F30" i="18"/>
  <c r="R31" i="18"/>
  <c r="J33" i="18"/>
  <c r="F34" i="18"/>
  <c r="V37" i="18"/>
  <c r="R38" i="18"/>
  <c r="J41" i="18"/>
  <c r="V45" i="18"/>
  <c r="J49" i="18"/>
  <c r="F50" i="18"/>
  <c r="R51" i="18"/>
  <c r="F53" i="18"/>
  <c r="V53" i="18"/>
  <c r="R54" i="18"/>
  <c r="J55" i="18"/>
  <c r="F58" i="18"/>
  <c r="F62" i="18"/>
  <c r="R63" i="18"/>
  <c r="J65" i="18"/>
  <c r="F66" i="18"/>
  <c r="R67" i="18"/>
  <c r="F69" i="18"/>
  <c r="V69" i="18"/>
  <c r="R70" i="18"/>
  <c r="V73" i="18"/>
  <c r="J77" i="18"/>
  <c r="V79" i="18"/>
  <c r="D12" i="19"/>
  <c r="V23" i="19"/>
  <c r="J27" i="19"/>
  <c r="V35" i="19"/>
  <c r="J39" i="19"/>
  <c r="V43" i="19"/>
  <c r="J45" i="19"/>
  <c r="V47" i="19"/>
  <c r="J51" i="19"/>
  <c r="V55" i="19"/>
  <c r="J59" i="19"/>
  <c r="V63" i="19"/>
  <c r="J67" i="19"/>
  <c r="V71" i="19"/>
  <c r="J73" i="19"/>
  <c r="P76" i="19"/>
  <c r="X76" i="19" s="1"/>
  <c r="Z76" i="19" s="1"/>
  <c r="V83" i="19"/>
  <c r="R29" i="20"/>
  <c r="J31" i="20"/>
  <c r="V27" i="21"/>
  <c r="V36" i="21"/>
  <c r="V30" i="21"/>
  <c r="V39" i="21"/>
  <c r="V34" i="21"/>
  <c r="V32" i="21"/>
  <c r="V28" i="21"/>
  <c r="F16" i="21"/>
  <c r="V16" i="21"/>
  <c r="V18" i="21"/>
  <c r="F23" i="21"/>
  <c r="R24" i="21"/>
  <c r="F26" i="21"/>
  <c r="V26" i="21"/>
  <c r="R27" i="21"/>
  <c r="F34" i="21"/>
  <c r="R36" i="21"/>
  <c r="L16" i="22"/>
  <c r="D77" i="22"/>
  <c r="N18" i="22"/>
  <c r="N42" i="22"/>
  <c r="Z12" i="18"/>
  <c r="R20" i="18"/>
  <c r="J22" i="18"/>
  <c r="F23" i="18"/>
  <c r="V26" i="18"/>
  <c r="R27" i="18"/>
  <c r="J30" i="18"/>
  <c r="J34" i="18"/>
  <c r="F35" i="18"/>
  <c r="V38" i="18"/>
  <c r="R39" i="18"/>
  <c r="F42" i="18"/>
  <c r="V42" i="18"/>
  <c r="R43" i="18"/>
  <c r="J44" i="18"/>
  <c r="F47" i="18"/>
  <c r="R48" i="18"/>
  <c r="J50" i="18"/>
  <c r="X53" i="18"/>
  <c r="Z53" i="18" s="1"/>
  <c r="V54" i="18"/>
  <c r="L55" i="18"/>
  <c r="N55" i="18" s="1"/>
  <c r="J58" i="18"/>
  <c r="F59" i="18"/>
  <c r="J62" i="18"/>
  <c r="J66" i="18"/>
  <c r="V70" i="18"/>
  <c r="X73" i="18"/>
  <c r="Z73" i="18" s="1"/>
  <c r="J20" i="19"/>
  <c r="V24" i="19"/>
  <c r="J28" i="19"/>
  <c r="T31" i="19"/>
  <c r="J34" i="19"/>
  <c r="V36" i="19"/>
  <c r="J40" i="19"/>
  <c r="V44" i="19"/>
  <c r="V48" i="19"/>
  <c r="J52" i="19"/>
  <c r="V60" i="19"/>
  <c r="J62" i="19"/>
  <c r="V68" i="19"/>
  <c r="J70" i="19"/>
  <c r="V72" i="19"/>
  <c r="L73" i="19"/>
  <c r="N73" i="19" s="1"/>
  <c r="J77" i="19"/>
  <c r="V78" i="19"/>
  <c r="D16" i="20"/>
  <c r="T16" i="20"/>
  <c r="X16" i="20" s="1"/>
  <c r="F24" i="20"/>
  <c r="L28" i="20"/>
  <c r="X12" i="21"/>
  <c r="H16" i="21"/>
  <c r="F20" i="21"/>
  <c r="J23" i="21"/>
  <c r="L30" i="21"/>
  <c r="J18" i="22"/>
  <c r="Z54" i="22"/>
  <c r="L18" i="23"/>
  <c r="N19" i="23"/>
  <c r="F15" i="18"/>
  <c r="J23" i="18"/>
  <c r="F24" i="18"/>
  <c r="V27" i="18"/>
  <c r="R28" i="18"/>
  <c r="F31" i="18"/>
  <c r="V31" i="18"/>
  <c r="R32" i="18"/>
  <c r="J35" i="18"/>
  <c r="F36" i="18"/>
  <c r="V39" i="18"/>
  <c r="R40" i="18"/>
  <c r="V43" i="18"/>
  <c r="J47" i="18"/>
  <c r="F51" i="18"/>
  <c r="V51" i="18"/>
  <c r="R52" i="18"/>
  <c r="J53" i="18"/>
  <c r="F56" i="18"/>
  <c r="R57" i="18"/>
  <c r="J59" i="18"/>
  <c r="F60" i="18"/>
  <c r="R61" i="18"/>
  <c r="F63" i="18"/>
  <c r="V63" i="18"/>
  <c r="R64" i="18"/>
  <c r="F67" i="18"/>
  <c r="V67" i="18"/>
  <c r="R68" i="18"/>
  <c r="J69" i="18"/>
  <c r="F73" i="18"/>
  <c r="X16" i="19"/>
  <c r="J21" i="19"/>
  <c r="V25" i="19"/>
  <c r="J29" i="19"/>
  <c r="J33" i="19"/>
  <c r="V33" i="19"/>
  <c r="V37" i="19"/>
  <c r="J41" i="19"/>
  <c r="V49" i="19"/>
  <c r="J53" i="19"/>
  <c r="J57" i="19"/>
  <c r="V61" i="19"/>
  <c r="J65" i="19"/>
  <c r="V69" i="19"/>
  <c r="D76" i="19"/>
  <c r="L76" i="19" s="1"/>
  <c r="N76" i="19" s="1"/>
  <c r="F16" i="20"/>
  <c r="V16" i="20"/>
  <c r="F20" i="20"/>
  <c r="V20" i="20"/>
  <c r="J24" i="20"/>
  <c r="F26" i="20"/>
  <c r="V26" i="20"/>
  <c r="F29" i="20"/>
  <c r="V29" i="20"/>
  <c r="Z12" i="21"/>
  <c r="R14" i="21"/>
  <c r="J16" i="21"/>
  <c r="J20" i="21"/>
  <c r="F21" i="21"/>
  <c r="R22" i="21"/>
  <c r="V24" i="21"/>
  <c r="R25" i="21"/>
  <c r="J26" i="21"/>
  <c r="J32" i="21"/>
  <c r="H77" i="22"/>
  <c r="P17" i="18"/>
  <c r="F19" i="18"/>
  <c r="R19" i="18"/>
  <c r="F20" i="18"/>
  <c r="V20" i="18"/>
  <c r="R21" i="18"/>
  <c r="J24" i="18"/>
  <c r="F25" i="18"/>
  <c r="V28" i="18"/>
  <c r="R29" i="18"/>
  <c r="V32" i="18"/>
  <c r="R33" i="18"/>
  <c r="J36" i="18"/>
  <c r="F37" i="18"/>
  <c r="V40" i="18"/>
  <c r="R41" i="18"/>
  <c r="J42" i="18"/>
  <c r="F45" i="18"/>
  <c r="R46" i="18"/>
  <c r="F48" i="18"/>
  <c r="V48" i="18"/>
  <c r="R49" i="18"/>
  <c r="V52" i="18"/>
  <c r="J56" i="18"/>
  <c r="J60" i="18"/>
  <c r="V64" i="18"/>
  <c r="R65" i="18"/>
  <c r="V68" i="18"/>
  <c r="R72" i="18"/>
  <c r="J73" i="18"/>
  <c r="R77" i="18"/>
  <c r="J22" i="19"/>
  <c r="V26" i="19"/>
  <c r="H31" i="19"/>
  <c r="V38" i="19"/>
  <c r="J42" i="19"/>
  <c r="J46" i="19"/>
  <c r="V50" i="19"/>
  <c r="J54" i="19"/>
  <c r="V58" i="19"/>
  <c r="J60" i="19"/>
  <c r="V66" i="19"/>
  <c r="J68" i="19"/>
  <c r="J74" i="19"/>
  <c r="V76" i="19"/>
  <c r="F36" i="21"/>
  <c r="F30" i="21"/>
  <c r="F39" i="21"/>
  <c r="F32" i="21"/>
  <c r="R19" i="21"/>
  <c r="V25" i="21"/>
  <c r="N18" i="23"/>
  <c r="D81" i="24"/>
  <c r="L12" i="18"/>
  <c r="N12" i="18" s="1"/>
  <c r="J15" i="18"/>
  <c r="R17" i="18"/>
  <c r="V21" i="18"/>
  <c r="R22" i="18"/>
  <c r="J25" i="18"/>
  <c r="F26" i="18"/>
  <c r="V29" i="18"/>
  <c r="R30" i="18"/>
  <c r="J31" i="18"/>
  <c r="V33" i="18"/>
  <c r="R34" i="18"/>
  <c r="J37" i="18"/>
  <c r="F38" i="18"/>
  <c r="V41" i="18"/>
  <c r="J45" i="18"/>
  <c r="V49" i="18"/>
  <c r="R50" i="18"/>
  <c r="J51" i="18"/>
  <c r="F54" i="18"/>
  <c r="R55" i="18"/>
  <c r="F57" i="18"/>
  <c r="V57" i="18"/>
  <c r="R58" i="18"/>
  <c r="F61" i="18"/>
  <c r="V61" i="18"/>
  <c r="R62" i="18"/>
  <c r="J63" i="18"/>
  <c r="V65" i="18"/>
  <c r="R66" i="18"/>
  <c r="J67" i="18"/>
  <c r="F70" i="18"/>
  <c r="D72" i="18"/>
  <c r="L72" i="18" s="1"/>
  <c r="N72" i="18" s="1"/>
  <c r="V75" i="18"/>
  <c r="V77" i="18"/>
  <c r="V19" i="19"/>
  <c r="J23" i="19"/>
  <c r="V27" i="19"/>
  <c r="J31" i="19"/>
  <c r="J35" i="19"/>
  <c r="V39" i="19"/>
  <c r="J43" i="19"/>
  <c r="J47" i="19"/>
  <c r="V51" i="19"/>
  <c r="J55" i="19"/>
  <c r="V59" i="19"/>
  <c r="J63" i="19"/>
  <c r="V67" i="19"/>
  <c r="J71" i="19"/>
  <c r="J78" i="19"/>
  <c r="V79" i="19"/>
  <c r="J83" i="19"/>
  <c r="Z12" i="20"/>
  <c r="R14" i="20"/>
  <c r="J16" i="20"/>
  <c r="R18" i="20"/>
  <c r="J20" i="20"/>
  <c r="R22" i="20"/>
  <c r="J26" i="20"/>
  <c r="R28" i="20"/>
  <c r="R31" i="20"/>
  <c r="J34" i="21"/>
  <c r="J28" i="21"/>
  <c r="F14" i="21"/>
  <c r="V14" i="21"/>
  <c r="F22" i="21"/>
  <c r="V22" i="21"/>
  <c r="R23" i="21"/>
  <c r="J24" i="21"/>
  <c r="F27" i="21"/>
  <c r="F28" i="21"/>
  <c r="J39" i="21"/>
  <c r="J84" i="22"/>
  <c r="J77" i="22"/>
  <c r="J67" i="22"/>
  <c r="J51" i="22"/>
  <c r="J43" i="22"/>
  <c r="J35" i="22"/>
  <c r="J29" i="22"/>
  <c r="J23" i="22"/>
  <c r="J72" i="22"/>
  <c r="J66" i="22"/>
  <c r="J60" i="22"/>
  <c r="J56" i="22"/>
  <c r="J48" i="22"/>
  <c r="J40" i="22"/>
  <c r="J34" i="22"/>
  <c r="J22" i="22"/>
  <c r="J69" i="22"/>
  <c r="J63" i="22"/>
  <c r="J53" i="22"/>
  <c r="J45" i="22"/>
  <c r="J33" i="22"/>
  <c r="J21" i="22"/>
  <c r="J50" i="22"/>
  <c r="J42" i="22"/>
  <c r="J32" i="22"/>
  <c r="J28" i="22"/>
  <c r="J20" i="22"/>
  <c r="J16" i="22"/>
  <c r="J81" i="22"/>
  <c r="J75" i="22"/>
  <c r="J71" i="22"/>
  <c r="J65" i="22"/>
  <c r="J59" i="22"/>
  <c r="J55" i="22"/>
  <c r="J47" i="22"/>
  <c r="J39" i="22"/>
  <c r="J68" i="22"/>
  <c r="J62" i="22"/>
  <c r="J58" i="22"/>
  <c r="J52" i="22"/>
  <c r="J44" i="22"/>
  <c r="J38" i="22"/>
  <c r="J30" i="22"/>
  <c r="J26" i="22"/>
  <c r="J79" i="22"/>
  <c r="J73" i="22"/>
  <c r="J61" i="22"/>
  <c r="J57" i="22"/>
  <c r="J49" i="22"/>
  <c r="J41" i="22"/>
  <c r="J37" i="22"/>
  <c r="J25" i="22"/>
  <c r="J19" i="22"/>
  <c r="J70" i="22"/>
  <c r="J64" i="22"/>
  <c r="J54" i="22"/>
  <c r="J46" i="22"/>
  <c r="J36" i="22"/>
  <c r="J24" i="22"/>
  <c r="J14" i="22"/>
  <c r="N12" i="22"/>
  <c r="Z18" i="22"/>
  <c r="X19" i="22"/>
  <c r="Z70" i="22"/>
  <c r="X18" i="23"/>
  <c r="Z18" i="23" s="1"/>
  <c r="D17" i="18"/>
  <c r="J20" i="18"/>
  <c r="V22" i="18"/>
  <c r="R23" i="18"/>
  <c r="J26" i="18"/>
  <c r="F27" i="18"/>
  <c r="V30" i="18"/>
  <c r="V34" i="18"/>
  <c r="R35" i="18"/>
  <c r="J38" i="18"/>
  <c r="F39" i="18"/>
  <c r="F43" i="18"/>
  <c r="R44" i="18"/>
  <c r="F46" i="18"/>
  <c r="V46" i="18"/>
  <c r="R47" i="18"/>
  <c r="J48" i="18"/>
  <c r="V50" i="18"/>
  <c r="J54" i="18"/>
  <c r="V58" i="18"/>
  <c r="R59" i="18"/>
  <c r="V62" i="18"/>
  <c r="V66" i="18"/>
  <c r="J70" i="18"/>
  <c r="V72" i="18"/>
  <c r="V20" i="19"/>
  <c r="J24" i="19"/>
  <c r="V28" i="19"/>
  <c r="J36" i="19"/>
  <c r="V40" i="19"/>
  <c r="J44" i="19"/>
  <c r="J48" i="19"/>
  <c r="V52" i="19"/>
  <c r="V56" i="19"/>
  <c r="J58" i="19"/>
  <c r="V64" i="19"/>
  <c r="J66" i="19"/>
  <c r="J72" i="19"/>
  <c r="J76" i="19"/>
  <c r="L12" i="21"/>
  <c r="X14" i="21"/>
  <c r="P16" i="21"/>
  <c r="F18" i="21"/>
  <c r="R18" i="21"/>
  <c r="F19" i="21"/>
  <c r="V19" i="21"/>
  <c r="R20" i="21"/>
  <c r="X22" i="21"/>
  <c r="Z22" i="21" s="1"/>
  <c r="V23" i="21"/>
  <c r="L24" i="21"/>
  <c r="N24" i="21" s="1"/>
  <c r="J27" i="21"/>
  <c r="R30" i="21"/>
  <c r="R32" i="21"/>
  <c r="R81" i="22"/>
  <c r="R75" i="22"/>
  <c r="R65" i="22"/>
  <c r="R32" i="22"/>
  <c r="R28" i="22"/>
  <c r="R20" i="22"/>
  <c r="R18" i="22"/>
  <c r="P16" i="22"/>
  <c r="R71" i="22"/>
  <c r="R68" i="22"/>
  <c r="R59" i="22"/>
  <c r="R55" i="22"/>
  <c r="R52" i="22"/>
  <c r="R47" i="22"/>
  <c r="R44" i="22"/>
  <c r="R39" i="22"/>
  <c r="R31" i="22"/>
  <c r="R27" i="22"/>
  <c r="R62" i="22"/>
  <c r="R58" i="22"/>
  <c r="R38" i="22"/>
  <c r="R30" i="22"/>
  <c r="R26" i="22"/>
  <c r="R19" i="22"/>
  <c r="R79" i="22"/>
  <c r="R73" i="22"/>
  <c r="R70" i="22"/>
  <c r="R61" i="22"/>
  <c r="R57" i="22"/>
  <c r="R54" i="22"/>
  <c r="R49" i="22"/>
  <c r="R46" i="22"/>
  <c r="R41" i="22"/>
  <c r="R37" i="22"/>
  <c r="R25" i="22"/>
  <c r="R14" i="22"/>
  <c r="R84" i="22"/>
  <c r="R77" i="22"/>
  <c r="R64" i="22"/>
  <c r="R36" i="22"/>
  <c r="R72" i="22"/>
  <c r="R67" i="22"/>
  <c r="R60" i="22"/>
  <c r="R56" i="22"/>
  <c r="R51" i="22"/>
  <c r="R48" i="22"/>
  <c r="R43" i="22"/>
  <c r="R40" i="22"/>
  <c r="R35" i="22"/>
  <c r="R23" i="22"/>
  <c r="R66" i="22"/>
  <c r="R63" i="22"/>
  <c r="R34" i="22"/>
  <c r="R22" i="22"/>
  <c r="R69" i="22"/>
  <c r="R53" i="22"/>
  <c r="R50" i="22"/>
  <c r="R45" i="22"/>
  <c r="R42" i="22"/>
  <c r="R33" i="22"/>
  <c r="R21" i="22"/>
  <c r="R16" i="22"/>
  <c r="Z19" i="22"/>
  <c r="R24" i="22"/>
  <c r="F17" i="18"/>
  <c r="V17" i="18"/>
  <c r="J19" i="18"/>
  <c r="V19" i="18"/>
  <c r="V23" i="18"/>
  <c r="R24" i="18"/>
  <c r="J27" i="18"/>
  <c r="F28" i="18"/>
  <c r="F32" i="18"/>
  <c r="V35" i="18"/>
  <c r="R36" i="18"/>
  <c r="J39" i="18"/>
  <c r="F40" i="18"/>
  <c r="J43" i="18"/>
  <c r="V47" i="18"/>
  <c r="F52" i="18"/>
  <c r="R53" i="18"/>
  <c r="F55" i="18"/>
  <c r="V55" i="18"/>
  <c r="R56" i="18"/>
  <c r="J57" i="18"/>
  <c r="V59" i="18"/>
  <c r="R60" i="18"/>
  <c r="J61" i="18"/>
  <c r="F64" i="18"/>
  <c r="F68" i="18"/>
  <c r="R69" i="18"/>
  <c r="J19" i="19"/>
  <c r="J25" i="19"/>
  <c r="V29" i="19"/>
  <c r="J37" i="19"/>
  <c r="V41" i="19"/>
  <c r="V45" i="19"/>
  <c r="J49" i="19"/>
  <c r="V53" i="19"/>
  <c r="V57" i="19"/>
  <c r="J61" i="19"/>
  <c r="X64" i="19"/>
  <c r="Z64" i="19" s="1"/>
  <c r="V65" i="19"/>
  <c r="L66" i="19"/>
  <c r="N66" i="19" s="1"/>
  <c r="J69" i="19"/>
  <c r="V73" i="19"/>
  <c r="V77" i="19"/>
  <c r="F14" i="20"/>
  <c r="V14" i="20"/>
  <c r="N16" i="20"/>
  <c r="F18" i="20"/>
  <c r="V18" i="20"/>
  <c r="F22" i="20"/>
  <c r="V22" i="20"/>
  <c r="V24" i="20"/>
  <c r="F28" i="20"/>
  <c r="V28" i="20"/>
  <c r="N12" i="21"/>
  <c r="J14" i="21"/>
  <c r="Z14" i="21"/>
  <c r="R16" i="21"/>
  <c r="V20" i="21"/>
  <c r="R21" i="21"/>
  <c r="J22" i="21"/>
  <c r="F25" i="21"/>
  <c r="R26" i="21"/>
  <c r="J36" i="21"/>
  <c r="V71" i="22"/>
  <c r="V59" i="22"/>
  <c r="V55" i="22"/>
  <c r="V47" i="22"/>
  <c r="V39" i="22"/>
  <c r="V31" i="22"/>
  <c r="V27" i="22"/>
  <c r="V19" i="22"/>
  <c r="V70" i="22"/>
  <c r="V62" i="22"/>
  <c r="V58" i="22"/>
  <c r="V54" i="22"/>
  <c r="V46" i="22"/>
  <c r="V38" i="22"/>
  <c r="V30" i="22"/>
  <c r="V26" i="22"/>
  <c r="V84" i="22"/>
  <c r="V79" i="22"/>
  <c r="V77" i="22"/>
  <c r="V73" i="22"/>
  <c r="V61" i="22"/>
  <c r="V57" i="22"/>
  <c r="V49" i="22"/>
  <c r="V41" i="22"/>
  <c r="V37" i="22"/>
  <c r="V29" i="22"/>
  <c r="V25" i="22"/>
  <c r="V72" i="22"/>
  <c r="V64" i="22"/>
  <c r="V60" i="22"/>
  <c r="V56" i="22"/>
  <c r="V48" i="22"/>
  <c r="V40" i="22"/>
  <c r="V36" i="22"/>
  <c r="V24" i="22"/>
  <c r="Z12" i="22"/>
  <c r="V67" i="22"/>
  <c r="V63" i="22"/>
  <c r="V51" i="22"/>
  <c r="V43" i="22"/>
  <c r="V35" i="22"/>
  <c r="V66" i="22"/>
  <c r="V50" i="22"/>
  <c r="V42" i="22"/>
  <c r="V34" i="22"/>
  <c r="V22" i="22"/>
  <c r="V81" i="22"/>
  <c r="V75" i="22"/>
  <c r="V69" i="22"/>
  <c r="V65" i="22"/>
  <c r="V53" i="22"/>
  <c r="V45" i="22"/>
  <c r="V33" i="22"/>
  <c r="V21" i="22"/>
  <c r="V68" i="22"/>
  <c r="V52" i="22"/>
  <c r="V44" i="22"/>
  <c r="V32" i="22"/>
  <c r="V28" i="22"/>
  <c r="V20" i="22"/>
  <c r="H17" i="18"/>
  <c r="F21" i="18"/>
  <c r="V24" i="18"/>
  <c r="R25" i="18"/>
  <c r="J28" i="18"/>
  <c r="F29" i="18"/>
  <c r="J32" i="18"/>
  <c r="F33" i="18"/>
  <c r="V36" i="18"/>
  <c r="R37" i="18"/>
  <c r="J40" i="18"/>
  <c r="F41" i="18"/>
  <c r="R42" i="18"/>
  <c r="F44" i="18"/>
  <c r="V44" i="18"/>
  <c r="R45" i="18"/>
  <c r="J46" i="18"/>
  <c r="F49" i="18"/>
  <c r="J52" i="18"/>
  <c r="V56" i="18"/>
  <c r="J64" i="18"/>
  <c r="F65" i="18"/>
  <c r="J68" i="18"/>
  <c r="V22" i="19"/>
  <c r="J26" i="19"/>
  <c r="V34" i="19"/>
  <c r="J38" i="19"/>
  <c r="V42" i="19"/>
  <c r="V46" i="19"/>
  <c r="J50" i="19"/>
  <c r="V54" i="19"/>
  <c r="J56" i="19"/>
  <c r="V62" i="19"/>
  <c r="J64" i="19"/>
  <c r="V70" i="19"/>
  <c r="X14" i="20"/>
  <c r="R34" i="21"/>
  <c r="R28" i="21"/>
  <c r="D16" i="21"/>
  <c r="V21" i="21"/>
  <c r="J25" i="21"/>
  <c r="V23" i="22"/>
  <c r="J31" i="22"/>
  <c r="T70" i="23"/>
  <c r="Z16" i="23"/>
  <c r="N44" i="23"/>
  <c r="F25" i="22"/>
  <c r="L29" i="22"/>
  <c r="N29" i="22" s="1"/>
  <c r="F37" i="22"/>
  <c r="F41" i="22"/>
  <c r="F44" i="22"/>
  <c r="F49" i="22"/>
  <c r="F52" i="22"/>
  <c r="F57" i="22"/>
  <c r="F61" i="22"/>
  <c r="F68" i="22"/>
  <c r="F73" i="22"/>
  <c r="F79" i="22"/>
  <c r="X12" i="23"/>
  <c r="H16" i="23"/>
  <c r="F20" i="23"/>
  <c r="V23" i="23"/>
  <c r="R24" i="23"/>
  <c r="J27" i="23"/>
  <c r="F28" i="23"/>
  <c r="R29" i="23"/>
  <c r="J31" i="23"/>
  <c r="F32" i="23"/>
  <c r="V35" i="23"/>
  <c r="R36" i="23"/>
  <c r="J39" i="23"/>
  <c r="X42" i="23"/>
  <c r="V43" i="23"/>
  <c r="L44" i="23"/>
  <c r="J47" i="23"/>
  <c r="Z50" i="23"/>
  <c r="J56" i="23"/>
  <c r="F57" i="23"/>
  <c r="F58" i="23"/>
  <c r="J60" i="23"/>
  <c r="F62" i="23"/>
  <c r="V65" i="23"/>
  <c r="R68" i="23"/>
  <c r="J72" i="23"/>
  <c r="H77" i="24"/>
  <c r="N16" i="24"/>
  <c r="V35" i="24"/>
  <c r="L43" i="24"/>
  <c r="V56" i="24"/>
  <c r="V72" i="24"/>
  <c r="L14" i="25"/>
  <c r="Z19" i="25"/>
  <c r="L30" i="25"/>
  <c r="N30" i="25" s="1"/>
  <c r="F35" i="25"/>
  <c r="F36" i="25"/>
  <c r="Z48" i="25"/>
  <c r="F55" i="25"/>
  <c r="T59" i="26"/>
  <c r="Z16" i="26"/>
  <c r="R34" i="26"/>
  <c r="R35" i="26"/>
  <c r="N48" i="26"/>
  <c r="V48" i="27"/>
  <c r="V44" i="27"/>
  <c r="V32" i="27"/>
  <c r="V28" i="27"/>
  <c r="V20" i="27"/>
  <c r="V51" i="27"/>
  <c r="V47" i="27"/>
  <c r="V39" i="27"/>
  <c r="V31" i="27"/>
  <c r="V27" i="27"/>
  <c r="V19" i="27"/>
  <c r="V50" i="27"/>
  <c r="V38" i="27"/>
  <c r="V30" i="27"/>
  <c r="V26" i="27"/>
  <c r="V14" i="27"/>
  <c r="V64" i="27"/>
  <c r="V59" i="27"/>
  <c r="V57" i="27"/>
  <c r="V53" i="27"/>
  <c r="V49" i="27"/>
  <c r="V41" i="27"/>
  <c r="V37" i="27"/>
  <c r="V29" i="27"/>
  <c r="V25" i="27"/>
  <c r="V61" i="27"/>
  <c r="V55" i="27"/>
  <c r="V45" i="27"/>
  <c r="V33" i="27"/>
  <c r="V21" i="27"/>
  <c r="T16" i="27"/>
  <c r="P16" i="27"/>
  <c r="X14" i="27"/>
  <c r="F26" i="22"/>
  <c r="F30" i="22"/>
  <c r="F38" i="22"/>
  <c r="F58" i="22"/>
  <c r="F62" i="22"/>
  <c r="F65" i="22"/>
  <c r="F75" i="22"/>
  <c r="F81" i="22"/>
  <c r="R14" i="23"/>
  <c r="J16" i="23"/>
  <c r="J20" i="23"/>
  <c r="F21" i="23"/>
  <c r="R25" i="23"/>
  <c r="J28" i="23"/>
  <c r="J32" i="23"/>
  <c r="F33" i="23"/>
  <c r="V36" i="23"/>
  <c r="R37" i="23"/>
  <c r="F40" i="23"/>
  <c r="V40" i="23"/>
  <c r="R41" i="23"/>
  <c r="J42" i="23"/>
  <c r="F45" i="23"/>
  <c r="R46" i="23"/>
  <c r="V48" i="23"/>
  <c r="R49" i="23"/>
  <c r="J50" i="23"/>
  <c r="V52" i="23"/>
  <c r="R53" i="23"/>
  <c r="R54" i="23"/>
  <c r="R55" i="23"/>
  <c r="J57" i="23"/>
  <c r="V74" i="23"/>
  <c r="V18" i="24"/>
  <c r="N45" i="24"/>
  <c r="L51" i="24"/>
  <c r="N51" i="24" s="1"/>
  <c r="F14" i="25"/>
  <c r="P68" i="25"/>
  <c r="Z18" i="25"/>
  <c r="F30" i="25"/>
  <c r="F41" i="25"/>
  <c r="F61" i="25"/>
  <c r="X66" i="25"/>
  <c r="F70" i="25"/>
  <c r="Z18" i="26"/>
  <c r="V16" i="27"/>
  <c r="N29" i="27"/>
  <c r="V46" i="27"/>
  <c r="J17" i="28"/>
  <c r="X20" i="28"/>
  <c r="Z20" i="28" s="1"/>
  <c r="L54" i="28"/>
  <c r="N54" i="28" s="1"/>
  <c r="F98" i="28"/>
  <c r="R81" i="29"/>
  <c r="R73" i="29"/>
  <c r="R61" i="29"/>
  <c r="R58" i="29"/>
  <c r="R53" i="29"/>
  <c r="R45" i="29"/>
  <c r="R41" i="29"/>
  <c r="R21" i="29"/>
  <c r="R80" i="29"/>
  <c r="R76" i="29"/>
  <c r="R69" i="29"/>
  <c r="R64" i="29"/>
  <c r="R52" i="29"/>
  <c r="R44" i="29"/>
  <c r="R40" i="29"/>
  <c r="R33" i="29"/>
  <c r="R28" i="29"/>
  <c r="R20" i="29"/>
  <c r="X12" i="29"/>
  <c r="Z12" i="29" s="1"/>
  <c r="R89" i="29"/>
  <c r="R83" i="29"/>
  <c r="R79" i="29"/>
  <c r="R72" i="29"/>
  <c r="R60" i="29"/>
  <c r="R55" i="29"/>
  <c r="R51" i="29"/>
  <c r="R39" i="29"/>
  <c r="R27" i="29"/>
  <c r="R19" i="29"/>
  <c r="R82" i="29"/>
  <c r="R57" i="29"/>
  <c r="R54" i="29"/>
  <c r="R49" i="29"/>
  <c r="R37" i="29"/>
  <c r="R25" i="29"/>
  <c r="R18" i="29"/>
  <c r="R46" i="29"/>
  <c r="R35" i="29"/>
  <c r="R32" i="29"/>
  <c r="R75" i="29"/>
  <c r="R47" i="29"/>
  <c r="R36" i="29"/>
  <c r="R85" i="29"/>
  <c r="R78" i="29"/>
  <c r="R77" i="29"/>
  <c r="R48" i="29"/>
  <c r="R38" i="29"/>
  <c r="P30" i="29"/>
  <c r="R30" i="29" s="1"/>
  <c r="R70" i="29"/>
  <c r="R67" i="29"/>
  <c r="R63" i="29"/>
  <c r="R74" i="29"/>
  <c r="R71" i="29"/>
  <c r="R68" i="29"/>
  <c r="R66" i="29"/>
  <c r="R65" i="29"/>
  <c r="R56" i="29"/>
  <c r="R50" i="29"/>
  <c r="R43" i="29"/>
  <c r="R22" i="29"/>
  <c r="R62" i="29"/>
  <c r="R59" i="29"/>
  <c r="R34" i="29"/>
  <c r="R26" i="29"/>
  <c r="R24" i="29"/>
  <c r="R42" i="29"/>
  <c r="V69" i="31"/>
  <c r="F31" i="22"/>
  <c r="F39" i="22"/>
  <c r="F42" i="22"/>
  <c r="F47" i="22"/>
  <c r="F50" i="22"/>
  <c r="F55" i="22"/>
  <c r="F59" i="22"/>
  <c r="F71" i="22"/>
  <c r="F77" i="23"/>
  <c r="F70" i="23"/>
  <c r="F59" i="23"/>
  <c r="F64" i="23"/>
  <c r="F63" i="23"/>
  <c r="F60" i="23"/>
  <c r="R19" i="23"/>
  <c r="J21" i="23"/>
  <c r="F22" i="23"/>
  <c r="R26" i="23"/>
  <c r="F29" i="23"/>
  <c r="R30" i="23"/>
  <c r="J33" i="23"/>
  <c r="F34" i="23"/>
  <c r="R38" i="23"/>
  <c r="J45" i="23"/>
  <c r="F51" i="23"/>
  <c r="F52" i="23"/>
  <c r="J58" i="23"/>
  <c r="J63" i="23"/>
  <c r="J64" i="23"/>
  <c r="F65" i="23"/>
  <c r="F66" i="23"/>
  <c r="F68" i="23"/>
  <c r="V68" i="23"/>
  <c r="P16" i="24"/>
  <c r="X14" i="24"/>
  <c r="N43" i="24"/>
  <c r="V55" i="24"/>
  <c r="V62" i="24"/>
  <c r="N41" i="25"/>
  <c r="L41" i="25"/>
  <c r="F44" i="25"/>
  <c r="F54" i="25"/>
  <c r="N61" i="25"/>
  <c r="L61" i="25"/>
  <c r="Z40" i="27"/>
  <c r="X40" i="27"/>
  <c r="J22" i="28"/>
  <c r="J31" i="28"/>
  <c r="X54" i="30"/>
  <c r="R54" i="30"/>
  <c r="F63" i="22"/>
  <c r="J62" i="23"/>
  <c r="J74" i="23"/>
  <c r="J61" i="23"/>
  <c r="J55" i="23"/>
  <c r="J51" i="23"/>
  <c r="J65" i="23"/>
  <c r="J59" i="23"/>
  <c r="F14" i="23"/>
  <c r="J22" i="23"/>
  <c r="F23" i="23"/>
  <c r="R27" i="23"/>
  <c r="R31" i="23"/>
  <c r="J34" i="23"/>
  <c r="F35" i="23"/>
  <c r="V38" i="23"/>
  <c r="R39" i="23"/>
  <c r="J40" i="23"/>
  <c r="F43" i="23"/>
  <c r="R44" i="23"/>
  <c r="F46" i="23"/>
  <c r="V46" i="23"/>
  <c r="R47" i="23"/>
  <c r="J48" i="23"/>
  <c r="R56" i="23"/>
  <c r="R57" i="23"/>
  <c r="V60" i="23"/>
  <c r="R62" i="23"/>
  <c r="J66" i="23"/>
  <c r="J70" i="23"/>
  <c r="V68" i="24"/>
  <c r="V64" i="24"/>
  <c r="V60" i="24"/>
  <c r="V48" i="24"/>
  <c r="V40" i="24"/>
  <c r="V32" i="24"/>
  <c r="V28" i="24"/>
  <c r="V20" i="24"/>
  <c r="V71" i="24"/>
  <c r="V63" i="24"/>
  <c r="V47" i="24"/>
  <c r="V39" i="24"/>
  <c r="V31" i="24"/>
  <c r="V27" i="24"/>
  <c r="V19" i="24"/>
  <c r="V70" i="24"/>
  <c r="V50" i="24"/>
  <c r="V42" i="24"/>
  <c r="V38" i="24"/>
  <c r="V30" i="24"/>
  <c r="V26" i="24"/>
  <c r="V14" i="24"/>
  <c r="V84" i="24"/>
  <c r="V79" i="24"/>
  <c r="V77" i="24"/>
  <c r="V73" i="24"/>
  <c r="V49" i="24"/>
  <c r="V41" i="24"/>
  <c r="V37" i="24"/>
  <c r="V25" i="24"/>
  <c r="V81" i="24"/>
  <c r="V75" i="24"/>
  <c r="V69" i="24"/>
  <c r="V65" i="24"/>
  <c r="V61" i="24"/>
  <c r="V57" i="24"/>
  <c r="V53" i="24"/>
  <c r="V45" i="24"/>
  <c r="V33" i="24"/>
  <c r="V29" i="24"/>
  <c r="V21" i="24"/>
  <c r="T16" i="24"/>
  <c r="V16" i="24"/>
  <c r="Z19" i="24"/>
  <c r="V23" i="24"/>
  <c r="Z63" i="24"/>
  <c r="V66" i="24"/>
  <c r="F63" i="25"/>
  <c r="F60" i="25"/>
  <c r="F43" i="25"/>
  <c r="F40" i="25"/>
  <c r="F32" i="25"/>
  <c r="F28" i="25"/>
  <c r="F20" i="25"/>
  <c r="F59" i="25"/>
  <c r="F46" i="25"/>
  <c r="F39" i="25"/>
  <c r="F31" i="25"/>
  <c r="F27" i="25"/>
  <c r="F16" i="25"/>
  <c r="F62" i="25"/>
  <c r="F53" i="25"/>
  <c r="F42" i="25"/>
  <c r="F38" i="25"/>
  <c r="F26" i="25"/>
  <c r="D16" i="25"/>
  <c r="F72" i="25"/>
  <c r="F66" i="25"/>
  <c r="F56" i="25"/>
  <c r="F48" i="25"/>
  <c r="F45" i="25"/>
  <c r="F37" i="25"/>
  <c r="F25" i="25"/>
  <c r="F75" i="25"/>
  <c r="F68" i="25"/>
  <c r="F57" i="25"/>
  <c r="F49" i="25"/>
  <c r="F33" i="25"/>
  <c r="F29" i="25"/>
  <c r="F21" i="25"/>
  <c r="F23" i="25"/>
  <c r="F24" i="25"/>
  <c r="F34" i="25"/>
  <c r="L58" i="25"/>
  <c r="R52" i="26"/>
  <c r="R32" i="26"/>
  <c r="R28" i="26"/>
  <c r="R20" i="26"/>
  <c r="R18" i="26"/>
  <c r="P16" i="26"/>
  <c r="R61" i="26"/>
  <c r="R55" i="26"/>
  <c r="R51" i="26"/>
  <c r="R48" i="26"/>
  <c r="R44" i="26"/>
  <c r="R39" i="26"/>
  <c r="R31" i="26"/>
  <c r="R27" i="26"/>
  <c r="R66" i="26"/>
  <c r="R59" i="26"/>
  <c r="R38" i="26"/>
  <c r="R30" i="26"/>
  <c r="R26" i="26"/>
  <c r="R19" i="26"/>
  <c r="R54" i="26"/>
  <c r="R50" i="26"/>
  <c r="R41" i="26"/>
  <c r="R37" i="26"/>
  <c r="R25" i="26"/>
  <c r="R14" i="26"/>
  <c r="R53" i="26"/>
  <c r="R49" i="26"/>
  <c r="R45" i="26"/>
  <c r="R42" i="26"/>
  <c r="R33" i="26"/>
  <c r="R21" i="26"/>
  <c r="R16" i="26"/>
  <c r="R22" i="26"/>
  <c r="R40" i="26"/>
  <c r="R46" i="26"/>
  <c r="Z50" i="26"/>
  <c r="R57" i="26"/>
  <c r="Z47" i="27"/>
  <c r="Z52" i="27"/>
  <c r="X52" i="27"/>
  <c r="X60" i="28"/>
  <c r="Z60" i="28" s="1"/>
  <c r="J106" i="28"/>
  <c r="F21" i="22"/>
  <c r="F33" i="22"/>
  <c r="F40" i="22"/>
  <c r="F45" i="22"/>
  <c r="F48" i="22"/>
  <c r="F53" i="22"/>
  <c r="F56" i="22"/>
  <c r="F60" i="22"/>
  <c r="F69" i="22"/>
  <c r="F72" i="22"/>
  <c r="L12" i="23"/>
  <c r="P16" i="23"/>
  <c r="F18" i="23"/>
  <c r="R18" i="23"/>
  <c r="F19" i="23"/>
  <c r="V19" i="23"/>
  <c r="R20" i="23"/>
  <c r="J23" i="23"/>
  <c r="F24" i="23"/>
  <c r="V27" i="23"/>
  <c r="R28" i="23"/>
  <c r="J29" i="23"/>
  <c r="V31" i="23"/>
  <c r="R32" i="23"/>
  <c r="J35" i="23"/>
  <c r="F36" i="23"/>
  <c r="V39" i="23"/>
  <c r="J43" i="23"/>
  <c r="V47" i="23"/>
  <c r="J52" i="23"/>
  <c r="V57" i="23"/>
  <c r="X58" i="23"/>
  <c r="Z58" i="23" s="1"/>
  <c r="R59" i="23"/>
  <c r="Z61" i="23"/>
  <c r="V62" i="23"/>
  <c r="J68" i="23"/>
  <c r="X12" i="24"/>
  <c r="V22" i="24"/>
  <c r="Z43" i="24"/>
  <c r="V44" i="24"/>
  <c r="Z47" i="24"/>
  <c r="L53" i="24"/>
  <c r="N53" i="24" s="1"/>
  <c r="V54" i="24"/>
  <c r="J59" i="25"/>
  <c r="J53" i="25"/>
  <c r="J39" i="25"/>
  <c r="J31" i="25"/>
  <c r="J27" i="25"/>
  <c r="H16" i="25"/>
  <c r="J72" i="25"/>
  <c r="J66" i="25"/>
  <c r="J62" i="25"/>
  <c r="J56" i="25"/>
  <c r="J48" i="25"/>
  <c r="J42" i="25"/>
  <c r="J38" i="25"/>
  <c r="J26" i="25"/>
  <c r="J18" i="25"/>
  <c r="J45" i="25"/>
  <c r="J37" i="25"/>
  <c r="J25" i="25"/>
  <c r="J19" i="25"/>
  <c r="J70" i="25"/>
  <c r="J64" i="25"/>
  <c r="J58" i="25"/>
  <c r="J52" i="25"/>
  <c r="J44" i="25"/>
  <c r="J36" i="25"/>
  <c r="J30" i="25"/>
  <c r="J24" i="25"/>
  <c r="J14" i="25"/>
  <c r="N12" i="25"/>
  <c r="J60" i="25"/>
  <c r="J46" i="25"/>
  <c r="J40" i="25"/>
  <c r="J32" i="25"/>
  <c r="J28" i="25"/>
  <c r="J20" i="25"/>
  <c r="J16" i="25"/>
  <c r="F18" i="25"/>
  <c r="F19" i="25"/>
  <c r="J23" i="25"/>
  <c r="Z30" i="25"/>
  <c r="J34" i="25"/>
  <c r="F47" i="25"/>
  <c r="Z56" i="25"/>
  <c r="F58" i="25"/>
  <c r="V66" i="26"/>
  <c r="V61" i="26"/>
  <c r="V59" i="26"/>
  <c r="V55" i="26"/>
  <c r="V51" i="26"/>
  <c r="V39" i="26"/>
  <c r="V31" i="26"/>
  <c r="V27" i="26"/>
  <c r="V19" i="26"/>
  <c r="V54" i="26"/>
  <c r="V50" i="26"/>
  <c r="V38" i="26"/>
  <c r="V30" i="26"/>
  <c r="V26" i="26"/>
  <c r="V14" i="26"/>
  <c r="V41" i="26"/>
  <c r="V37" i="26"/>
  <c r="V29" i="26"/>
  <c r="V25" i="26"/>
  <c r="V40" i="26"/>
  <c r="V36" i="26"/>
  <c r="V24" i="26"/>
  <c r="Z12" i="26"/>
  <c r="V52" i="26"/>
  <c r="V48" i="26"/>
  <c r="V44" i="26"/>
  <c r="V32" i="26"/>
  <c r="V28" i="26"/>
  <c r="V20" i="26"/>
  <c r="V22" i="26"/>
  <c r="Z40" i="26"/>
  <c r="N44" i="26"/>
  <c r="V46" i="26"/>
  <c r="V53" i="26"/>
  <c r="V63" i="26"/>
  <c r="L16" i="27"/>
  <c r="V52" i="27"/>
  <c r="F24" i="28"/>
  <c r="F52" i="28"/>
  <c r="F22" i="22"/>
  <c r="F29" i="22"/>
  <c r="F34" i="22"/>
  <c r="X40" i="22"/>
  <c r="Z40" i="22" s="1"/>
  <c r="L42" i="22"/>
  <c r="X48" i="22"/>
  <c r="Z48" i="22" s="1"/>
  <c r="L50" i="22"/>
  <c r="N50" i="22" s="1"/>
  <c r="X56" i="22"/>
  <c r="Z56" i="22" s="1"/>
  <c r="F66" i="22"/>
  <c r="F77" i="22"/>
  <c r="F84" i="22"/>
  <c r="N12" i="23"/>
  <c r="J14" i="23"/>
  <c r="Z14" i="23"/>
  <c r="R16" i="23"/>
  <c r="R21" i="23"/>
  <c r="J24" i="23"/>
  <c r="F25" i="23"/>
  <c r="R33" i="23"/>
  <c r="J36" i="23"/>
  <c r="F37" i="23"/>
  <c r="F41" i="23"/>
  <c r="R42" i="23"/>
  <c r="F44" i="23"/>
  <c r="V44" i="23"/>
  <c r="R45" i="23"/>
  <c r="J46" i="23"/>
  <c r="F49" i="23"/>
  <c r="R50" i="23"/>
  <c r="R51" i="23"/>
  <c r="F53" i="23"/>
  <c r="F54" i="23"/>
  <c r="V56" i="23"/>
  <c r="R58" i="23"/>
  <c r="V61" i="23"/>
  <c r="V64" i="23"/>
  <c r="Z12" i="24"/>
  <c r="V43" i="24"/>
  <c r="V52" i="24"/>
  <c r="N57" i="24"/>
  <c r="V59" i="24"/>
  <c r="L12" i="25"/>
  <c r="N18" i="25"/>
  <c r="F51" i="25"/>
  <c r="F52" i="25"/>
  <c r="N58" i="25"/>
  <c r="D59" i="26"/>
  <c r="L16" i="26"/>
  <c r="N18" i="26"/>
  <c r="N42" i="26"/>
  <c r="Z29" i="27"/>
  <c r="V34" i="27"/>
  <c r="V35" i="27"/>
  <c r="D61" i="27"/>
  <c r="F106" i="28"/>
  <c r="F78" i="28"/>
  <c r="F70" i="28"/>
  <c r="F67" i="28"/>
  <c r="F62" i="28"/>
  <c r="F59" i="28"/>
  <c r="F54" i="28"/>
  <c r="F47" i="28"/>
  <c r="F42" i="28"/>
  <c r="F35" i="28"/>
  <c r="F104" i="28"/>
  <c r="F99" i="28"/>
  <c r="F89" i="28"/>
  <c r="F86" i="28"/>
  <c r="F74" i="28"/>
  <c r="F50" i="28"/>
  <c r="F34" i="28"/>
  <c r="F30" i="28"/>
  <c r="F85" i="28"/>
  <c r="F80" i="28"/>
  <c r="F77" i="28"/>
  <c r="F73" i="28"/>
  <c r="F69" i="28"/>
  <c r="F64" i="28"/>
  <c r="F61" i="28"/>
  <c r="F56" i="28"/>
  <c r="F53" i="28"/>
  <c r="F49" i="28"/>
  <c r="F44" i="28"/>
  <c r="F41" i="28"/>
  <c r="F33" i="28"/>
  <c r="F29" i="28"/>
  <c r="F109" i="28"/>
  <c r="F102" i="28"/>
  <c r="F83" i="28"/>
  <c r="F79" i="28"/>
  <c r="F71" i="28"/>
  <c r="F66" i="28"/>
  <c r="F63" i="28"/>
  <c r="F58" i="28"/>
  <c r="F55" i="28"/>
  <c r="F46" i="28"/>
  <c r="F43" i="28"/>
  <c r="F39" i="28"/>
  <c r="F84" i="28"/>
  <c r="F60" i="28"/>
  <c r="F17" i="28"/>
  <c r="F92" i="28"/>
  <c r="F90" i="28"/>
  <c r="F75" i="28"/>
  <c r="F45" i="28"/>
  <c r="D17" i="28"/>
  <c r="F15" i="28"/>
  <c r="F93" i="28"/>
  <c r="F91" i="28"/>
  <c r="F65" i="28"/>
  <c r="F37" i="28"/>
  <c r="F36" i="28"/>
  <c r="F28" i="28"/>
  <c r="F27" i="28"/>
  <c r="F26" i="28"/>
  <c r="F96" i="28"/>
  <c r="F94" i="28"/>
  <c r="F88" i="28"/>
  <c r="F81" i="28"/>
  <c r="F48" i="28"/>
  <c r="F38" i="28"/>
  <c r="F25" i="28"/>
  <c r="F20" i="28"/>
  <c r="F19" i="28"/>
  <c r="F95" i="28"/>
  <c r="F82" i="28"/>
  <c r="F57" i="28"/>
  <c r="F51" i="28"/>
  <c r="F31" i="28"/>
  <c r="F22" i="28"/>
  <c r="F100" i="28"/>
  <c r="F76" i="28"/>
  <c r="F40" i="28"/>
  <c r="F21" i="28"/>
  <c r="P102" i="28"/>
  <c r="L51" i="28"/>
  <c r="N51" i="28"/>
  <c r="J55" i="28"/>
  <c r="X60" i="31"/>
  <c r="Z60" i="31" s="1"/>
  <c r="V60" i="31"/>
  <c r="F35" i="22"/>
  <c r="F43" i="22"/>
  <c r="F46" i="22"/>
  <c r="F51" i="22"/>
  <c r="F54" i="22"/>
  <c r="F67" i="22"/>
  <c r="F70" i="22"/>
  <c r="R72" i="23"/>
  <c r="R77" i="23"/>
  <c r="R70" i="23"/>
  <c r="R65" i="23"/>
  <c r="R60" i="23"/>
  <c r="R64" i="23"/>
  <c r="R61" i="23"/>
  <c r="D16" i="23"/>
  <c r="J19" i="23"/>
  <c r="R22" i="23"/>
  <c r="J25" i="23"/>
  <c r="F26" i="23"/>
  <c r="F30" i="23"/>
  <c r="R34" i="23"/>
  <c r="J37" i="23"/>
  <c r="F38" i="23"/>
  <c r="J41" i="23"/>
  <c r="J49" i="23"/>
  <c r="J53" i="23"/>
  <c r="J54" i="23"/>
  <c r="F55" i="23"/>
  <c r="F56" i="23"/>
  <c r="R66" i="23"/>
  <c r="F74" i="23"/>
  <c r="N41" i="24"/>
  <c r="V51" i="24"/>
  <c r="V58" i="24"/>
  <c r="F22" i="25"/>
  <c r="R43" i="26"/>
  <c r="H57" i="27"/>
  <c r="L57" i="27" s="1"/>
  <c r="N16" i="27"/>
  <c r="N42" i="27"/>
  <c r="L42" i="27"/>
  <c r="J104" i="28"/>
  <c r="J99" i="28"/>
  <c r="J86" i="28"/>
  <c r="J80" i="28"/>
  <c r="J74" i="28"/>
  <c r="J64" i="28"/>
  <c r="J56" i="28"/>
  <c r="J50" i="28"/>
  <c r="J44" i="28"/>
  <c r="J34" i="28"/>
  <c r="J30" i="28"/>
  <c r="J95" i="28"/>
  <c r="J91" i="28"/>
  <c r="J85" i="28"/>
  <c r="J77" i="28"/>
  <c r="J73" i="28"/>
  <c r="J69" i="28"/>
  <c r="J61" i="28"/>
  <c r="J53" i="28"/>
  <c r="J49" i="28"/>
  <c r="J41" i="28"/>
  <c r="J33" i="28"/>
  <c r="J29" i="28"/>
  <c r="J109" i="28"/>
  <c r="J102" i="28"/>
  <c r="J88" i="28"/>
  <c r="J84" i="28"/>
  <c r="J76" i="28"/>
  <c r="J72" i="28"/>
  <c r="J66" i="28"/>
  <c r="J58" i="28"/>
  <c r="J52" i="28"/>
  <c r="J46" i="28"/>
  <c r="J40" i="28"/>
  <c r="J32" i="28"/>
  <c r="J28" i="28"/>
  <c r="J98" i="28"/>
  <c r="J94" i="28"/>
  <c r="J90" i="28"/>
  <c r="J82" i="28"/>
  <c r="J68" i="28"/>
  <c r="J60" i="28"/>
  <c r="J48" i="28"/>
  <c r="J38" i="28"/>
  <c r="J92" i="28"/>
  <c r="J78" i="28"/>
  <c r="J63" i="28"/>
  <c r="J59" i="28"/>
  <c r="J45" i="28"/>
  <c r="J19" i="28"/>
  <c r="J15" i="28"/>
  <c r="J93" i="28"/>
  <c r="J79" i="28"/>
  <c r="J65" i="28"/>
  <c r="J37" i="28"/>
  <c r="J36" i="28"/>
  <c r="J35" i="28"/>
  <c r="J27" i="28"/>
  <c r="J26" i="28"/>
  <c r="J20" i="28"/>
  <c r="J96" i="28"/>
  <c r="J89" i="28"/>
  <c r="J81" i="28"/>
  <c r="J25" i="28"/>
  <c r="J87" i="28"/>
  <c r="J70" i="28"/>
  <c r="J54" i="28"/>
  <c r="J47" i="28"/>
  <c r="J24" i="28"/>
  <c r="J14" i="28"/>
  <c r="N12" i="28"/>
  <c r="J71" i="28"/>
  <c r="J100" i="28"/>
  <c r="J42" i="28"/>
  <c r="J39" i="28"/>
  <c r="J21" i="28"/>
  <c r="J83" i="28"/>
  <c r="J75" i="28"/>
  <c r="J62" i="28"/>
  <c r="J43" i="28"/>
  <c r="H17" i="28"/>
  <c r="F23" i="28"/>
  <c r="J51" i="28"/>
  <c r="Z80" i="28"/>
  <c r="F87" i="28"/>
  <c r="L12" i="22"/>
  <c r="F18" i="22"/>
  <c r="F19" i="22"/>
  <c r="F24" i="22"/>
  <c r="F36" i="22"/>
  <c r="V77" i="23"/>
  <c r="V72" i="23"/>
  <c r="V70" i="23"/>
  <c r="V66" i="23"/>
  <c r="V59" i="23"/>
  <c r="V63" i="23"/>
  <c r="V55" i="23"/>
  <c r="V51" i="23"/>
  <c r="F16" i="23"/>
  <c r="V16" i="23"/>
  <c r="J18" i="23"/>
  <c r="V18" i="23"/>
  <c r="V22" i="23"/>
  <c r="R23" i="23"/>
  <c r="J26" i="23"/>
  <c r="F27" i="23"/>
  <c r="J30" i="23"/>
  <c r="F31" i="23"/>
  <c r="V34" i="23"/>
  <c r="R35" i="23"/>
  <c r="J38" i="23"/>
  <c r="F39" i="23"/>
  <c r="R40" i="23"/>
  <c r="F42" i="23"/>
  <c r="V42" i="23"/>
  <c r="R43" i="23"/>
  <c r="J44" i="23"/>
  <c r="F47" i="23"/>
  <c r="R48" i="23"/>
  <c r="F50" i="23"/>
  <c r="V50" i="23"/>
  <c r="R52" i="23"/>
  <c r="V58" i="23"/>
  <c r="F61" i="23"/>
  <c r="X68" i="23"/>
  <c r="F72" i="23"/>
  <c r="R74" i="23"/>
  <c r="V36" i="24"/>
  <c r="X41" i="24"/>
  <c r="Z41" i="24" s="1"/>
  <c r="X49" i="24"/>
  <c r="X51" i="24"/>
  <c r="Z51" i="24" s="1"/>
  <c r="L57" i="24"/>
  <c r="Z72" i="24"/>
  <c r="J22" i="25"/>
  <c r="F50" i="25"/>
  <c r="Z58" i="25"/>
  <c r="N16" i="26"/>
  <c r="H59" i="26"/>
  <c r="Z42" i="26"/>
  <c r="V43" i="26"/>
  <c r="V18" i="27"/>
  <c r="X49" i="27"/>
  <c r="Z49" i="27" s="1"/>
  <c r="L55" i="27"/>
  <c r="L12" i="28"/>
  <c r="J23" i="28"/>
  <c r="F32" i="28"/>
  <c r="J57" i="28"/>
  <c r="X64" i="28"/>
  <c r="Z64" i="28" s="1"/>
  <c r="F72" i="28"/>
  <c r="N24" i="30"/>
  <c r="J19" i="24"/>
  <c r="R22" i="24"/>
  <c r="J25" i="24"/>
  <c r="F26" i="24"/>
  <c r="R34" i="24"/>
  <c r="J37" i="24"/>
  <c r="F38" i="24"/>
  <c r="F42" i="24"/>
  <c r="R43" i="24"/>
  <c r="F45" i="24"/>
  <c r="R46" i="24"/>
  <c r="J47" i="24"/>
  <c r="F50" i="24"/>
  <c r="R51" i="24"/>
  <c r="F53" i="24"/>
  <c r="R54" i="24"/>
  <c r="F57" i="24"/>
  <c r="R58" i="24"/>
  <c r="R62" i="24"/>
  <c r="J63" i="24"/>
  <c r="R66" i="24"/>
  <c r="J73" i="24"/>
  <c r="F75" i="24"/>
  <c r="J79" i="24"/>
  <c r="F81" i="24"/>
  <c r="Z12" i="25"/>
  <c r="R14" i="25"/>
  <c r="V24" i="25"/>
  <c r="R25" i="25"/>
  <c r="R30" i="25"/>
  <c r="V36" i="25"/>
  <c r="R37" i="25"/>
  <c r="V44" i="25"/>
  <c r="R45" i="25"/>
  <c r="V52" i="25"/>
  <c r="R58" i="25"/>
  <c r="V64" i="25"/>
  <c r="V68" i="25"/>
  <c r="V70" i="25"/>
  <c r="V75" i="25"/>
  <c r="N12" i="26"/>
  <c r="J14" i="26"/>
  <c r="J24" i="26"/>
  <c r="F25" i="26"/>
  <c r="J36" i="26"/>
  <c r="F37" i="26"/>
  <c r="F41" i="26"/>
  <c r="F44" i="26"/>
  <c r="F48" i="26"/>
  <c r="J50" i="26"/>
  <c r="J54" i="26"/>
  <c r="J19" i="27"/>
  <c r="R22" i="27"/>
  <c r="J25" i="27"/>
  <c r="F26" i="27"/>
  <c r="F30" i="27"/>
  <c r="R34" i="27"/>
  <c r="J37" i="27"/>
  <c r="F38" i="27"/>
  <c r="J41" i="27"/>
  <c r="R46" i="27"/>
  <c r="J47" i="27"/>
  <c r="F50" i="27"/>
  <c r="J53" i="27"/>
  <c r="F55" i="27"/>
  <c r="J59" i="27"/>
  <c r="F61" i="27"/>
  <c r="Z12" i="28"/>
  <c r="V24" i="28"/>
  <c r="R25" i="28"/>
  <c r="V28" i="28"/>
  <c r="L31" i="28"/>
  <c r="N31" i="28" s="1"/>
  <c r="R46" i="28"/>
  <c r="Z48" i="28"/>
  <c r="L58" i="28"/>
  <c r="N60" i="28"/>
  <c r="V68" i="28"/>
  <c r="R77" i="28"/>
  <c r="L78" i="28"/>
  <c r="V85" i="28"/>
  <c r="V87" i="28"/>
  <c r="V88" i="28"/>
  <c r="R95" i="28"/>
  <c r="J82" i="29"/>
  <c r="J68" i="29"/>
  <c r="J54" i="29"/>
  <c r="J48" i="29"/>
  <c r="J36" i="29"/>
  <c r="J24" i="29"/>
  <c r="J18" i="29"/>
  <c r="J77" i="29"/>
  <c r="J71" i="29"/>
  <c r="J65" i="29"/>
  <c r="J59" i="29"/>
  <c r="J47" i="29"/>
  <c r="J35" i="29"/>
  <c r="J23" i="29"/>
  <c r="J74" i="29"/>
  <c r="J70" i="29"/>
  <c r="J62" i="29"/>
  <c r="J56" i="29"/>
  <c r="J46" i="29"/>
  <c r="J42" i="29"/>
  <c r="J34" i="29"/>
  <c r="J30" i="29"/>
  <c r="J22" i="29"/>
  <c r="J85" i="29"/>
  <c r="J80" i="29"/>
  <c r="J76" i="29"/>
  <c r="J64" i="29"/>
  <c r="J58" i="29"/>
  <c r="J52" i="29"/>
  <c r="J44" i="29"/>
  <c r="J40" i="29"/>
  <c r="J32" i="29"/>
  <c r="J28" i="29"/>
  <c r="J20" i="29"/>
  <c r="Z18" i="29"/>
  <c r="F22" i="29"/>
  <c r="Z32" i="29"/>
  <c r="N33" i="29"/>
  <c r="F40" i="29"/>
  <c r="F50" i="29"/>
  <c r="N58" i="29"/>
  <c r="J60" i="29"/>
  <c r="J63" i="29"/>
  <c r="F64" i="29"/>
  <c r="J66" i="29"/>
  <c r="F67" i="29"/>
  <c r="F74" i="29"/>
  <c r="F80" i="29"/>
  <c r="Z12" i="30"/>
  <c r="T22" i="30"/>
  <c r="V24" i="30"/>
  <c r="V45" i="30"/>
  <c r="N34" i="31"/>
  <c r="L34" i="31"/>
  <c r="V25" i="28"/>
  <c r="R26" i="28"/>
  <c r="V27" i="28"/>
  <c r="V35" i="28"/>
  <c r="R36" i="28"/>
  <c r="Z46" i="28"/>
  <c r="V48" i="28"/>
  <c r="N58" i="28"/>
  <c r="R61" i="28"/>
  <c r="R74" i="28"/>
  <c r="V77" i="28"/>
  <c r="V79" i="28"/>
  <c r="X80" i="28"/>
  <c r="R84" i="28"/>
  <c r="L87" i="28"/>
  <c r="N87" i="28" s="1"/>
  <c r="R89" i="28"/>
  <c r="R92" i="28"/>
  <c r="D98" i="28"/>
  <c r="L98" i="28" s="1"/>
  <c r="N98" i="28" s="1"/>
  <c r="R102" i="28"/>
  <c r="L12" i="29"/>
  <c r="N12" i="29" s="1"/>
  <c r="J21" i="29"/>
  <c r="F38" i="29"/>
  <c r="F39" i="29"/>
  <c r="J49" i="29"/>
  <c r="J50" i="29"/>
  <c r="F55" i="29"/>
  <c r="N56" i="29"/>
  <c r="L60" i="29"/>
  <c r="N67" i="29"/>
  <c r="J69" i="29"/>
  <c r="F70" i="29"/>
  <c r="J73" i="29"/>
  <c r="F77" i="29"/>
  <c r="F78" i="29"/>
  <c r="F79" i="29"/>
  <c r="Z82" i="29"/>
  <c r="R57" i="30"/>
  <c r="R50" i="30"/>
  <c r="R43" i="30"/>
  <c r="R38" i="30"/>
  <c r="R35" i="30"/>
  <c r="R30" i="30"/>
  <c r="R26" i="30"/>
  <c r="R24" i="30"/>
  <c r="P22" i="30"/>
  <c r="R53" i="30"/>
  <c r="R46" i="30"/>
  <c r="R29" i="30"/>
  <c r="R49" i="30"/>
  <c r="R40" i="30"/>
  <c r="R28" i="30"/>
  <c r="R20" i="30"/>
  <c r="R51" i="30"/>
  <c r="R36" i="30"/>
  <c r="R19" i="30"/>
  <c r="R47" i="30"/>
  <c r="R48" i="30"/>
  <c r="R27" i="30"/>
  <c r="R18" i="30"/>
  <c r="R25" i="30"/>
  <c r="L24" i="30"/>
  <c r="V31" i="30"/>
  <c r="R34" i="30"/>
  <c r="R44" i="30"/>
  <c r="N49" i="30"/>
  <c r="L49" i="30"/>
  <c r="V63" i="30"/>
  <c r="F81" i="31"/>
  <c r="F74" i="31"/>
  <c r="F70" i="31"/>
  <c r="F95" i="31"/>
  <c r="F90" i="31"/>
  <c r="F84" i="31"/>
  <c r="F77" i="31"/>
  <c r="F73" i="31"/>
  <c r="F64" i="31"/>
  <c r="F61" i="31"/>
  <c r="F56" i="31"/>
  <c r="F49" i="31"/>
  <c r="F37" i="31"/>
  <c r="F25" i="31"/>
  <c r="F80" i="31"/>
  <c r="F76" i="31"/>
  <c r="F72" i="31"/>
  <c r="F67" i="31"/>
  <c r="F48" i="31"/>
  <c r="F44" i="31"/>
  <c r="F36" i="31"/>
  <c r="F24" i="31"/>
  <c r="F19" i="31"/>
  <c r="F83" i="31"/>
  <c r="F79" i="31"/>
  <c r="F63" i="31"/>
  <c r="F58" i="31"/>
  <c r="F55" i="31"/>
  <c r="F47" i="31"/>
  <c r="F43" i="31"/>
  <c r="F35" i="31"/>
  <c r="F23" i="31"/>
  <c r="F91" i="31"/>
  <c r="F88" i="31"/>
  <c r="F85" i="31"/>
  <c r="F52" i="31"/>
  <c r="F28" i="31"/>
  <c r="F26" i="31"/>
  <c r="F78" i="31"/>
  <c r="F65" i="31"/>
  <c r="F57" i="31"/>
  <c r="F39" i="31"/>
  <c r="F38" i="31"/>
  <c r="F29" i="31"/>
  <c r="L12" i="31"/>
  <c r="F66" i="31"/>
  <c r="F60" i="31"/>
  <c r="F59" i="31"/>
  <c r="F54" i="31"/>
  <c r="F53" i="31"/>
  <c r="F40" i="31"/>
  <c r="F33" i="31"/>
  <c r="D31" i="31"/>
  <c r="F31" i="31" s="1"/>
  <c r="F69" i="31"/>
  <c r="F68" i="31"/>
  <c r="F62" i="31"/>
  <c r="F46" i="31"/>
  <c r="F42" i="31"/>
  <c r="F41" i="31"/>
  <c r="F20" i="31"/>
  <c r="F27" i="31"/>
  <c r="J33" i="31"/>
  <c r="J34" i="31"/>
  <c r="F51" i="31"/>
  <c r="F71" i="31"/>
  <c r="N56" i="34"/>
  <c r="L56" i="34"/>
  <c r="D30" i="29"/>
  <c r="N32" i="29"/>
  <c r="Z58" i="29"/>
  <c r="N49" i="34"/>
  <c r="L49" i="34"/>
  <c r="X13" i="38"/>
  <c r="Z13" i="38" s="1"/>
  <c r="P12" i="38"/>
  <c r="R19" i="24"/>
  <c r="J21" i="24"/>
  <c r="F22" i="24"/>
  <c r="R26" i="24"/>
  <c r="J29" i="24"/>
  <c r="J33" i="24"/>
  <c r="F34" i="24"/>
  <c r="R38" i="24"/>
  <c r="F41" i="24"/>
  <c r="R42" i="24"/>
  <c r="J43" i="24"/>
  <c r="F46" i="24"/>
  <c r="R47" i="24"/>
  <c r="F49" i="24"/>
  <c r="R50" i="24"/>
  <c r="J51" i="24"/>
  <c r="F54" i="24"/>
  <c r="F58" i="24"/>
  <c r="J61" i="24"/>
  <c r="F62" i="24"/>
  <c r="R63" i="24"/>
  <c r="J65" i="24"/>
  <c r="F66" i="24"/>
  <c r="J69" i="24"/>
  <c r="F77" i="24"/>
  <c r="F84" i="24"/>
  <c r="R16" i="25"/>
  <c r="V20" i="25"/>
  <c r="R21" i="25"/>
  <c r="V28" i="25"/>
  <c r="R29" i="25"/>
  <c r="V32" i="25"/>
  <c r="R33" i="25"/>
  <c r="V40" i="25"/>
  <c r="R46" i="25"/>
  <c r="V48" i="25"/>
  <c r="R49" i="25"/>
  <c r="V56" i="25"/>
  <c r="R57" i="25"/>
  <c r="V60" i="25"/>
  <c r="V66" i="25"/>
  <c r="V72" i="25"/>
  <c r="J16" i="26"/>
  <c r="J20" i="26"/>
  <c r="F21" i="26"/>
  <c r="J28" i="26"/>
  <c r="J32" i="26"/>
  <c r="F33" i="26"/>
  <c r="F40" i="26"/>
  <c r="J42" i="26"/>
  <c r="F45" i="26"/>
  <c r="F49" i="26"/>
  <c r="J52" i="26"/>
  <c r="F53" i="26"/>
  <c r="R19" i="27"/>
  <c r="J21" i="27"/>
  <c r="F22" i="27"/>
  <c r="R26" i="27"/>
  <c r="F29" i="27"/>
  <c r="R30" i="27"/>
  <c r="J33" i="27"/>
  <c r="F34" i="27"/>
  <c r="R38" i="27"/>
  <c r="J45" i="27"/>
  <c r="F46" i="27"/>
  <c r="R47" i="27"/>
  <c r="F49" i="27"/>
  <c r="R50" i="27"/>
  <c r="F57" i="27"/>
  <c r="F64" i="27"/>
  <c r="V20" i="28"/>
  <c r="V33" i="28"/>
  <c r="V39" i="28"/>
  <c r="V40" i="28"/>
  <c r="Z44" i="28"/>
  <c r="Z58" i="28"/>
  <c r="V60" i="28"/>
  <c r="N68" i="28"/>
  <c r="V75" i="28"/>
  <c r="V91" i="28"/>
  <c r="P98" i="28"/>
  <c r="X98" i="28" s="1"/>
  <c r="X99" i="28"/>
  <c r="Z99" i="28" s="1"/>
  <c r="H87" i="29"/>
  <c r="F46" i="29"/>
  <c r="Z56" i="29"/>
  <c r="V58" i="29"/>
  <c r="J83" i="29"/>
  <c r="X85" i="29"/>
  <c r="F89" i="29"/>
  <c r="R33" i="30"/>
  <c r="Z33" i="31"/>
  <c r="V33" i="31"/>
  <c r="L45" i="31"/>
  <c r="N45" i="31" s="1"/>
  <c r="J45" i="31"/>
  <c r="X13" i="33"/>
  <c r="Z13" i="33" s="1"/>
  <c r="P12" i="33"/>
  <c r="Z19" i="33"/>
  <c r="T40" i="33"/>
  <c r="V19" i="33"/>
  <c r="N42" i="33"/>
  <c r="J42" i="33"/>
  <c r="X68" i="33"/>
  <c r="X47" i="34"/>
  <c r="Z47" i="34" s="1"/>
  <c r="Z61" i="37"/>
  <c r="X61" i="37"/>
  <c r="J22" i="24"/>
  <c r="R27" i="24"/>
  <c r="R31" i="24"/>
  <c r="J34" i="24"/>
  <c r="F35" i="24"/>
  <c r="R39" i="24"/>
  <c r="J46" i="24"/>
  <c r="J54" i="24"/>
  <c r="F55" i="24"/>
  <c r="J58" i="24"/>
  <c r="F59" i="24"/>
  <c r="R60" i="24"/>
  <c r="J62" i="24"/>
  <c r="J66" i="24"/>
  <c r="F67" i="24"/>
  <c r="R68" i="24"/>
  <c r="F70" i="24"/>
  <c r="R71" i="24"/>
  <c r="J72" i="24"/>
  <c r="T16" i="25"/>
  <c r="X16" i="25" s="1"/>
  <c r="V21" i="25"/>
  <c r="R22" i="25"/>
  <c r="V29" i="25"/>
  <c r="V33" i="25"/>
  <c r="R34" i="25"/>
  <c r="R43" i="25"/>
  <c r="V49" i="25"/>
  <c r="R50" i="25"/>
  <c r="V53" i="25"/>
  <c r="R54" i="25"/>
  <c r="V57" i="25"/>
  <c r="R63" i="25"/>
  <c r="J21" i="26"/>
  <c r="F22" i="26"/>
  <c r="F29" i="26"/>
  <c r="J33" i="26"/>
  <c r="F34" i="26"/>
  <c r="J45" i="26"/>
  <c r="F46" i="26"/>
  <c r="J49" i="26"/>
  <c r="J53" i="26"/>
  <c r="J57" i="26"/>
  <c r="J63" i="26"/>
  <c r="J22" i="27"/>
  <c r="R27" i="27"/>
  <c r="R31" i="27"/>
  <c r="J34" i="27"/>
  <c r="F35" i="27"/>
  <c r="R39" i="27"/>
  <c r="J40" i="27"/>
  <c r="R44" i="27"/>
  <c r="J46" i="27"/>
  <c r="R98" i="28"/>
  <c r="R83" i="28"/>
  <c r="R79" i="28"/>
  <c r="R71" i="28"/>
  <c r="R68" i="28"/>
  <c r="R63" i="28"/>
  <c r="R60" i="28"/>
  <c r="R55" i="28"/>
  <c r="R48" i="28"/>
  <c r="R43" i="28"/>
  <c r="R39" i="28"/>
  <c r="R27" i="28"/>
  <c r="R100" i="28"/>
  <c r="R94" i="28"/>
  <c r="R90" i="28"/>
  <c r="R87" i="28"/>
  <c r="R82" i="28"/>
  <c r="R75" i="28"/>
  <c r="R51" i="28"/>
  <c r="R38" i="28"/>
  <c r="R31" i="28"/>
  <c r="R106" i="28"/>
  <c r="R93" i="28"/>
  <c r="R81" i="28"/>
  <c r="R78" i="28"/>
  <c r="R70" i="28"/>
  <c r="R65" i="28"/>
  <c r="R62" i="28"/>
  <c r="R57" i="28"/>
  <c r="R54" i="28"/>
  <c r="R45" i="28"/>
  <c r="R42" i="28"/>
  <c r="R37" i="28"/>
  <c r="R99" i="28"/>
  <c r="R80" i="28"/>
  <c r="R67" i="28"/>
  <c r="R64" i="28"/>
  <c r="R59" i="28"/>
  <c r="R56" i="28"/>
  <c r="R47" i="28"/>
  <c r="R44" i="28"/>
  <c r="R35" i="28"/>
  <c r="R17" i="28"/>
  <c r="V21" i="28"/>
  <c r="R22" i="28"/>
  <c r="R29" i="28"/>
  <c r="R32" i="28"/>
  <c r="L46" i="28"/>
  <c r="N46" i="28" s="1"/>
  <c r="N48" i="28"/>
  <c r="R50" i="28"/>
  <c r="R53" i="28"/>
  <c r="R69" i="28"/>
  <c r="L70" i="28"/>
  <c r="N70" i="28" s="1"/>
  <c r="V72" i="28"/>
  <c r="L75" i="28"/>
  <c r="N75" i="28" s="1"/>
  <c r="Z98" i="28"/>
  <c r="F26" i="29"/>
  <c r="F27" i="29"/>
  <c r="F28" i="29"/>
  <c r="L32" i="29"/>
  <c r="F33" i="29"/>
  <c r="F42" i="29"/>
  <c r="J45" i="29"/>
  <c r="F52" i="29"/>
  <c r="X58" i="29"/>
  <c r="J81" i="29"/>
  <c r="J89" i="29"/>
  <c r="J75" i="31"/>
  <c r="X74" i="34"/>
  <c r="Z74" i="34" s="1"/>
  <c r="L12" i="24"/>
  <c r="J23" i="24"/>
  <c r="J35" i="24"/>
  <c r="R40" i="24"/>
  <c r="J41" i="24"/>
  <c r="R45" i="24"/>
  <c r="R48" i="24"/>
  <c r="J49" i="24"/>
  <c r="R53" i="24"/>
  <c r="J55" i="24"/>
  <c r="F56" i="24"/>
  <c r="R57" i="24"/>
  <c r="J59" i="24"/>
  <c r="F63" i="24"/>
  <c r="R64" i="24"/>
  <c r="J67" i="24"/>
  <c r="R75" i="24"/>
  <c r="J77" i="24"/>
  <c r="R81" i="24"/>
  <c r="J84" i="24"/>
  <c r="V16" i="25"/>
  <c r="V18" i="25"/>
  <c r="V22" i="25"/>
  <c r="V34" i="25"/>
  <c r="V46" i="25"/>
  <c r="V50" i="25"/>
  <c r="V54" i="25"/>
  <c r="R68" i="25"/>
  <c r="R75" i="25"/>
  <c r="J22" i="26"/>
  <c r="J34" i="26"/>
  <c r="J40" i="26"/>
  <c r="J46" i="26"/>
  <c r="V106" i="28"/>
  <c r="V100" i="28"/>
  <c r="V94" i="28"/>
  <c r="V90" i="28"/>
  <c r="V82" i="28"/>
  <c r="V78" i="28"/>
  <c r="V70" i="28"/>
  <c r="V62" i="28"/>
  <c r="V54" i="28"/>
  <c r="V42" i="28"/>
  <c r="V38" i="28"/>
  <c r="V26" i="28"/>
  <c r="V93" i="28"/>
  <c r="V89" i="28"/>
  <c r="V81" i="28"/>
  <c r="V65" i="28"/>
  <c r="V57" i="28"/>
  <c r="V45" i="28"/>
  <c r="V37" i="28"/>
  <c r="V96" i="28"/>
  <c r="V92" i="28"/>
  <c r="V80" i="28"/>
  <c r="V64" i="28"/>
  <c r="V56" i="28"/>
  <c r="V44" i="28"/>
  <c r="V36" i="28"/>
  <c r="V109" i="28"/>
  <c r="V104" i="28"/>
  <c r="V102" i="28"/>
  <c r="V86" i="28"/>
  <c r="V74" i="28"/>
  <c r="V66" i="28"/>
  <c r="V58" i="28"/>
  <c r="V50" i="28"/>
  <c r="V46" i="28"/>
  <c r="V34" i="28"/>
  <c r="V30" i="28"/>
  <c r="T17" i="28"/>
  <c r="X17" i="28" s="1"/>
  <c r="V22" i="28"/>
  <c r="V29" i="28"/>
  <c r="V32" i="28"/>
  <c r="V53" i="28"/>
  <c r="V55" i="28"/>
  <c r="V67" i="28"/>
  <c r="V69" i="28"/>
  <c r="V71" i="28"/>
  <c r="V98" i="28"/>
  <c r="V53" i="30"/>
  <c r="V49" i="30"/>
  <c r="V37" i="30"/>
  <c r="V29" i="30"/>
  <c r="V25" i="30"/>
  <c r="V52" i="30"/>
  <c r="V40" i="30"/>
  <c r="V32" i="30"/>
  <c r="V28" i="30"/>
  <c r="V66" i="30"/>
  <c r="V61" i="30"/>
  <c r="V59" i="30"/>
  <c r="V55" i="30"/>
  <c r="V39" i="30"/>
  <c r="V51" i="30"/>
  <c r="V50" i="30"/>
  <c r="V36" i="30"/>
  <c r="V35" i="30"/>
  <c r="V19" i="30"/>
  <c r="V47" i="30"/>
  <c r="V46" i="30"/>
  <c r="V30" i="30"/>
  <c r="V18" i="30"/>
  <c r="V48" i="30"/>
  <c r="V27" i="30"/>
  <c r="V43" i="30"/>
  <c r="V26" i="30"/>
  <c r="V57" i="30"/>
  <c r="V54" i="30"/>
  <c r="V44" i="30"/>
  <c r="V34" i="30"/>
  <c r="V33" i="30"/>
  <c r="V22" i="30"/>
  <c r="Z41" i="30"/>
  <c r="X41" i="30"/>
  <c r="T93" i="31"/>
  <c r="V31" i="31"/>
  <c r="X14" i="34"/>
  <c r="Z14" i="34" s="1"/>
  <c r="P12" i="34"/>
  <c r="N12" i="24"/>
  <c r="J14" i="24"/>
  <c r="R21" i="24"/>
  <c r="J24" i="24"/>
  <c r="R29" i="24"/>
  <c r="J30" i="24"/>
  <c r="R33" i="24"/>
  <c r="J36" i="24"/>
  <c r="F37" i="24"/>
  <c r="J44" i="24"/>
  <c r="J52" i="24"/>
  <c r="J56" i="24"/>
  <c r="F60" i="24"/>
  <c r="R61" i="24"/>
  <c r="R65" i="24"/>
  <c r="F68" i="24"/>
  <c r="F73" i="24"/>
  <c r="X12" i="25"/>
  <c r="V23" i="25"/>
  <c r="R24" i="25"/>
  <c r="V35" i="25"/>
  <c r="R36" i="25"/>
  <c r="R41" i="25"/>
  <c r="V43" i="25"/>
  <c r="R44" i="25"/>
  <c r="V47" i="25"/>
  <c r="V51" i="25"/>
  <c r="R52" i="25"/>
  <c r="V55" i="25"/>
  <c r="R61" i="25"/>
  <c r="R64" i="25"/>
  <c r="L12" i="26"/>
  <c r="J23" i="26"/>
  <c r="J29" i="26"/>
  <c r="J35" i="26"/>
  <c r="J43" i="26"/>
  <c r="F59" i="26"/>
  <c r="X12" i="28"/>
  <c r="V17" i="28"/>
  <c r="V19" i="28"/>
  <c r="V23" i="28"/>
  <c r="V31" i="28"/>
  <c r="V47" i="28"/>
  <c r="V49" i="28"/>
  <c r="V51" i="28"/>
  <c r="V52" i="28"/>
  <c r="Z56" i="28"/>
  <c r="N62" i="28"/>
  <c r="Z68" i="28"/>
  <c r="F72" i="29"/>
  <c r="F60" i="29"/>
  <c r="F57" i="29"/>
  <c r="F49" i="29"/>
  <c r="F37" i="29"/>
  <c r="F25" i="29"/>
  <c r="F94" i="29"/>
  <c r="F87" i="29"/>
  <c r="F75" i="29"/>
  <c r="F68" i="29"/>
  <c r="F63" i="29"/>
  <c r="F48" i="29"/>
  <c r="F43" i="29"/>
  <c r="F36" i="29"/>
  <c r="F24" i="29"/>
  <c r="F82" i="29"/>
  <c r="F71" i="29"/>
  <c r="F59" i="29"/>
  <c r="F54" i="29"/>
  <c r="F47" i="29"/>
  <c r="F35" i="29"/>
  <c r="F23" i="29"/>
  <c r="F18" i="29"/>
  <c r="F81" i="29"/>
  <c r="F73" i="29"/>
  <c r="F61" i="29"/>
  <c r="F56" i="29"/>
  <c r="F53" i="29"/>
  <c r="F45" i="29"/>
  <c r="F41" i="29"/>
  <c r="F30" i="29"/>
  <c r="F21" i="29"/>
  <c r="T87" i="29"/>
  <c r="V87" i="29" s="1"/>
  <c r="J33" i="29"/>
  <c r="F34" i="29"/>
  <c r="F44" i="29"/>
  <c r="Z54" i="29"/>
  <c r="F58" i="29"/>
  <c r="F65" i="29"/>
  <c r="F66" i="29"/>
  <c r="F69" i="29"/>
  <c r="V85" i="29"/>
  <c r="X12" i="30"/>
  <c r="N35" i="30"/>
  <c r="L35" i="30"/>
  <c r="V41" i="30"/>
  <c r="Z57" i="30"/>
  <c r="X57" i="30"/>
  <c r="Z19" i="34"/>
  <c r="X19" i="34"/>
  <c r="L25" i="34"/>
  <c r="N25" i="34" s="1"/>
  <c r="X14" i="37"/>
  <c r="Z14" i="37" s="1"/>
  <c r="P12" i="37"/>
  <c r="V30" i="29"/>
  <c r="V32" i="29"/>
  <c r="V36" i="29"/>
  <c r="V48" i="29"/>
  <c r="V56" i="29"/>
  <c r="V68" i="29"/>
  <c r="D12" i="30"/>
  <c r="J19" i="30"/>
  <c r="J28" i="30"/>
  <c r="J30" i="30"/>
  <c r="J70" i="31"/>
  <c r="N71" i="31"/>
  <c r="Z87" i="31"/>
  <c r="D40" i="33"/>
  <c r="F54" i="33"/>
  <c r="F59" i="33"/>
  <c r="F64" i="33"/>
  <c r="N88" i="33"/>
  <c r="L88" i="33"/>
  <c r="Z92" i="33"/>
  <c r="N100" i="33"/>
  <c r="H81" i="35"/>
  <c r="N65" i="37"/>
  <c r="J65" i="37"/>
  <c r="J66" i="30"/>
  <c r="J59" i="30"/>
  <c r="J45" i="30"/>
  <c r="J39" i="30"/>
  <c r="J31" i="30"/>
  <c r="J54" i="30"/>
  <c r="J48" i="30"/>
  <c r="J44" i="30"/>
  <c r="J36" i="30"/>
  <c r="J51" i="30"/>
  <c r="J47" i="30"/>
  <c r="J41" i="30"/>
  <c r="J20" i="30"/>
  <c r="J29" i="30"/>
  <c r="J50" i="30"/>
  <c r="L33" i="31"/>
  <c r="N33" i="31" s="1"/>
  <c r="N64" i="33"/>
  <c r="N76" i="33"/>
  <c r="X18" i="44"/>
  <c r="Z18" i="44" s="1"/>
  <c r="V18" i="29"/>
  <c r="V26" i="29"/>
  <c r="V38" i="29"/>
  <c r="V50" i="29"/>
  <c r="V54" i="29"/>
  <c r="V66" i="29"/>
  <c r="V78" i="29"/>
  <c r="V82" i="29"/>
  <c r="X15" i="30"/>
  <c r="H22" i="30"/>
  <c r="J32" i="30"/>
  <c r="J37" i="30"/>
  <c r="J42" i="30"/>
  <c r="X43" i="30"/>
  <c r="J52" i="30"/>
  <c r="J61" i="30"/>
  <c r="J95" i="31"/>
  <c r="J90" i="31"/>
  <c r="J77" i="31"/>
  <c r="J73" i="31"/>
  <c r="J67" i="31"/>
  <c r="J61" i="31"/>
  <c r="J80" i="31"/>
  <c r="J76" i="31"/>
  <c r="J72" i="31"/>
  <c r="J58" i="31"/>
  <c r="J48" i="31"/>
  <c r="J44" i="31"/>
  <c r="J36" i="31"/>
  <c r="J24" i="31"/>
  <c r="J87" i="31"/>
  <c r="J83" i="31"/>
  <c r="J79" i="31"/>
  <c r="J69" i="31"/>
  <c r="J63" i="31"/>
  <c r="J55" i="31"/>
  <c r="J47" i="31"/>
  <c r="J43" i="31"/>
  <c r="J35" i="31"/>
  <c r="J23" i="31"/>
  <c r="J89" i="31"/>
  <c r="J82" i="31"/>
  <c r="J66" i="31"/>
  <c r="J60" i="31"/>
  <c r="J54" i="31"/>
  <c r="J46" i="31"/>
  <c r="J42" i="31"/>
  <c r="H31" i="31"/>
  <c r="J22" i="31"/>
  <c r="N12" i="31"/>
  <c r="J41" i="31"/>
  <c r="N62" i="31"/>
  <c r="J68" i="31"/>
  <c r="V75" i="31"/>
  <c r="F38" i="33"/>
  <c r="H113" i="33"/>
  <c r="J113" i="33" s="1"/>
  <c r="F44" i="33"/>
  <c r="F52" i="33"/>
  <c r="F58" i="33"/>
  <c r="X104" i="33"/>
  <c r="Z104" i="33" s="1"/>
  <c r="N33" i="35"/>
  <c r="D90" i="40"/>
  <c r="F90" i="40" s="1"/>
  <c r="V39" i="29"/>
  <c r="V43" i="29"/>
  <c r="V51" i="29"/>
  <c r="V55" i="29"/>
  <c r="V63" i="29"/>
  <c r="V75" i="29"/>
  <c r="V79" i="29"/>
  <c r="V83" i="29"/>
  <c r="V89" i="29"/>
  <c r="N12" i="30"/>
  <c r="L18" i="30"/>
  <c r="J22" i="30"/>
  <c r="X28" i="30"/>
  <c r="L37" i="30"/>
  <c r="N37" i="30" s="1"/>
  <c r="J40" i="30"/>
  <c r="J53" i="30"/>
  <c r="J55" i="30"/>
  <c r="J63" i="30"/>
  <c r="J53" i="31"/>
  <c r="J56" i="31"/>
  <c r="J59" i="31"/>
  <c r="N60" i="31"/>
  <c r="J62" i="31"/>
  <c r="X69" i="31"/>
  <c r="Z69" i="31" s="1"/>
  <c r="X75" i="31"/>
  <c r="Z75" i="31" s="1"/>
  <c r="D87" i="31"/>
  <c r="L87" i="31" s="1"/>
  <c r="N87" i="31" s="1"/>
  <c r="F105" i="33"/>
  <c r="F100" i="33"/>
  <c r="F92" i="33"/>
  <c r="F88" i="33"/>
  <c r="F76" i="33"/>
  <c r="F73" i="33"/>
  <c r="F68" i="33"/>
  <c r="F65" i="33"/>
  <c r="F61" i="33"/>
  <c r="F111" i="33"/>
  <c r="F95" i="33"/>
  <c r="F84" i="33"/>
  <c r="F79" i="33"/>
  <c r="F108" i="33"/>
  <c r="F102" i="33"/>
  <c r="F99" i="33"/>
  <c r="F91" i="33"/>
  <c r="F87" i="33"/>
  <c r="F98" i="33"/>
  <c r="F94" i="33"/>
  <c r="F90" i="33"/>
  <c r="F86" i="33"/>
  <c r="F81" i="33"/>
  <c r="F78" i="33"/>
  <c r="F103" i="33"/>
  <c r="F74" i="33"/>
  <c r="F71" i="33"/>
  <c r="F66" i="33"/>
  <c r="F63" i="33"/>
  <c r="F55" i="33"/>
  <c r="F96" i="33"/>
  <c r="F49" i="33"/>
  <c r="F37" i="33"/>
  <c r="F29" i="33"/>
  <c r="F21" i="33"/>
  <c r="F104" i="33"/>
  <c r="F97" i="33"/>
  <c r="F48" i="33"/>
  <c r="F43" i="33"/>
  <c r="F42" i="33"/>
  <c r="F36" i="33"/>
  <c r="F28" i="33"/>
  <c r="F20" i="33"/>
  <c r="F82" i="33"/>
  <c r="F47" i="33"/>
  <c r="F35" i="33"/>
  <c r="F27" i="33"/>
  <c r="F72" i="33"/>
  <c r="F53" i="33"/>
  <c r="F46" i="33"/>
  <c r="F34" i="33"/>
  <c r="F26" i="33"/>
  <c r="F115" i="33"/>
  <c r="F109" i="33"/>
  <c r="F93" i="33"/>
  <c r="F85" i="33"/>
  <c r="F83" i="33"/>
  <c r="F77" i="33"/>
  <c r="F75" i="33"/>
  <c r="F70" i="33"/>
  <c r="F69" i="33"/>
  <c r="F45" i="33"/>
  <c r="F33" i="33"/>
  <c r="F25" i="33"/>
  <c r="F19" i="33"/>
  <c r="F31" i="33"/>
  <c r="F32" i="33"/>
  <c r="Z42" i="33"/>
  <c r="F51" i="33"/>
  <c r="F62" i="33"/>
  <c r="Z76" i="33"/>
  <c r="D107" i="33"/>
  <c r="L107" i="33" s="1"/>
  <c r="N107" i="33" s="1"/>
  <c r="L110" i="33"/>
  <c r="N110" i="33" s="1"/>
  <c r="H80" i="34"/>
  <c r="N51" i="34"/>
  <c r="P77" i="34"/>
  <c r="X77" i="34" s="1"/>
  <c r="Z77" i="34" s="1"/>
  <c r="X78" i="34"/>
  <c r="Z78" i="34" s="1"/>
  <c r="X18" i="40"/>
  <c r="Z18" i="40" s="1"/>
  <c r="V18" i="40"/>
  <c r="V40" i="29"/>
  <c r="V44" i="29"/>
  <c r="V52" i="29"/>
  <c r="V60" i="29"/>
  <c r="V64" i="29"/>
  <c r="V72" i="29"/>
  <c r="V76" i="29"/>
  <c r="J25" i="30"/>
  <c r="X31" i="30"/>
  <c r="J33" i="30"/>
  <c r="J34" i="30"/>
  <c r="J38" i="30"/>
  <c r="J57" i="30"/>
  <c r="J57" i="31"/>
  <c r="J64" i="31"/>
  <c r="J65" i="31"/>
  <c r="L75" i="31"/>
  <c r="N75" i="31" s="1"/>
  <c r="N78" i="31"/>
  <c r="J81" i="31"/>
  <c r="F30" i="33"/>
  <c r="F56" i="33"/>
  <c r="F57" i="33"/>
  <c r="F67" i="33"/>
  <c r="F110" i="33"/>
  <c r="Z70" i="37"/>
  <c r="V50" i="31"/>
  <c r="V58" i="31"/>
  <c r="V70" i="31"/>
  <c r="V74" i="31"/>
  <c r="V90" i="31"/>
  <c r="V100" i="33"/>
  <c r="V96" i="33"/>
  <c r="V92" i="33"/>
  <c r="V88" i="33"/>
  <c r="V80" i="33"/>
  <c r="V76" i="33"/>
  <c r="V68" i="33"/>
  <c r="V109" i="33"/>
  <c r="V103" i="33"/>
  <c r="V95" i="33"/>
  <c r="V79" i="33"/>
  <c r="V71" i="33"/>
  <c r="V102" i="33"/>
  <c r="V82" i="33"/>
  <c r="V111" i="33"/>
  <c r="V105" i="33"/>
  <c r="V81" i="33"/>
  <c r="V73" i="33"/>
  <c r="V65" i="33"/>
  <c r="V61" i="33"/>
  <c r="V110" i="33"/>
  <c r="V98" i="33"/>
  <c r="V94" i="33"/>
  <c r="V90" i="33"/>
  <c r="V86" i="33"/>
  <c r="V78" i="33"/>
  <c r="V74" i="33"/>
  <c r="V66" i="33"/>
  <c r="V58" i="33"/>
  <c r="V20" i="33"/>
  <c r="J24" i="33"/>
  <c r="V28" i="33"/>
  <c r="J32" i="33"/>
  <c r="V36" i="33"/>
  <c r="J40" i="33"/>
  <c r="J44" i="33"/>
  <c r="V48" i="33"/>
  <c r="J52" i="33"/>
  <c r="J57" i="33"/>
  <c r="J58" i="33"/>
  <c r="J59" i="33"/>
  <c r="J64" i="33"/>
  <c r="J66" i="33"/>
  <c r="J67" i="33"/>
  <c r="X81" i="33"/>
  <c r="Z81" i="33" s="1"/>
  <c r="V101" i="33"/>
  <c r="X111" i="33"/>
  <c r="P107" i="33"/>
  <c r="X107" i="33" s="1"/>
  <c r="Z107" i="33" s="1"/>
  <c r="V57" i="34"/>
  <c r="V68" i="34"/>
  <c r="V82" i="34"/>
  <c r="V78" i="35"/>
  <c r="V72" i="35"/>
  <c r="V68" i="35"/>
  <c r="V60" i="35"/>
  <c r="V48" i="35"/>
  <c r="V44" i="35"/>
  <c r="V83" i="35"/>
  <c r="V71" i="35"/>
  <c r="V63" i="35"/>
  <c r="V55" i="35"/>
  <c r="V47" i="35"/>
  <c r="V43" i="35"/>
  <c r="V74" i="35"/>
  <c r="V70" i="35"/>
  <c r="V62" i="35"/>
  <c r="V54" i="35"/>
  <c r="V46" i="35"/>
  <c r="V42" i="35"/>
  <c r="V77" i="35"/>
  <c r="V73" i="35"/>
  <c r="V65" i="35"/>
  <c r="V57" i="35"/>
  <c r="V53" i="35"/>
  <c r="V76" i="35"/>
  <c r="V66" i="35"/>
  <c r="V58" i="35"/>
  <c r="V50" i="35"/>
  <c r="V37" i="35"/>
  <c r="V33" i="35"/>
  <c r="V25" i="35"/>
  <c r="V52" i="35"/>
  <c r="V36" i="35"/>
  <c r="T31" i="35"/>
  <c r="V24" i="35"/>
  <c r="V45" i="35"/>
  <c r="V35" i="35"/>
  <c r="V23" i="35"/>
  <c r="V59" i="35"/>
  <c r="V49" i="35"/>
  <c r="V34" i="35"/>
  <c r="V22" i="35"/>
  <c r="V56" i="35"/>
  <c r="V41" i="35"/>
  <c r="V40" i="35"/>
  <c r="V39" i="35"/>
  <c r="V27" i="35"/>
  <c r="V19" i="35"/>
  <c r="V21" i="35"/>
  <c r="N66" i="35"/>
  <c r="L58" i="37"/>
  <c r="N58" i="37" s="1"/>
  <c r="T19" i="38"/>
  <c r="V16" i="38"/>
  <c r="P12" i="31"/>
  <c r="V19" i="31"/>
  <c r="V27" i="31"/>
  <c r="V39" i="31"/>
  <c r="V51" i="31"/>
  <c r="V59" i="31"/>
  <c r="V67" i="31"/>
  <c r="J19" i="33"/>
  <c r="V21" i="33"/>
  <c r="J25" i="33"/>
  <c r="V29" i="33"/>
  <c r="J33" i="33"/>
  <c r="V37" i="33"/>
  <c r="J45" i="33"/>
  <c r="V49" i="33"/>
  <c r="V53" i="33"/>
  <c r="V62" i="33"/>
  <c r="V63" i="33"/>
  <c r="J71" i="33"/>
  <c r="J73" i="33"/>
  <c r="J74" i="33"/>
  <c r="L76" i="33"/>
  <c r="N83" i="33"/>
  <c r="L83" i="33"/>
  <c r="V89" i="33"/>
  <c r="J105" i="33"/>
  <c r="J107" i="33"/>
  <c r="Z25" i="34"/>
  <c r="X26" i="34"/>
  <c r="Z26" i="34" s="1"/>
  <c r="V32" i="34"/>
  <c r="N36" i="34"/>
  <c r="L36" i="34"/>
  <c r="V50" i="34"/>
  <c r="N19" i="35"/>
  <c r="V26" i="35"/>
  <c r="Z33" i="35"/>
  <c r="X34" i="35"/>
  <c r="Z34" i="35" s="1"/>
  <c r="J66" i="35"/>
  <c r="Z49" i="37"/>
  <c r="L51" i="37"/>
  <c r="N51" i="37" s="1"/>
  <c r="P12" i="40"/>
  <c r="X13" i="40"/>
  <c r="Z13" i="40" s="1"/>
  <c r="H32" i="41"/>
  <c r="J32" i="41" s="1"/>
  <c r="J22" i="41"/>
  <c r="V20" i="31"/>
  <c r="V28" i="31"/>
  <c r="V40" i="31"/>
  <c r="V52" i="31"/>
  <c r="V56" i="31"/>
  <c r="V64" i="31"/>
  <c r="V68" i="31"/>
  <c r="V84" i="31"/>
  <c r="V22" i="33"/>
  <c r="J26" i="33"/>
  <c r="V30" i="33"/>
  <c r="J34" i="33"/>
  <c r="V38" i="33"/>
  <c r="J46" i="33"/>
  <c r="V50" i="33"/>
  <c r="V54" i="33"/>
  <c r="V55" i="33"/>
  <c r="X64" i="33"/>
  <c r="Z64" i="33" s="1"/>
  <c r="L70" i="33"/>
  <c r="N72" i="33"/>
  <c r="V77" i="33"/>
  <c r="J85" i="33"/>
  <c r="V87" i="33"/>
  <c r="V99" i="33"/>
  <c r="Z100" i="33"/>
  <c r="N47" i="34"/>
  <c r="V56" i="34"/>
  <c r="Z66" i="34"/>
  <c r="X66" i="34"/>
  <c r="J19" i="35"/>
  <c r="V20" i="35"/>
  <c r="N76" i="35"/>
  <c r="R24" i="36"/>
  <c r="R21" i="36"/>
  <c r="R18" i="36"/>
  <c r="R36" i="36"/>
  <c r="R33" i="36"/>
  <c r="R29" i="36"/>
  <c r="R25" i="36"/>
  <c r="P18" i="36"/>
  <c r="R15" i="36"/>
  <c r="R20" i="36"/>
  <c r="R16" i="36"/>
  <c r="R34" i="36"/>
  <c r="R22" i="36"/>
  <c r="X12" i="36"/>
  <c r="Z13" i="36"/>
  <c r="X13" i="36"/>
  <c r="F80" i="39"/>
  <c r="F76" i="39"/>
  <c r="F83" i="39"/>
  <c r="F75" i="39"/>
  <c r="F71" i="39"/>
  <c r="F67" i="39"/>
  <c r="F63" i="39"/>
  <c r="F58" i="39"/>
  <c r="F55" i="39"/>
  <c r="F87" i="39"/>
  <c r="F74" i="39"/>
  <c r="F70" i="39"/>
  <c r="F66" i="39"/>
  <c r="F49" i="39"/>
  <c r="F46" i="39"/>
  <c r="F91" i="39"/>
  <c r="F85" i="39"/>
  <c r="F73" i="39"/>
  <c r="F69" i="39"/>
  <c r="F78" i="39"/>
  <c r="F50" i="39"/>
  <c r="F45" i="39"/>
  <c r="F84" i="39"/>
  <c r="F81" i="39"/>
  <c r="F77" i="39"/>
  <c r="F72" i="39"/>
  <c r="F68" i="39"/>
  <c r="F64" i="39"/>
  <c r="F61" i="39"/>
  <c r="F56" i="39"/>
  <c r="F53" i="39"/>
  <c r="F36" i="39"/>
  <c r="F32" i="39"/>
  <c r="F65" i="39"/>
  <c r="F62" i="39"/>
  <c r="F35" i="39"/>
  <c r="F31" i="39"/>
  <c r="D21" i="39"/>
  <c r="F21" i="39" s="1"/>
  <c r="F19" i="39"/>
  <c r="F30" i="39"/>
  <c r="F18" i="39"/>
  <c r="F48" i="39"/>
  <c r="F47" i="39"/>
  <c r="F41" i="39"/>
  <c r="F29" i="39"/>
  <c r="F24" i="39"/>
  <c r="F23" i="39"/>
  <c r="F17" i="39"/>
  <c r="F79" i="39"/>
  <c r="F54" i="39"/>
  <c r="F38" i="39"/>
  <c r="F26" i="39"/>
  <c r="F43" i="39"/>
  <c r="F39" i="39"/>
  <c r="F33" i="39"/>
  <c r="F28" i="39"/>
  <c r="F16" i="39"/>
  <c r="F44" i="39"/>
  <c r="F40" i="39"/>
  <c r="F34" i="39"/>
  <c r="F25" i="39"/>
  <c r="L12" i="39"/>
  <c r="N12" i="39" s="1"/>
  <c r="F59" i="39"/>
  <c r="F82" i="39"/>
  <c r="F52" i="39"/>
  <c r="F42" i="39"/>
  <c r="F37" i="39"/>
  <c r="F51" i="39"/>
  <c r="Z67" i="40"/>
  <c r="X67" i="40"/>
  <c r="J27" i="33"/>
  <c r="J35" i="33"/>
  <c r="J47" i="33"/>
  <c r="J53" i="33"/>
  <c r="V60" i="33"/>
  <c r="V67" i="33"/>
  <c r="V69" i="33"/>
  <c r="J72" i="33"/>
  <c r="V75" i="33"/>
  <c r="V84" i="33"/>
  <c r="Z88" i="33"/>
  <c r="V93" i="33"/>
  <c r="V108" i="33"/>
  <c r="V115" i="33"/>
  <c r="V73" i="34"/>
  <c r="V65" i="34"/>
  <c r="V61" i="34"/>
  <c r="V49" i="34"/>
  <c r="V41" i="34"/>
  <c r="V29" i="34"/>
  <c r="V25" i="34"/>
  <c r="V72" i="34"/>
  <c r="V64" i="34"/>
  <c r="V60" i="34"/>
  <c r="V52" i="34"/>
  <c r="V40" i="34"/>
  <c r="V28" i="34"/>
  <c r="T23" i="34"/>
  <c r="V23" i="34" s="1"/>
  <c r="V75" i="34"/>
  <c r="V71" i="34"/>
  <c r="V67" i="34"/>
  <c r="V55" i="34"/>
  <c r="V51" i="34"/>
  <c r="V39" i="34"/>
  <c r="V35" i="34"/>
  <c r="V27" i="34"/>
  <c r="V78" i="34"/>
  <c r="V74" i="34"/>
  <c r="V70" i="34"/>
  <c r="V66" i="34"/>
  <c r="V54" i="34"/>
  <c r="V46" i="34"/>
  <c r="V38" i="34"/>
  <c r="V34" i="34"/>
  <c r="V26" i="34"/>
  <c r="V77" i="34"/>
  <c r="V63" i="34"/>
  <c r="V59" i="34"/>
  <c r="V47" i="34"/>
  <c r="V43" i="34"/>
  <c r="V31" i="34"/>
  <c r="V19" i="34"/>
  <c r="L19" i="34"/>
  <c r="V37" i="34"/>
  <c r="V48" i="34"/>
  <c r="Z49" i="34"/>
  <c r="V58" i="34"/>
  <c r="X14" i="35"/>
  <c r="Z14" i="35" s="1"/>
  <c r="P12" i="35"/>
  <c r="J61" i="37"/>
  <c r="X23" i="39"/>
  <c r="Z23" i="39" s="1"/>
  <c r="F57" i="39"/>
  <c r="J111" i="33"/>
  <c r="J102" i="33"/>
  <c r="J84" i="33"/>
  <c r="J70" i="33"/>
  <c r="J60" i="33"/>
  <c r="J108" i="33"/>
  <c r="J99" i="33"/>
  <c r="J91" i="33"/>
  <c r="J87" i="33"/>
  <c r="J81" i="33"/>
  <c r="J75" i="33"/>
  <c r="J104" i="33"/>
  <c r="J98" i="33"/>
  <c r="J94" i="33"/>
  <c r="J90" i="33"/>
  <c r="J86" i="33"/>
  <c r="J115" i="33"/>
  <c r="J110" i="33"/>
  <c r="J101" i="33"/>
  <c r="J97" i="33"/>
  <c r="J93" i="33"/>
  <c r="J89" i="33"/>
  <c r="J83" i="33"/>
  <c r="J77" i="33"/>
  <c r="J69" i="33"/>
  <c r="J109" i="33"/>
  <c r="J100" i="33"/>
  <c r="J92" i="33"/>
  <c r="J88" i="33"/>
  <c r="J82" i="33"/>
  <c r="J76" i="33"/>
  <c r="J68" i="33"/>
  <c r="J62" i="33"/>
  <c r="J20" i="33"/>
  <c r="J28" i="33"/>
  <c r="J36" i="33"/>
  <c r="J48" i="33"/>
  <c r="X72" i="33"/>
  <c r="Z72" i="33" s="1"/>
  <c r="J103" i="33"/>
  <c r="X53" i="34"/>
  <c r="Z53" i="34" s="1"/>
  <c r="N68" i="34"/>
  <c r="L68" i="34"/>
  <c r="L77" i="34"/>
  <c r="X26" i="42"/>
  <c r="Z26" i="42" s="1"/>
  <c r="V26" i="42"/>
  <c r="J23" i="34"/>
  <c r="J27" i="34"/>
  <c r="J35" i="34"/>
  <c r="J39" i="34"/>
  <c r="J49" i="34"/>
  <c r="J55" i="34"/>
  <c r="J67" i="34"/>
  <c r="J71" i="34"/>
  <c r="J75" i="34"/>
  <c r="J23" i="35"/>
  <c r="J31" i="35"/>
  <c r="J35" i="35"/>
  <c r="J53" i="35"/>
  <c r="L66" i="35"/>
  <c r="J78" i="35"/>
  <c r="X16" i="36"/>
  <c r="L24" i="36"/>
  <c r="N22" i="37"/>
  <c r="V26" i="37"/>
  <c r="X47" i="37"/>
  <c r="Z55" i="37"/>
  <c r="V62" i="37"/>
  <c r="V70" i="37"/>
  <c r="H21" i="39"/>
  <c r="X24" i="39"/>
  <c r="Z24" i="39" s="1"/>
  <c r="J27" i="39"/>
  <c r="Z34" i="39"/>
  <c r="Z70" i="40"/>
  <c r="X70" i="40"/>
  <c r="L80" i="40"/>
  <c r="N80" i="40" s="1"/>
  <c r="Z82" i="40"/>
  <c r="L25" i="42"/>
  <c r="N25" i="42" s="1"/>
  <c r="J30" i="34"/>
  <c r="J36" i="34"/>
  <c r="J42" i="34"/>
  <c r="J50" i="34"/>
  <c r="J56" i="34"/>
  <c r="J62" i="34"/>
  <c r="J68" i="34"/>
  <c r="J82" i="34"/>
  <c r="J26" i="35"/>
  <c r="J38" i="35"/>
  <c r="Z45" i="35"/>
  <c r="J58" i="35"/>
  <c r="Z62" i="35"/>
  <c r="Z73" i="35"/>
  <c r="J76" i="35"/>
  <c r="P76" i="35"/>
  <c r="X76" i="35" s="1"/>
  <c r="Z76" i="35" s="1"/>
  <c r="X77" i="35"/>
  <c r="J81" i="35"/>
  <c r="V52" i="37"/>
  <c r="V59" i="37"/>
  <c r="D19" i="38"/>
  <c r="L16" i="38"/>
  <c r="N16" i="38" s="1"/>
  <c r="J87" i="39"/>
  <c r="J83" i="39"/>
  <c r="J75" i="39"/>
  <c r="J71" i="39"/>
  <c r="J67" i="39"/>
  <c r="J63" i="39"/>
  <c r="J74" i="39"/>
  <c r="J70" i="39"/>
  <c r="J66" i="39"/>
  <c r="J60" i="39"/>
  <c r="J46" i="39"/>
  <c r="J91" i="39"/>
  <c r="J85" i="39"/>
  <c r="J79" i="39"/>
  <c r="J73" i="39"/>
  <c r="J69" i="39"/>
  <c r="J65" i="39"/>
  <c r="J57" i="39"/>
  <c r="J51" i="39"/>
  <c r="J82" i="39"/>
  <c r="J81" i="39"/>
  <c r="J77" i="39"/>
  <c r="J61" i="39"/>
  <c r="J53" i="39"/>
  <c r="J47" i="39"/>
  <c r="J80" i="39"/>
  <c r="J76" i="39"/>
  <c r="J58" i="39"/>
  <c r="J52" i="39"/>
  <c r="J44" i="39"/>
  <c r="J64" i="39"/>
  <c r="J35" i="39"/>
  <c r="J31" i="39"/>
  <c r="J23" i="39"/>
  <c r="J19" i="39"/>
  <c r="J49" i="39"/>
  <c r="J30" i="39"/>
  <c r="J24" i="39"/>
  <c r="J18" i="39"/>
  <c r="J48" i="39"/>
  <c r="J45" i="39"/>
  <c r="J41" i="39"/>
  <c r="J29" i="39"/>
  <c r="J17" i="39"/>
  <c r="J84" i="39"/>
  <c r="J78" i="39"/>
  <c r="J50" i="39"/>
  <c r="J42" i="39"/>
  <c r="J40" i="39"/>
  <c r="J34" i="39"/>
  <c r="J28" i="39"/>
  <c r="J59" i="39"/>
  <c r="J37" i="39"/>
  <c r="J33" i="39"/>
  <c r="J25" i="39"/>
  <c r="J21" i="39"/>
  <c r="J36" i="39"/>
  <c r="J55" i="39"/>
  <c r="J26" i="40"/>
  <c r="Z56" i="40"/>
  <c r="N24" i="41"/>
  <c r="Z16" i="44"/>
  <c r="T82" i="44"/>
  <c r="D12" i="34"/>
  <c r="J31" i="34"/>
  <c r="J43" i="34"/>
  <c r="J53" i="34"/>
  <c r="J59" i="34"/>
  <c r="J63" i="34"/>
  <c r="D12" i="35"/>
  <c r="J27" i="35"/>
  <c r="J39" i="35"/>
  <c r="J41" i="35"/>
  <c r="J47" i="35"/>
  <c r="N64" i="35"/>
  <c r="V81" i="37"/>
  <c r="V75" i="37"/>
  <c r="V51" i="37"/>
  <c r="V43" i="37"/>
  <c r="V35" i="37"/>
  <c r="V31" i="37"/>
  <c r="V23" i="37"/>
  <c r="V74" i="37"/>
  <c r="V54" i="37"/>
  <c r="V46" i="37"/>
  <c r="V42" i="37"/>
  <c r="V34" i="37"/>
  <c r="V30" i="37"/>
  <c r="V18" i="37"/>
  <c r="V69" i="37"/>
  <c r="V57" i="37"/>
  <c r="V53" i="37"/>
  <c r="V45" i="37"/>
  <c r="V41" i="37"/>
  <c r="V29" i="37"/>
  <c r="V17" i="37"/>
  <c r="V68" i="37"/>
  <c r="V64" i="37"/>
  <c r="V60" i="37"/>
  <c r="V56" i="37"/>
  <c r="V48" i="37"/>
  <c r="V40" i="37"/>
  <c r="V28" i="37"/>
  <c r="V16" i="37"/>
  <c r="V73" i="37"/>
  <c r="V65" i="37"/>
  <c r="V61" i="37"/>
  <c r="V49" i="37"/>
  <c r="V37" i="37"/>
  <c r="V33" i="37"/>
  <c r="V25" i="37"/>
  <c r="T20" i="37"/>
  <c r="X16" i="37"/>
  <c r="Z16" i="37" s="1"/>
  <c r="L23" i="37"/>
  <c r="N23" i="37" s="1"/>
  <c r="V39" i="37"/>
  <c r="V44" i="37"/>
  <c r="N49" i="37"/>
  <c r="Z53" i="37"/>
  <c r="N70" i="37"/>
  <c r="V77" i="37"/>
  <c r="F16" i="38"/>
  <c r="Z21" i="38"/>
  <c r="X21" i="38"/>
  <c r="N54" i="39"/>
  <c r="L54" i="39"/>
  <c r="X26" i="40"/>
  <c r="Z26" i="40" s="1"/>
  <c r="D26" i="43"/>
  <c r="J20" i="34"/>
  <c r="J26" i="34"/>
  <c r="J32" i="34"/>
  <c r="J44" i="34"/>
  <c r="J48" i="34"/>
  <c r="J66" i="34"/>
  <c r="J74" i="34"/>
  <c r="J77" i="35"/>
  <c r="J70" i="35"/>
  <c r="J62" i="35"/>
  <c r="J52" i="35"/>
  <c r="J40" i="35"/>
  <c r="J73" i="35"/>
  <c r="J67" i="35"/>
  <c r="J59" i="35"/>
  <c r="J51" i="35"/>
  <c r="J45" i="35"/>
  <c r="J79" i="35"/>
  <c r="J64" i="35"/>
  <c r="J56" i="35"/>
  <c r="J50" i="35"/>
  <c r="J69" i="35"/>
  <c r="J61" i="35"/>
  <c r="J49" i="35"/>
  <c r="J74" i="35"/>
  <c r="J68" i="35"/>
  <c r="J60" i="35"/>
  <c r="J54" i="35"/>
  <c r="J46" i="35"/>
  <c r="J42" i="35"/>
  <c r="J20" i="35"/>
  <c r="J28" i="35"/>
  <c r="J34" i="35"/>
  <c r="J55" i="35"/>
  <c r="N56" i="35"/>
  <c r="J63" i="35"/>
  <c r="X66" i="35"/>
  <c r="Z66" i="35" s="1"/>
  <c r="X24" i="36"/>
  <c r="Z22" i="37"/>
  <c r="V50" i="37"/>
  <c r="V58" i="37"/>
  <c r="V71" i="37"/>
  <c r="H79" i="37"/>
  <c r="J79" i="37" s="1"/>
  <c r="L34" i="39"/>
  <c r="N34" i="39" s="1"/>
  <c r="J54" i="39"/>
  <c r="Z24" i="41"/>
  <c r="N14" i="47"/>
  <c r="L14" i="47"/>
  <c r="J21" i="34"/>
  <c r="J25" i="34"/>
  <c r="J33" i="34"/>
  <c r="J37" i="34"/>
  <c r="J45" i="34"/>
  <c r="J51" i="34"/>
  <c r="J57" i="34"/>
  <c r="J69" i="34"/>
  <c r="J21" i="35"/>
  <c r="J29" i="35"/>
  <c r="J33" i="35"/>
  <c r="X56" i="35"/>
  <c r="Z56" i="35" s="1"/>
  <c r="Z64" i="35"/>
  <c r="V27" i="37"/>
  <c r="V32" i="37"/>
  <c r="V38" i="37"/>
  <c r="L61" i="37"/>
  <c r="N61" i="37" s="1"/>
  <c r="V63" i="37"/>
  <c r="X16" i="38"/>
  <c r="Z16" i="38" s="1"/>
  <c r="N23" i="39"/>
  <c r="J32" i="39"/>
  <c r="J39" i="39"/>
  <c r="J43" i="39"/>
  <c r="J72" i="39"/>
  <c r="N30" i="41"/>
  <c r="L30" i="41"/>
  <c r="J30" i="41"/>
  <c r="L13" i="42"/>
  <c r="N13" i="42" s="1"/>
  <c r="D12" i="42"/>
  <c r="J18" i="36"/>
  <c r="F24" i="36"/>
  <c r="V24" i="36"/>
  <c r="J17" i="37"/>
  <c r="J23" i="37"/>
  <c r="J29" i="37"/>
  <c r="J41" i="37"/>
  <c r="J51" i="37"/>
  <c r="J57" i="37"/>
  <c r="J69" i="37"/>
  <c r="H19" i="38"/>
  <c r="V17" i="39"/>
  <c r="R18" i="39"/>
  <c r="V29" i="39"/>
  <c r="R30" i="39"/>
  <c r="L51" i="39"/>
  <c r="N51" i="39" s="1"/>
  <c r="N60" i="39"/>
  <c r="R61" i="39"/>
  <c r="R63" i="39"/>
  <c r="R80" i="39"/>
  <c r="F82" i="40"/>
  <c r="F79" i="40"/>
  <c r="F75" i="40"/>
  <c r="F71" i="40"/>
  <c r="F54" i="40"/>
  <c r="F51" i="40"/>
  <c r="F43" i="40"/>
  <c r="F31" i="40"/>
  <c r="F19" i="40"/>
  <c r="F85" i="40"/>
  <c r="F78" i="40"/>
  <c r="F74" i="40"/>
  <c r="F65" i="40"/>
  <c r="F62" i="40"/>
  <c r="F42" i="40"/>
  <c r="F37" i="40"/>
  <c r="F30" i="40"/>
  <c r="F81" i="40"/>
  <c r="F77" i="40"/>
  <c r="F56" i="40"/>
  <c r="F53" i="40"/>
  <c r="F48" i="40"/>
  <c r="F41" i="40"/>
  <c r="F29" i="40"/>
  <c r="F84" i="40"/>
  <c r="F67" i="40"/>
  <c r="F64" i="40"/>
  <c r="F59" i="40"/>
  <c r="F40" i="40"/>
  <c r="F36" i="40"/>
  <c r="F28" i="40"/>
  <c r="F80" i="40"/>
  <c r="F76" i="40"/>
  <c r="F69" i="40"/>
  <c r="F57" i="40"/>
  <c r="F52" i="40"/>
  <c r="F49" i="40"/>
  <c r="F45" i="40"/>
  <c r="F33" i="40"/>
  <c r="F21" i="40"/>
  <c r="F72" i="40"/>
  <c r="F68" i="40"/>
  <c r="F63" i="40"/>
  <c r="F60" i="40"/>
  <c r="F44" i="40"/>
  <c r="F32" i="40"/>
  <c r="F27" i="40"/>
  <c r="F26" i="40"/>
  <c r="F20" i="40"/>
  <c r="L12" i="40"/>
  <c r="Z37" i="40"/>
  <c r="Z48" i="40"/>
  <c r="F50" i="40"/>
  <c r="F58" i="40"/>
  <c r="N59" i="40"/>
  <c r="V70" i="40"/>
  <c r="L76" i="40"/>
  <c r="N76" i="40" s="1"/>
  <c r="N26" i="42"/>
  <c r="J29" i="42"/>
  <c r="N86" i="42"/>
  <c r="L86" i="42"/>
  <c r="N14" i="43"/>
  <c r="L14" i="43"/>
  <c r="J27" i="36"/>
  <c r="J31" i="36"/>
  <c r="J34" i="36"/>
  <c r="J20" i="37"/>
  <c r="J24" i="37"/>
  <c r="J32" i="37"/>
  <c r="J36" i="37"/>
  <c r="J44" i="37"/>
  <c r="J52" i="37"/>
  <c r="J58" i="37"/>
  <c r="J70" i="37"/>
  <c r="V17" i="38"/>
  <c r="F21" i="38"/>
  <c r="V21" i="38"/>
  <c r="V27" i="38"/>
  <c r="P21" i="39"/>
  <c r="R23" i="39"/>
  <c r="V24" i="39"/>
  <c r="R25" i="39"/>
  <c r="V32" i="39"/>
  <c r="R33" i="39"/>
  <c r="V36" i="39"/>
  <c r="R37" i="39"/>
  <c r="R53" i="39"/>
  <c r="R58" i="39"/>
  <c r="Z60" i="39"/>
  <c r="X60" i="39"/>
  <c r="R67" i="39"/>
  <c r="X79" i="39"/>
  <c r="Z79" i="39" s="1"/>
  <c r="F24" i="40"/>
  <c r="V26" i="40"/>
  <c r="V29" i="40"/>
  <c r="F34" i="40"/>
  <c r="V42" i="40"/>
  <c r="X50" i="40"/>
  <c r="Z50" i="40" s="1"/>
  <c r="X59" i="40"/>
  <c r="Z59" i="40" s="1"/>
  <c r="F61" i="40"/>
  <c r="Z65" i="40"/>
  <c r="Z85" i="40"/>
  <c r="F88" i="40"/>
  <c r="Z27" i="41"/>
  <c r="X27" i="41"/>
  <c r="Z18" i="42"/>
  <c r="Z51" i="44"/>
  <c r="N26" i="46"/>
  <c r="H28" i="46"/>
  <c r="F95" i="48"/>
  <c r="F89" i="48"/>
  <c r="F78" i="48"/>
  <c r="F65" i="48"/>
  <c r="F62" i="48"/>
  <c r="F57" i="48"/>
  <c r="F42" i="48"/>
  <c r="F37" i="48"/>
  <c r="F30" i="48"/>
  <c r="F85" i="48"/>
  <c r="F53" i="48"/>
  <c r="F48" i="48"/>
  <c r="F41" i="48"/>
  <c r="F29" i="48"/>
  <c r="F91" i="48"/>
  <c r="F88" i="48"/>
  <c r="F84" i="48"/>
  <c r="F75" i="48"/>
  <c r="F67" i="48"/>
  <c r="F64" i="48"/>
  <c r="F59" i="48"/>
  <c r="F56" i="48"/>
  <c r="F40" i="48"/>
  <c r="F36" i="48"/>
  <c r="F28" i="48"/>
  <c r="F99" i="48"/>
  <c r="F87" i="48"/>
  <c r="F83" i="48"/>
  <c r="F70" i="48"/>
  <c r="F55" i="48"/>
  <c r="F50" i="48"/>
  <c r="F47" i="48"/>
  <c r="F39" i="48"/>
  <c r="F35" i="48"/>
  <c r="F27" i="48"/>
  <c r="F18" i="48"/>
  <c r="F92" i="48"/>
  <c r="F80" i="48"/>
  <c r="F76" i="48"/>
  <c r="F72" i="48"/>
  <c r="F68" i="48"/>
  <c r="F63" i="48"/>
  <c r="F60" i="48"/>
  <c r="F44" i="48"/>
  <c r="F32" i="48"/>
  <c r="F20" i="48"/>
  <c r="L12" i="48"/>
  <c r="N12" i="48" s="1"/>
  <c r="F86" i="48"/>
  <c r="F79" i="48"/>
  <c r="F71" i="48"/>
  <c r="F54" i="48"/>
  <c r="F51" i="48"/>
  <c r="F43" i="48"/>
  <c r="F31" i="48"/>
  <c r="F26" i="48"/>
  <c r="F25" i="48"/>
  <c r="F19" i="48"/>
  <c r="F77" i="48"/>
  <c r="F74" i="48"/>
  <c r="F49" i="48"/>
  <c r="F33" i="48"/>
  <c r="F45" i="48"/>
  <c r="F34" i="48"/>
  <c r="F94" i="48"/>
  <c r="F81" i="48"/>
  <c r="F46" i="48"/>
  <c r="F61" i="48"/>
  <c r="D23" i="48"/>
  <c r="F73" i="48"/>
  <c r="F66" i="48"/>
  <c r="F58" i="48"/>
  <c r="F90" i="48"/>
  <c r="F69" i="48"/>
  <c r="F38" i="48"/>
  <c r="F52" i="48"/>
  <c r="F21" i="48"/>
  <c r="J16" i="36"/>
  <c r="J20" i="36"/>
  <c r="F22" i="36"/>
  <c r="V22" i="36"/>
  <c r="D12" i="37"/>
  <c r="J25" i="37"/>
  <c r="J33" i="37"/>
  <c r="J37" i="37"/>
  <c r="J47" i="37"/>
  <c r="J55" i="37"/>
  <c r="J73" i="37"/>
  <c r="J77" i="37"/>
  <c r="R84" i="39"/>
  <c r="R72" i="39"/>
  <c r="R68" i="39"/>
  <c r="R64" i="39"/>
  <c r="R59" i="39"/>
  <c r="R56" i="39"/>
  <c r="R78" i="39"/>
  <c r="R50" i="39"/>
  <c r="R47" i="39"/>
  <c r="R81" i="39"/>
  <c r="R77" i="39"/>
  <c r="R79" i="39"/>
  <c r="R74" i="39"/>
  <c r="R70" i="39"/>
  <c r="R66" i="39"/>
  <c r="R51" i="39"/>
  <c r="R46" i="39"/>
  <c r="R42" i="39"/>
  <c r="R91" i="39"/>
  <c r="R85" i="39"/>
  <c r="R82" i="39"/>
  <c r="R73" i="39"/>
  <c r="R69" i="39"/>
  <c r="R65" i="39"/>
  <c r="R62" i="39"/>
  <c r="R57" i="39"/>
  <c r="R54" i="39"/>
  <c r="R41" i="39"/>
  <c r="R21" i="39"/>
  <c r="V25" i="39"/>
  <c r="R26" i="39"/>
  <c r="V33" i="39"/>
  <c r="V37" i="39"/>
  <c r="R38" i="39"/>
  <c r="R52" i="39"/>
  <c r="R55" i="39"/>
  <c r="Z58" i="39"/>
  <c r="V60" i="39"/>
  <c r="V67" i="39"/>
  <c r="V71" i="39"/>
  <c r="R75" i="39"/>
  <c r="R83" i="39"/>
  <c r="T24" i="40"/>
  <c r="V50" i="40"/>
  <c r="L52" i="40"/>
  <c r="N52" i="40" s="1"/>
  <c r="N61" i="40"/>
  <c r="L61" i="40"/>
  <c r="F70" i="40"/>
  <c r="F83" i="40"/>
  <c r="Z25" i="42"/>
  <c r="L12" i="36"/>
  <c r="F15" i="36"/>
  <c r="V15" i="36"/>
  <c r="D18" i="36"/>
  <c r="T18" i="36"/>
  <c r="F25" i="36"/>
  <c r="V25" i="36"/>
  <c r="F29" i="36"/>
  <c r="V29" i="36"/>
  <c r="F33" i="36"/>
  <c r="V33" i="36"/>
  <c r="F36" i="36"/>
  <c r="V36" i="36"/>
  <c r="J16" i="37"/>
  <c r="J26" i="37"/>
  <c r="J38" i="37"/>
  <c r="J50" i="37"/>
  <c r="J62" i="37"/>
  <c r="J66" i="37"/>
  <c r="V59" i="39"/>
  <c r="V78" i="39"/>
  <c r="V58" i="39"/>
  <c r="V50" i="39"/>
  <c r="V87" i="39"/>
  <c r="V81" i="39"/>
  <c r="V77" i="39"/>
  <c r="V61" i="39"/>
  <c r="V53" i="39"/>
  <c r="V49" i="39"/>
  <c r="V80" i="39"/>
  <c r="V76" i="39"/>
  <c r="V91" i="39"/>
  <c r="V85" i="39"/>
  <c r="V73" i="39"/>
  <c r="V69" i="39"/>
  <c r="V65" i="39"/>
  <c r="V57" i="39"/>
  <c r="V45" i="39"/>
  <c r="V41" i="39"/>
  <c r="V84" i="39"/>
  <c r="V72" i="39"/>
  <c r="V68" i="39"/>
  <c r="V64" i="39"/>
  <c r="V56" i="39"/>
  <c r="V48" i="39"/>
  <c r="T21" i="39"/>
  <c r="V26" i="39"/>
  <c r="R27" i="39"/>
  <c r="V38" i="39"/>
  <c r="R39" i="39"/>
  <c r="V42" i="39"/>
  <c r="R43" i="39"/>
  <c r="R44" i="39"/>
  <c r="Z51" i="39"/>
  <c r="V52" i="39"/>
  <c r="V54" i="39"/>
  <c r="V55" i="39"/>
  <c r="X56" i="39"/>
  <c r="Z56" i="39" s="1"/>
  <c r="V66" i="39"/>
  <c r="V75" i="39"/>
  <c r="V83" i="39"/>
  <c r="V24" i="40"/>
  <c r="V41" i="40"/>
  <c r="N48" i="40"/>
  <c r="J52" i="40"/>
  <c r="V53" i="40"/>
  <c r="F66" i="40"/>
  <c r="F73" i="40"/>
  <c r="F86" i="40"/>
  <c r="X88" i="40"/>
  <c r="J30" i="42"/>
  <c r="N51" i="42"/>
  <c r="L51" i="42"/>
  <c r="N12" i="36"/>
  <c r="J27" i="37"/>
  <c r="J39" i="37"/>
  <c r="J45" i="37"/>
  <c r="J53" i="37"/>
  <c r="J59" i="37"/>
  <c r="J63" i="37"/>
  <c r="J67" i="37"/>
  <c r="X12" i="39"/>
  <c r="Z12" i="39" s="1"/>
  <c r="V21" i="39"/>
  <c r="V23" i="39"/>
  <c r="V27" i="39"/>
  <c r="R28" i="39"/>
  <c r="V39" i="39"/>
  <c r="R40" i="39"/>
  <c r="V43" i="39"/>
  <c r="V44" i="39"/>
  <c r="V46" i="39"/>
  <c r="V51" i="39"/>
  <c r="L62" i="39"/>
  <c r="N62" i="39" s="1"/>
  <c r="V70" i="39"/>
  <c r="V74" i="39"/>
  <c r="V82" i="39"/>
  <c r="V92" i="40"/>
  <c r="V86" i="40"/>
  <c r="V82" i="40"/>
  <c r="V66" i="40"/>
  <c r="V58" i="40"/>
  <c r="V54" i="40"/>
  <c r="V46" i="40"/>
  <c r="V38" i="40"/>
  <c r="V34" i="40"/>
  <c r="V22" i="40"/>
  <c r="V85" i="40"/>
  <c r="V69" i="40"/>
  <c r="V65" i="40"/>
  <c r="V57" i="40"/>
  <c r="V49" i="40"/>
  <c r="V45" i="40"/>
  <c r="V37" i="40"/>
  <c r="V33" i="40"/>
  <c r="V21" i="40"/>
  <c r="V72" i="40"/>
  <c r="V68" i="40"/>
  <c r="V60" i="40"/>
  <c r="V56" i="40"/>
  <c r="V48" i="40"/>
  <c r="V44" i="40"/>
  <c r="V32" i="40"/>
  <c r="V20" i="40"/>
  <c r="V79" i="40"/>
  <c r="V75" i="40"/>
  <c r="V71" i="40"/>
  <c r="V67" i="40"/>
  <c r="V59" i="40"/>
  <c r="V51" i="40"/>
  <c r="V43" i="40"/>
  <c r="V31" i="40"/>
  <c r="V19" i="40"/>
  <c r="V84" i="40"/>
  <c r="V80" i="40"/>
  <c r="V76" i="40"/>
  <c r="V64" i="40"/>
  <c r="V52" i="40"/>
  <c r="V40" i="40"/>
  <c r="V36" i="40"/>
  <c r="V28" i="40"/>
  <c r="V83" i="40"/>
  <c r="V63" i="40"/>
  <c r="V55" i="40"/>
  <c r="V47" i="40"/>
  <c r="V39" i="40"/>
  <c r="V35" i="40"/>
  <c r="V27" i="40"/>
  <c r="F18" i="40"/>
  <c r="L26" i="40"/>
  <c r="N26" i="40" s="1"/>
  <c r="F47" i="40"/>
  <c r="N73" i="40"/>
  <c r="L73" i="40"/>
  <c r="V74" i="40"/>
  <c r="V78" i="40"/>
  <c r="L17" i="41"/>
  <c r="N17" i="41" s="1"/>
  <c r="J96" i="42"/>
  <c r="J82" i="42"/>
  <c r="J76" i="42"/>
  <c r="J68" i="42"/>
  <c r="J64" i="42"/>
  <c r="J58" i="42"/>
  <c r="J52" i="42"/>
  <c r="J40" i="42"/>
  <c r="J91" i="42"/>
  <c r="J87" i="42"/>
  <c r="J75" i="42"/>
  <c r="J71" i="42"/>
  <c r="J67" i="42"/>
  <c r="J63" i="42"/>
  <c r="J55" i="42"/>
  <c r="J49" i="42"/>
  <c r="J39" i="42"/>
  <c r="J35" i="42"/>
  <c r="J84" i="42"/>
  <c r="J74" i="42"/>
  <c r="J66" i="42"/>
  <c r="J60" i="42"/>
  <c r="J54" i="42"/>
  <c r="J46" i="42"/>
  <c r="J88" i="42"/>
  <c r="J78" i="42"/>
  <c r="J72" i="42"/>
  <c r="J56" i="42"/>
  <c r="J50" i="42"/>
  <c r="J42" i="42"/>
  <c r="J36" i="42"/>
  <c r="J85" i="42"/>
  <c r="J77" i="42"/>
  <c r="J69" i="42"/>
  <c r="J61" i="42"/>
  <c r="J47" i="42"/>
  <c r="J41" i="42"/>
  <c r="J83" i="42"/>
  <c r="J34" i="42"/>
  <c r="H23" i="42"/>
  <c r="J23" i="42" s="1"/>
  <c r="J92" i="42"/>
  <c r="J79" i="42"/>
  <c r="J25" i="42"/>
  <c r="J21" i="42"/>
  <c r="J73" i="42"/>
  <c r="J62" i="42"/>
  <c r="J26" i="42"/>
  <c r="J20" i="42"/>
  <c r="J86" i="42"/>
  <c r="J80" i="42"/>
  <c r="J57" i="42"/>
  <c r="J48" i="42"/>
  <c r="J37" i="42"/>
  <c r="J19" i="42"/>
  <c r="J89" i="42"/>
  <c r="J65" i="42"/>
  <c r="J44" i="42"/>
  <c r="J33" i="42"/>
  <c r="J28" i="42"/>
  <c r="J18" i="42"/>
  <c r="J70" i="42"/>
  <c r="J59" i="42"/>
  <c r="J45" i="42"/>
  <c r="J27" i="42"/>
  <c r="T94" i="42"/>
  <c r="V94" i="42" s="1"/>
  <c r="J38" i="42"/>
  <c r="J51" i="42"/>
  <c r="N19" i="43"/>
  <c r="L19" i="43"/>
  <c r="J28" i="45"/>
  <c r="J20" i="45"/>
  <c r="J25" i="45"/>
  <c r="J22" i="45"/>
  <c r="J14" i="45"/>
  <c r="N12" i="45"/>
  <c r="J37" i="45"/>
  <c r="J31" i="45"/>
  <c r="J27" i="45"/>
  <c r="J26" i="45"/>
  <c r="H17" i="45"/>
  <c r="J40" i="45"/>
  <c r="J33" i="45"/>
  <c r="J23" i="45"/>
  <c r="J19" i="45"/>
  <c r="J15" i="45"/>
  <c r="J17" i="45"/>
  <c r="J21" i="45"/>
  <c r="J35" i="45"/>
  <c r="J24" i="45"/>
  <c r="Z14" i="45"/>
  <c r="X14" i="45"/>
  <c r="L13" i="40"/>
  <c r="N13" i="40" s="1"/>
  <c r="J19" i="40"/>
  <c r="J31" i="40"/>
  <c r="J37" i="40"/>
  <c r="J43" i="40"/>
  <c r="J51" i="40"/>
  <c r="J65" i="40"/>
  <c r="J71" i="40"/>
  <c r="J75" i="40"/>
  <c r="J79" i="40"/>
  <c r="J85" i="40"/>
  <c r="R17" i="41"/>
  <c r="J19" i="41"/>
  <c r="T22" i="41"/>
  <c r="J25" i="41"/>
  <c r="V19" i="42"/>
  <c r="V49" i="42"/>
  <c r="V55" i="42"/>
  <c r="V61" i="42"/>
  <c r="V76" i="42"/>
  <c r="Z84" i="42"/>
  <c r="X91" i="42"/>
  <c r="L18" i="43"/>
  <c r="R24" i="44"/>
  <c r="V34" i="44"/>
  <c r="R40" i="44"/>
  <c r="L42" i="44"/>
  <c r="N42" i="44" s="1"/>
  <c r="X51" i="44"/>
  <c r="V53" i="44"/>
  <c r="V65" i="44"/>
  <c r="R74" i="44"/>
  <c r="F22" i="45"/>
  <c r="T16" i="46"/>
  <c r="Z14" i="46"/>
  <c r="T97" i="48"/>
  <c r="V23" i="48"/>
  <c r="N12" i="40"/>
  <c r="J20" i="40"/>
  <c r="J32" i="40"/>
  <c r="J44" i="40"/>
  <c r="J54" i="40"/>
  <c r="J60" i="40"/>
  <c r="J68" i="40"/>
  <c r="J72" i="40"/>
  <c r="J82" i="40"/>
  <c r="J20" i="41"/>
  <c r="V22" i="41"/>
  <c r="J24" i="41"/>
  <c r="V24" i="41"/>
  <c r="J28" i="41"/>
  <c r="V30" i="41"/>
  <c r="J34" i="41"/>
  <c r="V20" i="42"/>
  <c r="Z60" i="42"/>
  <c r="V71" i="42"/>
  <c r="V75" i="42"/>
  <c r="V84" i="42"/>
  <c r="N16" i="44"/>
  <c r="H82" i="44"/>
  <c r="R29" i="44"/>
  <c r="V33" i="44"/>
  <c r="R44" i="44"/>
  <c r="R46" i="44"/>
  <c r="R51" i="44"/>
  <c r="V74" i="44"/>
  <c r="F26" i="45"/>
  <c r="F23" i="45"/>
  <c r="D17" i="45"/>
  <c r="F15" i="45"/>
  <c r="F40" i="45"/>
  <c r="F33" i="45"/>
  <c r="F28" i="45"/>
  <c r="F25" i="45"/>
  <c r="F20" i="45"/>
  <c r="F19" i="45"/>
  <c r="L12" i="45"/>
  <c r="F35" i="45"/>
  <c r="F29" i="45"/>
  <c r="F24" i="45"/>
  <c r="F21" i="45"/>
  <c r="F17" i="45"/>
  <c r="N52" i="48"/>
  <c r="L52" i="48"/>
  <c r="H24" i="40"/>
  <c r="L24" i="40" s="1"/>
  <c r="J35" i="40"/>
  <c r="J39" i="40"/>
  <c r="J47" i="40"/>
  <c r="J55" i="40"/>
  <c r="J61" i="40"/>
  <c r="J73" i="40"/>
  <c r="J83" i="40"/>
  <c r="D12" i="41"/>
  <c r="J17" i="41"/>
  <c r="V19" i="41"/>
  <c r="R20" i="41"/>
  <c r="R25" i="41"/>
  <c r="V27" i="41"/>
  <c r="R28" i="41"/>
  <c r="R34" i="41"/>
  <c r="V27" i="42"/>
  <c r="V39" i="42"/>
  <c r="V64" i="42"/>
  <c r="V96" i="42"/>
  <c r="R86" i="44"/>
  <c r="R76" i="44"/>
  <c r="R67" i="44"/>
  <c r="R64" i="44"/>
  <c r="R60" i="44"/>
  <c r="R39" i="44"/>
  <c r="R31" i="44"/>
  <c r="R27" i="44"/>
  <c r="R70" i="44"/>
  <c r="R55" i="44"/>
  <c r="R50" i="44"/>
  <c r="R47" i="44"/>
  <c r="R38" i="44"/>
  <c r="R30" i="44"/>
  <c r="R26" i="44"/>
  <c r="R19" i="44"/>
  <c r="R66" i="44"/>
  <c r="R41" i="44"/>
  <c r="R37" i="44"/>
  <c r="R25" i="44"/>
  <c r="R14" i="44"/>
  <c r="R84" i="44"/>
  <c r="R79" i="44"/>
  <c r="R72" i="44"/>
  <c r="R69" i="44"/>
  <c r="R77" i="44"/>
  <c r="R65" i="44"/>
  <c r="R61" i="44"/>
  <c r="R57" i="44"/>
  <c r="R42" i="44"/>
  <c r="R33" i="44"/>
  <c r="R21" i="44"/>
  <c r="R16" i="44"/>
  <c r="R80" i="44"/>
  <c r="R73" i="44"/>
  <c r="R68" i="44"/>
  <c r="R56" i="44"/>
  <c r="R53" i="44"/>
  <c r="R48" i="44"/>
  <c r="R45" i="44"/>
  <c r="R32" i="44"/>
  <c r="R28" i="44"/>
  <c r="R20" i="44"/>
  <c r="R18" i="44"/>
  <c r="P16" i="44"/>
  <c r="R22" i="44"/>
  <c r="Z49" i="44"/>
  <c r="V62" i="44"/>
  <c r="L76" i="44"/>
  <c r="N76" i="44" s="1"/>
  <c r="L80" i="44"/>
  <c r="D79" i="44"/>
  <c r="L79" i="44" s="1"/>
  <c r="R82" i="44"/>
  <c r="X22" i="45"/>
  <c r="Z22" i="45" s="1"/>
  <c r="F22" i="47"/>
  <c r="F32" i="47"/>
  <c r="F26" i="47"/>
  <c r="F14" i="47"/>
  <c r="F23" i="47"/>
  <c r="F20" i="47"/>
  <c r="F16" i="47"/>
  <c r="F28" i="47"/>
  <c r="L12" i="47"/>
  <c r="F35" i="47"/>
  <c r="D16" i="47"/>
  <c r="F18" i="47"/>
  <c r="F95" i="49"/>
  <c r="F85" i="49"/>
  <c r="F82" i="49"/>
  <c r="F74" i="49"/>
  <c r="F61" i="49"/>
  <c r="F54" i="49"/>
  <c r="F93" i="49"/>
  <c r="F73" i="49"/>
  <c r="F68" i="49"/>
  <c r="F65" i="49"/>
  <c r="F57" i="49"/>
  <c r="F48" i="49"/>
  <c r="F45" i="49"/>
  <c r="F84" i="49"/>
  <c r="F72" i="49"/>
  <c r="F64" i="49"/>
  <c r="F60" i="49"/>
  <c r="F56" i="49"/>
  <c r="F51" i="49"/>
  <c r="F88" i="49"/>
  <c r="F78" i="49"/>
  <c r="F71" i="49"/>
  <c r="F67" i="49"/>
  <c r="F63" i="49"/>
  <c r="F59" i="49"/>
  <c r="F47" i="49"/>
  <c r="F89" i="49"/>
  <c r="F83" i="49"/>
  <c r="F80" i="49"/>
  <c r="F76" i="49"/>
  <c r="F55" i="49"/>
  <c r="F52" i="49"/>
  <c r="F79" i="49"/>
  <c r="F75" i="49"/>
  <c r="F66" i="49"/>
  <c r="F58" i="49"/>
  <c r="F46" i="49"/>
  <c r="F43" i="49"/>
  <c r="F39" i="49"/>
  <c r="F27" i="49"/>
  <c r="F86" i="49"/>
  <c r="F81" i="49"/>
  <c r="F77" i="49"/>
  <c r="F40" i="49"/>
  <c r="F38" i="49"/>
  <c r="F33" i="49"/>
  <c r="F26" i="49"/>
  <c r="F42" i="49"/>
  <c r="F41" i="49"/>
  <c r="F37" i="49"/>
  <c r="F25" i="49"/>
  <c r="F16" i="49"/>
  <c r="F98" i="49"/>
  <c r="F53" i="49"/>
  <c r="F36" i="49"/>
  <c r="F32" i="49"/>
  <c r="F24" i="49"/>
  <c r="F91" i="49"/>
  <c r="F29" i="49"/>
  <c r="F17" i="49"/>
  <c r="F70" i="49"/>
  <c r="F28" i="49"/>
  <c r="F23" i="49"/>
  <c r="F22" i="49"/>
  <c r="L12" i="49"/>
  <c r="F44" i="49"/>
  <c r="F35" i="49"/>
  <c r="F31" i="49"/>
  <c r="F18" i="49"/>
  <c r="F62" i="49"/>
  <c r="F20" i="49"/>
  <c r="D20" i="49"/>
  <c r="F50" i="49"/>
  <c r="F34" i="49"/>
  <c r="F30" i="49"/>
  <c r="J18" i="40"/>
  <c r="J24" i="40"/>
  <c r="J28" i="40"/>
  <c r="J36" i="40"/>
  <c r="J40" i="40"/>
  <c r="J50" i="40"/>
  <c r="J64" i="40"/>
  <c r="J70" i="40"/>
  <c r="J84" i="40"/>
  <c r="J88" i="40"/>
  <c r="V28" i="41"/>
  <c r="V34" i="41"/>
  <c r="V28" i="42"/>
  <c r="V52" i="42"/>
  <c r="L60" i="42"/>
  <c r="V68" i="42"/>
  <c r="Z82" i="42"/>
  <c r="V87" i="42"/>
  <c r="R33" i="43"/>
  <c r="R26" i="43"/>
  <c r="R14" i="43"/>
  <c r="R21" i="43"/>
  <c r="X12" i="43"/>
  <c r="R28" i="43"/>
  <c r="R22" i="43"/>
  <c r="R19" i="43"/>
  <c r="P16" i="43"/>
  <c r="R18" i="43"/>
  <c r="R20" i="43"/>
  <c r="V70" i="44"/>
  <c r="V66" i="44"/>
  <c r="V50" i="44"/>
  <c r="V38" i="44"/>
  <c r="V30" i="44"/>
  <c r="V26" i="44"/>
  <c r="V14" i="44"/>
  <c r="V79" i="44"/>
  <c r="V69" i="44"/>
  <c r="V49" i="44"/>
  <c r="V41" i="44"/>
  <c r="V37" i="44"/>
  <c r="V29" i="44"/>
  <c r="V25" i="44"/>
  <c r="V89" i="44"/>
  <c r="V84" i="44"/>
  <c r="V82" i="44"/>
  <c r="V72" i="44"/>
  <c r="V52" i="44"/>
  <c r="V44" i="44"/>
  <c r="V40" i="44"/>
  <c r="V36" i="44"/>
  <c r="V24" i="44"/>
  <c r="Z12" i="44"/>
  <c r="V75" i="44"/>
  <c r="V71" i="44"/>
  <c r="V63" i="44"/>
  <c r="V59" i="44"/>
  <c r="V86" i="44"/>
  <c r="V80" i="44"/>
  <c r="V76" i="44"/>
  <c r="V68" i="44"/>
  <c r="V64" i="44"/>
  <c r="V60" i="44"/>
  <c r="V56" i="44"/>
  <c r="V48" i="44"/>
  <c r="V32" i="44"/>
  <c r="V28" i="44"/>
  <c r="V20" i="44"/>
  <c r="V67" i="44"/>
  <c r="V55" i="44"/>
  <c r="V47" i="44"/>
  <c r="V39" i="44"/>
  <c r="V31" i="44"/>
  <c r="V27" i="44"/>
  <c r="V19" i="44"/>
  <c r="V22" i="44"/>
  <c r="R36" i="44"/>
  <c r="V42" i="44"/>
  <c r="V57" i="44"/>
  <c r="R71" i="44"/>
  <c r="F27" i="45"/>
  <c r="F37" i="45"/>
  <c r="F35" i="46"/>
  <c r="F28" i="46"/>
  <c r="F30" i="46"/>
  <c r="F24" i="46"/>
  <c r="F19" i="46"/>
  <c r="F22" i="46"/>
  <c r="D16" i="46"/>
  <c r="F20" i="46"/>
  <c r="F32" i="46"/>
  <c r="F21" i="46"/>
  <c r="F18" i="46"/>
  <c r="L12" i="46"/>
  <c r="F14" i="46"/>
  <c r="F26" i="46"/>
  <c r="F23" i="46"/>
  <c r="F16" i="46"/>
  <c r="J29" i="40"/>
  <c r="J41" i="40"/>
  <c r="J53" i="40"/>
  <c r="J59" i="40"/>
  <c r="J67" i="40"/>
  <c r="J77" i="40"/>
  <c r="J81" i="40"/>
  <c r="P22" i="41"/>
  <c r="R24" i="41"/>
  <c r="V25" i="41"/>
  <c r="R26" i="41"/>
  <c r="J27" i="41"/>
  <c r="P12" i="42"/>
  <c r="V23" i="42"/>
  <c r="V25" i="42"/>
  <c r="V29" i="42"/>
  <c r="V31" i="42"/>
  <c r="V51" i="42"/>
  <c r="Z58" i="42"/>
  <c r="L62" i="42"/>
  <c r="N62" i="42" s="1"/>
  <c r="V63" i="42"/>
  <c r="X12" i="44"/>
  <c r="N18" i="44"/>
  <c r="V21" i="44"/>
  <c r="R35" i="44"/>
  <c r="X42" i="44"/>
  <c r="Z42" i="44" s="1"/>
  <c r="R54" i="44"/>
  <c r="L60" i="44"/>
  <c r="N60" i="44" s="1"/>
  <c r="V61" i="44"/>
  <c r="Z71" i="44"/>
  <c r="R89" i="44"/>
  <c r="X14" i="46"/>
  <c r="F49" i="49"/>
  <c r="J30" i="40"/>
  <c r="J42" i="40"/>
  <c r="J48" i="40"/>
  <c r="J56" i="40"/>
  <c r="J62" i="40"/>
  <c r="J74" i="40"/>
  <c r="J18" i="41"/>
  <c r="R22" i="41"/>
  <c r="R30" i="41"/>
  <c r="V92" i="42"/>
  <c r="V88" i="42"/>
  <c r="V80" i="42"/>
  <c r="V72" i="42"/>
  <c r="V56" i="42"/>
  <c r="V48" i="42"/>
  <c r="V44" i="42"/>
  <c r="V36" i="42"/>
  <c r="V32" i="42"/>
  <c r="V83" i="42"/>
  <c r="V79" i="42"/>
  <c r="V59" i="42"/>
  <c r="V47" i="42"/>
  <c r="V43" i="42"/>
  <c r="V82" i="42"/>
  <c r="V78" i="42"/>
  <c r="V58" i="42"/>
  <c r="V50" i="42"/>
  <c r="V42" i="42"/>
  <c r="V86" i="42"/>
  <c r="V74" i="42"/>
  <c r="V70" i="42"/>
  <c r="V66" i="42"/>
  <c r="V62" i="42"/>
  <c r="V54" i="42"/>
  <c r="V46" i="42"/>
  <c r="V38" i="42"/>
  <c r="V34" i="42"/>
  <c r="V89" i="42"/>
  <c r="V81" i="42"/>
  <c r="V73" i="42"/>
  <c r="V65" i="42"/>
  <c r="V57" i="42"/>
  <c r="V53" i="42"/>
  <c r="V45" i="42"/>
  <c r="V37" i="42"/>
  <c r="V33" i="42"/>
  <c r="V18" i="42"/>
  <c r="V30" i="42"/>
  <c r="V35" i="42"/>
  <c r="Z49" i="42"/>
  <c r="X49" i="42"/>
  <c r="N60" i="42"/>
  <c r="V67" i="42"/>
  <c r="N70" i="42"/>
  <c r="V85" i="42"/>
  <c r="Z16" i="43"/>
  <c r="T26" i="43"/>
  <c r="L16" i="44"/>
  <c r="D82" i="44"/>
  <c r="R34" i="44"/>
  <c r="V35" i="44"/>
  <c r="X40" i="44"/>
  <c r="Z40" i="44" s="1"/>
  <c r="N51" i="44"/>
  <c r="R52" i="44"/>
  <c r="V54" i="44"/>
  <c r="N64" i="44"/>
  <c r="L64" i="44"/>
  <c r="R75" i="44"/>
  <c r="F14" i="45"/>
  <c r="N24" i="45"/>
  <c r="L24" i="45"/>
  <c r="L31" i="45"/>
  <c r="F24" i="47"/>
  <c r="F21" i="43"/>
  <c r="V21" i="43"/>
  <c r="L12" i="44"/>
  <c r="F18" i="44"/>
  <c r="F19" i="44"/>
  <c r="J23" i="44"/>
  <c r="F24" i="44"/>
  <c r="J29" i="44"/>
  <c r="J35" i="44"/>
  <c r="F36" i="44"/>
  <c r="J43" i="44"/>
  <c r="F44" i="44"/>
  <c r="F47" i="44"/>
  <c r="J49" i="44"/>
  <c r="F52" i="44"/>
  <c r="F55" i="44"/>
  <c r="J59" i="44"/>
  <c r="J63" i="44"/>
  <c r="J69" i="44"/>
  <c r="F72" i="44"/>
  <c r="J75" i="44"/>
  <c r="J79" i="44"/>
  <c r="F84" i="44"/>
  <c r="X12" i="45"/>
  <c r="V17" i="45"/>
  <c r="V19" i="45"/>
  <c r="V27" i="45"/>
  <c r="R31" i="45"/>
  <c r="R37" i="45"/>
  <c r="V35" i="46"/>
  <c r="V30" i="46"/>
  <c r="V28" i="46"/>
  <c r="V24" i="46"/>
  <c r="V19" i="46"/>
  <c r="V22" i="46"/>
  <c r="V16" i="46"/>
  <c r="J18" i="46"/>
  <c r="V18" i="46"/>
  <c r="V20" i="46"/>
  <c r="X25" i="48"/>
  <c r="Z25" i="48" s="1"/>
  <c r="P12" i="49"/>
  <c r="L22" i="49"/>
  <c r="N23" i="49"/>
  <c r="N44" i="49"/>
  <c r="L44" i="49"/>
  <c r="V22" i="43"/>
  <c r="F26" i="43"/>
  <c r="V26" i="43"/>
  <c r="V28" i="43"/>
  <c r="F33" i="43"/>
  <c r="V33" i="43"/>
  <c r="N12" i="44"/>
  <c r="J14" i="44"/>
  <c r="J24" i="44"/>
  <c r="F25" i="44"/>
  <c r="J36" i="44"/>
  <c r="F37" i="44"/>
  <c r="F41" i="44"/>
  <c r="J44" i="44"/>
  <c r="J52" i="44"/>
  <c r="F60" i="44"/>
  <c r="F64" i="44"/>
  <c r="J66" i="44"/>
  <c r="J72" i="44"/>
  <c r="F76" i="44"/>
  <c r="J84" i="44"/>
  <c r="F86" i="44"/>
  <c r="R25" i="45"/>
  <c r="L23" i="47"/>
  <c r="Z50" i="48"/>
  <c r="X50" i="48"/>
  <c r="Z77" i="48"/>
  <c r="X77" i="48"/>
  <c r="V89" i="49"/>
  <c r="V85" i="49"/>
  <c r="V77" i="49"/>
  <c r="V69" i="49"/>
  <c r="V61" i="49"/>
  <c r="V49" i="49"/>
  <c r="V80" i="49"/>
  <c r="V76" i="49"/>
  <c r="V68" i="49"/>
  <c r="V52" i="49"/>
  <c r="V48" i="49"/>
  <c r="V79" i="49"/>
  <c r="V75" i="49"/>
  <c r="V51" i="49"/>
  <c r="V43" i="49"/>
  <c r="V88" i="49"/>
  <c r="V82" i="49"/>
  <c r="V78" i="49"/>
  <c r="V74" i="49"/>
  <c r="V54" i="49"/>
  <c r="V42" i="49"/>
  <c r="V83" i="49"/>
  <c r="V71" i="49"/>
  <c r="V67" i="49"/>
  <c r="V63" i="49"/>
  <c r="V59" i="49"/>
  <c r="V55" i="49"/>
  <c r="V47" i="49"/>
  <c r="V39" i="49"/>
  <c r="V86" i="49"/>
  <c r="V70" i="49"/>
  <c r="V66" i="49"/>
  <c r="V62" i="49"/>
  <c r="V58" i="49"/>
  <c r="V50" i="49"/>
  <c r="V46" i="49"/>
  <c r="V93" i="49"/>
  <c r="V57" i="49"/>
  <c r="V34" i="49"/>
  <c r="V30" i="49"/>
  <c r="V18" i="49"/>
  <c r="V44" i="49"/>
  <c r="V33" i="49"/>
  <c r="V29" i="49"/>
  <c r="V17" i="49"/>
  <c r="V72" i="49"/>
  <c r="V64" i="49"/>
  <c r="V45" i="49"/>
  <c r="V28" i="49"/>
  <c r="V16" i="49"/>
  <c r="V84" i="49"/>
  <c r="V27" i="49"/>
  <c r="V56" i="49"/>
  <c r="V36" i="49"/>
  <c r="V32" i="49"/>
  <c r="V24" i="49"/>
  <c r="V60" i="49"/>
  <c r="V53" i="49"/>
  <c r="V35" i="49"/>
  <c r="V31" i="49"/>
  <c r="V23" i="49"/>
  <c r="N22" i="49"/>
  <c r="V38" i="49"/>
  <c r="V41" i="49"/>
  <c r="V81" i="49"/>
  <c r="N83" i="49"/>
  <c r="L83" i="49"/>
  <c r="R33" i="45"/>
  <c r="R40" i="45"/>
  <c r="J20" i="46"/>
  <c r="J32" i="46"/>
  <c r="J26" i="46"/>
  <c r="J21" i="46"/>
  <c r="J35" i="46"/>
  <c r="J28" i="46"/>
  <c r="P28" i="47"/>
  <c r="Z18" i="48"/>
  <c r="X18" i="48"/>
  <c r="Z22" i="49"/>
  <c r="V26" i="49"/>
  <c r="V40" i="49"/>
  <c r="V16" i="43"/>
  <c r="J18" i="43"/>
  <c r="V18" i="43"/>
  <c r="J22" i="43"/>
  <c r="F24" i="43"/>
  <c r="V24" i="43"/>
  <c r="J28" i="43"/>
  <c r="F30" i="43"/>
  <c r="J16" i="44"/>
  <c r="J20" i="44"/>
  <c r="F21" i="44"/>
  <c r="J28" i="44"/>
  <c r="J32" i="44"/>
  <c r="F33" i="44"/>
  <c r="F40" i="44"/>
  <c r="J42" i="44"/>
  <c r="J48" i="44"/>
  <c r="J56" i="44"/>
  <c r="F57" i="44"/>
  <c r="F61" i="44"/>
  <c r="F65" i="44"/>
  <c r="J68" i="44"/>
  <c r="F77" i="44"/>
  <c r="F82" i="44"/>
  <c r="F89" i="44"/>
  <c r="P17" i="45"/>
  <c r="R19" i="45"/>
  <c r="V20" i="45"/>
  <c r="R21" i="45"/>
  <c r="R26" i="45"/>
  <c r="V28" i="45"/>
  <c r="R29" i="45"/>
  <c r="R35" i="45"/>
  <c r="P16" i="46"/>
  <c r="R18" i="46"/>
  <c r="J19" i="46"/>
  <c r="R23" i="46"/>
  <c r="R14" i="47"/>
  <c r="R18" i="47"/>
  <c r="R19" i="47"/>
  <c r="R20" i="47"/>
  <c r="P12" i="48"/>
  <c r="L25" i="48"/>
  <c r="Z61" i="48"/>
  <c r="X70" i="48"/>
  <c r="Z70" i="48" s="1"/>
  <c r="N94" i="48"/>
  <c r="L94" i="48"/>
  <c r="P94" i="48"/>
  <c r="X94" i="48" s="1"/>
  <c r="X95" i="48"/>
  <c r="V22" i="49"/>
  <c r="V65" i="49"/>
  <c r="H16" i="43"/>
  <c r="J21" i="44"/>
  <c r="F22" i="44"/>
  <c r="F29" i="44"/>
  <c r="J33" i="44"/>
  <c r="F34" i="44"/>
  <c r="F46" i="44"/>
  <c r="F49" i="44"/>
  <c r="J51" i="44"/>
  <c r="F54" i="44"/>
  <c r="J57" i="44"/>
  <c r="F58" i="44"/>
  <c r="J61" i="44"/>
  <c r="F62" i="44"/>
  <c r="J65" i="44"/>
  <c r="F69" i="44"/>
  <c r="J71" i="44"/>
  <c r="F74" i="44"/>
  <c r="J77" i="44"/>
  <c r="F79" i="44"/>
  <c r="R17" i="45"/>
  <c r="V21" i="45"/>
  <c r="V29" i="45"/>
  <c r="V33" i="45"/>
  <c r="V35" i="45"/>
  <c r="V40" i="45"/>
  <c r="N12" i="46"/>
  <c r="J14" i="46"/>
  <c r="Z18" i="46"/>
  <c r="R23" i="47"/>
  <c r="R16" i="47"/>
  <c r="R32" i="47"/>
  <c r="R26" i="47"/>
  <c r="R30" i="47"/>
  <c r="R24" i="47"/>
  <c r="R21" i="47"/>
  <c r="X12" i="47"/>
  <c r="R35" i="47"/>
  <c r="R28" i="47"/>
  <c r="T16" i="47"/>
  <c r="X16" i="47" s="1"/>
  <c r="Z14" i="47"/>
  <c r="L18" i="47"/>
  <c r="N25" i="48"/>
  <c r="N50" i="48"/>
  <c r="L63" i="48"/>
  <c r="N63" i="48" s="1"/>
  <c r="T20" i="49"/>
  <c r="V25" i="49"/>
  <c r="Z33" i="49"/>
  <c r="J20" i="43"/>
  <c r="J24" i="43"/>
  <c r="J22" i="44"/>
  <c r="F23" i="44"/>
  <c r="J34" i="44"/>
  <c r="F35" i="44"/>
  <c r="J40" i="44"/>
  <c r="F43" i="44"/>
  <c r="J46" i="44"/>
  <c r="J54" i="44"/>
  <c r="J58" i="44"/>
  <c r="F59" i="44"/>
  <c r="J62" i="44"/>
  <c r="F63" i="44"/>
  <c r="F66" i="44"/>
  <c r="J74" i="44"/>
  <c r="J82" i="44"/>
  <c r="T17" i="45"/>
  <c r="R24" i="45"/>
  <c r="R35" i="46"/>
  <c r="R28" i="46"/>
  <c r="R20" i="46"/>
  <c r="R32" i="46"/>
  <c r="R26" i="46"/>
  <c r="V23" i="46"/>
  <c r="J30" i="46"/>
  <c r="J25" i="48"/>
  <c r="J63" i="48"/>
  <c r="V20" i="49"/>
  <c r="V16" i="47"/>
  <c r="J18" i="47"/>
  <c r="V18" i="47"/>
  <c r="J22" i="47"/>
  <c r="J26" i="47"/>
  <c r="J32" i="47"/>
  <c r="V26" i="48"/>
  <c r="J30" i="48"/>
  <c r="V34" i="48"/>
  <c r="V38" i="48"/>
  <c r="J42" i="48"/>
  <c r="V46" i="48"/>
  <c r="J48" i="48"/>
  <c r="V54" i="48"/>
  <c r="V58" i="48"/>
  <c r="J62" i="48"/>
  <c r="V66" i="48"/>
  <c r="V74" i="48"/>
  <c r="J78" i="48"/>
  <c r="V82" i="48"/>
  <c r="V86" i="48"/>
  <c r="V90" i="48"/>
  <c r="J95" i="48"/>
  <c r="L13" i="49"/>
  <c r="N13" i="49" s="1"/>
  <c r="J27" i="49"/>
  <c r="J33" i="49"/>
  <c r="J39" i="49"/>
  <c r="N55" i="49"/>
  <c r="L55" i="49"/>
  <c r="Z61" i="49"/>
  <c r="J66" i="49"/>
  <c r="Z68" i="49"/>
  <c r="J76" i="49"/>
  <c r="D53" i="50"/>
  <c r="X18" i="50"/>
  <c r="R32" i="52"/>
  <c r="R29" i="52"/>
  <c r="R24" i="52"/>
  <c r="R21" i="52"/>
  <c r="R16" i="52"/>
  <c r="R31" i="52"/>
  <c r="R26" i="52"/>
  <c r="R23" i="52"/>
  <c r="R15" i="52"/>
  <c r="X12" i="52"/>
  <c r="R28" i="52"/>
  <c r="R25" i="52"/>
  <c r="R40" i="52"/>
  <c r="R34" i="52"/>
  <c r="R30" i="52"/>
  <c r="R27" i="52"/>
  <c r="R22" i="52"/>
  <c r="R20" i="52"/>
  <c r="P18" i="52"/>
  <c r="R33" i="52"/>
  <c r="R18" i="52"/>
  <c r="R36" i="52"/>
  <c r="N29" i="52"/>
  <c r="L29" i="52"/>
  <c r="H16" i="47"/>
  <c r="V23" i="47"/>
  <c r="J19" i="48"/>
  <c r="V27" i="48"/>
  <c r="J31" i="48"/>
  <c r="V35" i="48"/>
  <c r="J37" i="48"/>
  <c r="V39" i="48"/>
  <c r="J43" i="48"/>
  <c r="V47" i="48"/>
  <c r="J51" i="48"/>
  <c r="V55" i="48"/>
  <c r="J57" i="48"/>
  <c r="V63" i="48"/>
  <c r="J65" i="48"/>
  <c r="J71" i="48"/>
  <c r="J79" i="48"/>
  <c r="V83" i="48"/>
  <c r="V87" i="48"/>
  <c r="J89" i="48"/>
  <c r="V97" i="48"/>
  <c r="V99" i="48"/>
  <c r="N12" i="49"/>
  <c r="J28" i="49"/>
  <c r="J55" i="49"/>
  <c r="Z81" i="49"/>
  <c r="X81" i="49"/>
  <c r="N14" i="50"/>
  <c r="L14" i="50"/>
  <c r="P53" i="50"/>
  <c r="X16" i="50"/>
  <c r="L19" i="51"/>
  <c r="N19" i="51" s="1"/>
  <c r="V22" i="47"/>
  <c r="J28" i="47"/>
  <c r="J35" i="47"/>
  <c r="V18" i="48"/>
  <c r="H23" i="48"/>
  <c r="V30" i="48"/>
  <c r="J34" i="48"/>
  <c r="J38" i="48"/>
  <c r="V42" i="48"/>
  <c r="J46" i="48"/>
  <c r="V50" i="48"/>
  <c r="J52" i="48"/>
  <c r="J58" i="48"/>
  <c r="V62" i="48"/>
  <c r="J66" i="48"/>
  <c r="V70" i="48"/>
  <c r="J74" i="48"/>
  <c r="V78" i="48"/>
  <c r="J82" i="48"/>
  <c r="J90" i="48"/>
  <c r="J94" i="48"/>
  <c r="H20" i="49"/>
  <c r="J31" i="49"/>
  <c r="J35" i="49"/>
  <c r="J49" i="49"/>
  <c r="Z51" i="49"/>
  <c r="J58" i="49"/>
  <c r="J83" i="49"/>
  <c r="L18" i="50"/>
  <c r="V59" i="48"/>
  <c r="J61" i="48"/>
  <c r="V67" i="48"/>
  <c r="V71" i="48"/>
  <c r="V75" i="48"/>
  <c r="J77" i="48"/>
  <c r="V79" i="48"/>
  <c r="J83" i="48"/>
  <c r="J87" i="48"/>
  <c r="V91" i="48"/>
  <c r="V95" i="48"/>
  <c r="J99" i="48"/>
  <c r="N53" i="49"/>
  <c r="N12" i="47"/>
  <c r="J14" i="47"/>
  <c r="V20" i="47"/>
  <c r="J24" i="47"/>
  <c r="V26" i="47"/>
  <c r="J30" i="47"/>
  <c r="L16" i="48"/>
  <c r="J18" i="48"/>
  <c r="V20" i="48"/>
  <c r="J28" i="48"/>
  <c r="V32" i="48"/>
  <c r="J36" i="48"/>
  <c r="J40" i="48"/>
  <c r="V44" i="48"/>
  <c r="V48" i="48"/>
  <c r="J50" i="48"/>
  <c r="J56" i="48"/>
  <c r="V60" i="48"/>
  <c r="J64" i="48"/>
  <c r="V68" i="48"/>
  <c r="J70" i="48"/>
  <c r="V72" i="48"/>
  <c r="V76" i="48"/>
  <c r="V80" i="48"/>
  <c r="J84" i="48"/>
  <c r="J88" i="48"/>
  <c r="V92" i="48"/>
  <c r="J25" i="49"/>
  <c r="J37" i="49"/>
  <c r="J41" i="49"/>
  <c r="J29" i="48"/>
  <c r="V33" i="48"/>
  <c r="V37" i="48"/>
  <c r="J41" i="48"/>
  <c r="V45" i="48"/>
  <c r="V49" i="48"/>
  <c r="J53" i="48"/>
  <c r="V57" i="48"/>
  <c r="J59" i="48"/>
  <c r="V65" i="48"/>
  <c r="J67" i="48"/>
  <c r="V69" i="48"/>
  <c r="V73" i="48"/>
  <c r="J75" i="48"/>
  <c r="V81" i="48"/>
  <c r="J85" i="48"/>
  <c r="J91" i="48"/>
  <c r="J93" i="49"/>
  <c r="J73" i="49"/>
  <c r="J65" i="49"/>
  <c r="J57" i="49"/>
  <c r="J51" i="49"/>
  <c r="J45" i="49"/>
  <c r="J88" i="49"/>
  <c r="J84" i="49"/>
  <c r="J78" i="49"/>
  <c r="J72" i="49"/>
  <c r="J64" i="49"/>
  <c r="J60" i="49"/>
  <c r="J56" i="49"/>
  <c r="J81" i="49"/>
  <c r="J71" i="49"/>
  <c r="J67" i="49"/>
  <c r="J63" i="49"/>
  <c r="J59" i="49"/>
  <c r="J53" i="49"/>
  <c r="J47" i="49"/>
  <c r="J86" i="49"/>
  <c r="J70" i="49"/>
  <c r="J62" i="49"/>
  <c r="J50" i="49"/>
  <c r="J44" i="49"/>
  <c r="J85" i="49"/>
  <c r="J79" i="49"/>
  <c r="J75" i="49"/>
  <c r="J61" i="49"/>
  <c r="J43" i="49"/>
  <c r="J82" i="49"/>
  <c r="J74" i="49"/>
  <c r="J68" i="49"/>
  <c r="J54" i="49"/>
  <c r="J48" i="49"/>
  <c r="J42" i="49"/>
  <c r="J16" i="49"/>
  <c r="J26" i="49"/>
  <c r="J38" i="49"/>
  <c r="J40" i="49"/>
  <c r="Z53" i="49"/>
  <c r="X53" i="49"/>
  <c r="N66" i="49"/>
  <c r="J77" i="49"/>
  <c r="X78" i="49"/>
  <c r="Z78" i="49" s="1"/>
  <c r="J80" i="49"/>
  <c r="T29" i="51"/>
  <c r="Z17" i="51"/>
  <c r="R19" i="50"/>
  <c r="J21" i="50"/>
  <c r="F22" i="50"/>
  <c r="V25" i="50"/>
  <c r="R26" i="50"/>
  <c r="X28" i="50"/>
  <c r="V29" i="50"/>
  <c r="R30" i="50"/>
  <c r="J33" i="50"/>
  <c r="F34" i="50"/>
  <c r="V37" i="50"/>
  <c r="R38" i="50"/>
  <c r="J39" i="50"/>
  <c r="F42" i="50"/>
  <c r="R43" i="50"/>
  <c r="F45" i="50"/>
  <c r="V45" i="50"/>
  <c r="R46" i="50"/>
  <c r="V49" i="50"/>
  <c r="F51" i="50"/>
  <c r="R53" i="50"/>
  <c r="J57" i="50"/>
  <c r="R60" i="50"/>
  <c r="J20" i="51"/>
  <c r="J31" i="51"/>
  <c r="J25" i="51"/>
  <c r="J22" i="51"/>
  <c r="H17" i="51"/>
  <c r="J33" i="51"/>
  <c r="R15" i="51"/>
  <c r="F22" i="51"/>
  <c r="R29" i="51"/>
  <c r="N20" i="52"/>
  <c r="V38" i="52"/>
  <c r="V16" i="53"/>
  <c r="N44" i="53"/>
  <c r="N55" i="53"/>
  <c r="L55" i="53"/>
  <c r="V56" i="53"/>
  <c r="J22" i="50"/>
  <c r="F23" i="50"/>
  <c r="V26" i="50"/>
  <c r="R27" i="50"/>
  <c r="J28" i="50"/>
  <c r="V30" i="50"/>
  <c r="R31" i="50"/>
  <c r="J34" i="50"/>
  <c r="F35" i="50"/>
  <c r="V38" i="50"/>
  <c r="J42" i="50"/>
  <c r="V46" i="50"/>
  <c r="J51" i="50"/>
  <c r="T53" i="50"/>
  <c r="R55" i="50"/>
  <c r="J19" i="51"/>
  <c r="J21" i="51"/>
  <c r="J24" i="51"/>
  <c r="F31" i="52"/>
  <c r="F28" i="52"/>
  <c r="F23" i="52"/>
  <c r="F15" i="52"/>
  <c r="F36" i="52"/>
  <c r="F40" i="52"/>
  <c r="F34" i="52"/>
  <c r="F30" i="52"/>
  <c r="F25" i="52"/>
  <c r="F22" i="52"/>
  <c r="F32" i="52"/>
  <c r="F27" i="52"/>
  <c r="F24" i="52"/>
  <c r="F29" i="52"/>
  <c r="F26" i="52"/>
  <c r="F21" i="52"/>
  <c r="F20" i="52"/>
  <c r="L12" i="52"/>
  <c r="L18" i="53"/>
  <c r="N18" i="53" s="1"/>
  <c r="V18" i="53"/>
  <c r="R24" i="51"/>
  <c r="R21" i="51"/>
  <c r="R19" i="51"/>
  <c r="P17" i="51"/>
  <c r="R31" i="51"/>
  <c r="R25" i="51"/>
  <c r="R22" i="51"/>
  <c r="R36" i="51"/>
  <c r="N20" i="51"/>
  <c r="R33" i="51"/>
  <c r="L18" i="52"/>
  <c r="D38" i="52"/>
  <c r="V55" i="53"/>
  <c r="V64" i="53"/>
  <c r="V58" i="53"/>
  <c r="V52" i="53"/>
  <c r="V51" i="53"/>
  <c r="V53" i="53"/>
  <c r="V67" i="53"/>
  <c r="V41" i="53"/>
  <c r="V37" i="53"/>
  <c r="V29" i="53"/>
  <c r="V25" i="53"/>
  <c r="V54" i="53"/>
  <c r="V40" i="53"/>
  <c r="V36" i="53"/>
  <c r="V24" i="53"/>
  <c r="Z12" i="53"/>
  <c r="V62" i="53"/>
  <c r="V43" i="53"/>
  <c r="V35" i="53"/>
  <c r="V23" i="53"/>
  <c r="V49" i="53"/>
  <c r="V45" i="53"/>
  <c r="V33" i="53"/>
  <c r="V21" i="53"/>
  <c r="T16" i="53"/>
  <c r="V60" i="53"/>
  <c r="V47" i="53"/>
  <c r="V39" i="53"/>
  <c r="V31" i="53"/>
  <c r="V27" i="53"/>
  <c r="V19" i="53"/>
  <c r="V50" i="53"/>
  <c r="V46" i="53"/>
  <c r="V38" i="53"/>
  <c r="V30" i="53"/>
  <c r="V26" i="53"/>
  <c r="V14" i="53"/>
  <c r="V20" i="53"/>
  <c r="J19" i="50"/>
  <c r="V21" i="50"/>
  <c r="R22" i="50"/>
  <c r="J25" i="50"/>
  <c r="F26" i="50"/>
  <c r="J29" i="50"/>
  <c r="F30" i="50"/>
  <c r="V33" i="50"/>
  <c r="R34" i="50"/>
  <c r="J37" i="50"/>
  <c r="F38" i="50"/>
  <c r="R39" i="50"/>
  <c r="F41" i="50"/>
  <c r="V41" i="50"/>
  <c r="R42" i="50"/>
  <c r="J43" i="50"/>
  <c r="F46" i="50"/>
  <c r="D48" i="50"/>
  <c r="L48" i="50" s="1"/>
  <c r="N48" i="50" s="1"/>
  <c r="J53" i="50"/>
  <c r="R57" i="50"/>
  <c r="J60" i="50"/>
  <c r="V33" i="51"/>
  <c r="V27" i="51"/>
  <c r="V21" i="51"/>
  <c r="V20" i="51"/>
  <c r="V24" i="51"/>
  <c r="F15" i="51"/>
  <c r="D17" i="51"/>
  <c r="V22" i="51"/>
  <c r="F36" i="51"/>
  <c r="X13" i="52"/>
  <c r="F18" i="52"/>
  <c r="Z20" i="52"/>
  <c r="X25" i="52"/>
  <c r="F33" i="52"/>
  <c r="V34" i="52"/>
  <c r="V40" i="52"/>
  <c r="N19" i="53"/>
  <c r="V44" i="53"/>
  <c r="V48" i="53"/>
  <c r="X75" i="54"/>
  <c r="Z75" i="54" s="1"/>
  <c r="F16" i="50"/>
  <c r="V16" i="50"/>
  <c r="J18" i="50"/>
  <c r="V18" i="50"/>
  <c r="V22" i="50"/>
  <c r="R23" i="50"/>
  <c r="J26" i="50"/>
  <c r="F27" i="50"/>
  <c r="R28" i="50"/>
  <c r="J30" i="50"/>
  <c r="F31" i="50"/>
  <c r="V34" i="50"/>
  <c r="R35" i="50"/>
  <c r="J38" i="50"/>
  <c r="V42" i="50"/>
  <c r="J46" i="50"/>
  <c r="F48" i="50"/>
  <c r="V48" i="50"/>
  <c r="F50" i="50"/>
  <c r="R51" i="50"/>
  <c r="F55" i="50"/>
  <c r="X12" i="51"/>
  <c r="J15" i="51"/>
  <c r="F17" i="51"/>
  <c r="X20" i="51"/>
  <c r="F16" i="52"/>
  <c r="L27" i="52"/>
  <c r="V28" i="52"/>
  <c r="X18" i="53"/>
  <c r="Z18" i="53" s="1"/>
  <c r="V22" i="53"/>
  <c r="V32" i="53"/>
  <c r="X12" i="50"/>
  <c r="H16" i="50"/>
  <c r="L16" i="50" s="1"/>
  <c r="F20" i="50"/>
  <c r="V23" i="50"/>
  <c r="R24" i="50"/>
  <c r="J27" i="50"/>
  <c r="J31" i="50"/>
  <c r="F32" i="50"/>
  <c r="V35" i="50"/>
  <c r="R36" i="50"/>
  <c r="F39" i="50"/>
  <c r="V39" i="50"/>
  <c r="R40" i="50"/>
  <c r="J41" i="50"/>
  <c r="F44" i="50"/>
  <c r="R45" i="50"/>
  <c r="J50" i="50"/>
  <c r="V51" i="50"/>
  <c r="J55" i="50"/>
  <c r="F57" i="50"/>
  <c r="V57" i="50"/>
  <c r="R14" i="51"/>
  <c r="J17" i="51"/>
  <c r="R20" i="51"/>
  <c r="V31" i="51"/>
  <c r="J36" i="51"/>
  <c r="V18" i="52"/>
  <c r="V28" i="53"/>
  <c r="Z12" i="50"/>
  <c r="R14" i="50"/>
  <c r="J16" i="50"/>
  <c r="J20" i="50"/>
  <c r="F21" i="50"/>
  <c r="V24" i="50"/>
  <c r="R25" i="50"/>
  <c r="F28" i="50"/>
  <c r="V28" i="50"/>
  <c r="R29" i="50"/>
  <c r="J32" i="50"/>
  <c r="V36" i="50"/>
  <c r="R37" i="50"/>
  <c r="J44" i="50"/>
  <c r="F23" i="51"/>
  <c r="F33" i="51"/>
  <c r="F27" i="51"/>
  <c r="F31" i="51"/>
  <c r="F25" i="51"/>
  <c r="F20" i="51"/>
  <c r="F19" i="51"/>
  <c r="F24" i="51"/>
  <c r="F21" i="51"/>
  <c r="Z20" i="51"/>
  <c r="L22" i="51"/>
  <c r="J23" i="51"/>
  <c r="J27" i="51"/>
  <c r="J29" i="51"/>
  <c r="V36" i="51"/>
  <c r="V31" i="52"/>
  <c r="V23" i="52"/>
  <c r="V15" i="52"/>
  <c r="V42" i="52"/>
  <c r="V36" i="52"/>
  <c r="V26" i="52"/>
  <c r="Z12" i="52"/>
  <c r="V25" i="52"/>
  <c r="V27" i="52"/>
  <c r="T18" i="52"/>
  <c r="V33" i="52"/>
  <c r="V29" i="52"/>
  <c r="V21" i="52"/>
  <c r="V32" i="52"/>
  <c r="V24" i="52"/>
  <c r="V16" i="52"/>
  <c r="V42" i="53"/>
  <c r="J28" i="52"/>
  <c r="J36" i="52"/>
  <c r="J42" i="52"/>
  <c r="J51" i="53"/>
  <c r="J64" i="53"/>
  <c r="J58" i="53"/>
  <c r="J54" i="53"/>
  <c r="J62" i="53"/>
  <c r="J56" i="53"/>
  <c r="J53" i="53"/>
  <c r="J55" i="53"/>
  <c r="J22" i="53"/>
  <c r="F23" i="53"/>
  <c r="R27" i="53"/>
  <c r="R31" i="53"/>
  <c r="J34" i="53"/>
  <c r="F35" i="53"/>
  <c r="R39" i="53"/>
  <c r="J40" i="53"/>
  <c r="F43" i="53"/>
  <c r="R44" i="53"/>
  <c r="F46" i="53"/>
  <c r="R47" i="53"/>
  <c r="F50" i="53"/>
  <c r="N23" i="54"/>
  <c r="H91" i="54"/>
  <c r="F27" i="54"/>
  <c r="F50" i="54"/>
  <c r="F63" i="54"/>
  <c r="L13" i="52"/>
  <c r="J15" i="52"/>
  <c r="J23" i="52"/>
  <c r="J31" i="52"/>
  <c r="L12" i="53"/>
  <c r="P16" i="53"/>
  <c r="F18" i="53"/>
  <c r="R18" i="53"/>
  <c r="F19" i="53"/>
  <c r="R20" i="53"/>
  <c r="J23" i="53"/>
  <c r="F24" i="53"/>
  <c r="R28" i="53"/>
  <c r="J29" i="53"/>
  <c r="R32" i="53"/>
  <c r="J35" i="53"/>
  <c r="F36" i="53"/>
  <c r="J43" i="53"/>
  <c r="X53" i="53"/>
  <c r="Z53" i="53" s="1"/>
  <c r="X14" i="54"/>
  <c r="Z14" i="54" s="1"/>
  <c r="P12" i="54"/>
  <c r="F18" i="54"/>
  <c r="N50" i="54"/>
  <c r="F58" i="54"/>
  <c r="V82" i="54"/>
  <c r="J21" i="52"/>
  <c r="J29" i="52"/>
  <c r="R62" i="53"/>
  <c r="R56" i="53"/>
  <c r="R53" i="53"/>
  <c r="R67" i="53"/>
  <c r="R60" i="53"/>
  <c r="R52" i="53"/>
  <c r="R54" i="53"/>
  <c r="D60" i="53"/>
  <c r="J19" i="53"/>
  <c r="R22" i="53"/>
  <c r="J25" i="53"/>
  <c r="F26" i="53"/>
  <c r="F30" i="53"/>
  <c r="R34" i="53"/>
  <c r="J37" i="53"/>
  <c r="F38" i="53"/>
  <c r="J41" i="53"/>
  <c r="R51" i="53"/>
  <c r="F54" i="53"/>
  <c r="R58" i="53"/>
  <c r="F76" i="54"/>
  <c r="F72" i="54"/>
  <c r="F68" i="54"/>
  <c r="F44" i="54"/>
  <c r="F32" i="54"/>
  <c r="F20" i="54"/>
  <c r="L12" i="54"/>
  <c r="F86" i="54"/>
  <c r="F83" i="54"/>
  <c r="F71" i="54"/>
  <c r="F67" i="54"/>
  <c r="F62" i="54"/>
  <c r="F59" i="54"/>
  <c r="F54" i="54"/>
  <c r="F51" i="54"/>
  <c r="F43" i="54"/>
  <c r="F31" i="54"/>
  <c r="F26" i="54"/>
  <c r="F25" i="54"/>
  <c r="F19" i="54"/>
  <c r="F82" i="54"/>
  <c r="F42" i="54"/>
  <c r="F37" i="54"/>
  <c r="F30" i="54"/>
  <c r="F85" i="54"/>
  <c r="F81" i="54"/>
  <c r="F64" i="54"/>
  <c r="F61" i="54"/>
  <c r="F56" i="54"/>
  <c r="F53" i="54"/>
  <c r="F48" i="54"/>
  <c r="F41" i="54"/>
  <c r="F29" i="54"/>
  <c r="F89" i="54"/>
  <c r="F80" i="54"/>
  <c r="F75" i="54"/>
  <c r="F40" i="54"/>
  <c r="F36" i="54"/>
  <c r="F28" i="54"/>
  <c r="F78" i="54"/>
  <c r="F74" i="54"/>
  <c r="F46" i="54"/>
  <c r="F38" i="54"/>
  <c r="F34" i="54"/>
  <c r="F23" i="54"/>
  <c r="F84" i="54"/>
  <c r="F77" i="54"/>
  <c r="F73" i="54"/>
  <c r="F69" i="54"/>
  <c r="F65" i="54"/>
  <c r="F60" i="54"/>
  <c r="F57" i="54"/>
  <c r="F52" i="54"/>
  <c r="F49" i="54"/>
  <c r="F45" i="54"/>
  <c r="F33" i="54"/>
  <c r="D23" i="54"/>
  <c r="F21" i="54"/>
  <c r="N25" i="54"/>
  <c r="Z50" i="54"/>
  <c r="V70" i="54"/>
  <c r="N84" i="54"/>
  <c r="Z19" i="55"/>
  <c r="T36" i="55"/>
  <c r="T23" i="56"/>
  <c r="F67" i="53"/>
  <c r="F39" i="54"/>
  <c r="V50" i="54"/>
  <c r="Z58" i="54"/>
  <c r="Z89" i="54"/>
  <c r="X89" i="54"/>
  <c r="H18" i="52"/>
  <c r="J27" i="52"/>
  <c r="J33" i="52"/>
  <c r="X12" i="53"/>
  <c r="H16" i="53"/>
  <c r="F20" i="53"/>
  <c r="R24" i="53"/>
  <c r="J27" i="53"/>
  <c r="F28" i="53"/>
  <c r="R29" i="53"/>
  <c r="J31" i="53"/>
  <c r="F32" i="53"/>
  <c r="R36" i="53"/>
  <c r="J39" i="53"/>
  <c r="J47" i="53"/>
  <c r="F48" i="53"/>
  <c r="R55" i="53"/>
  <c r="J67" i="53"/>
  <c r="Z18" i="54"/>
  <c r="V42" i="54"/>
  <c r="N52" i="54"/>
  <c r="Z66" i="54"/>
  <c r="F87" i="54"/>
  <c r="J18" i="52"/>
  <c r="J22" i="52"/>
  <c r="J30" i="52"/>
  <c r="J34" i="52"/>
  <c r="J40" i="52"/>
  <c r="R14" i="53"/>
  <c r="J16" i="53"/>
  <c r="J20" i="53"/>
  <c r="F21" i="53"/>
  <c r="R25" i="53"/>
  <c r="J28" i="53"/>
  <c r="J32" i="53"/>
  <c r="F33" i="53"/>
  <c r="R37" i="53"/>
  <c r="F40" i="53"/>
  <c r="R41" i="53"/>
  <c r="J42" i="53"/>
  <c r="F45" i="53"/>
  <c r="R46" i="53"/>
  <c r="J48" i="53"/>
  <c r="F49" i="53"/>
  <c r="R50" i="53"/>
  <c r="V87" i="54"/>
  <c r="V79" i="54"/>
  <c r="V63" i="54"/>
  <c r="V55" i="54"/>
  <c r="V47" i="54"/>
  <c r="V39" i="54"/>
  <c r="V35" i="54"/>
  <c r="V27" i="54"/>
  <c r="V93" i="54"/>
  <c r="V86" i="54"/>
  <c r="V78" i="54"/>
  <c r="V74" i="54"/>
  <c r="V62" i="54"/>
  <c r="V54" i="54"/>
  <c r="V46" i="54"/>
  <c r="V38" i="54"/>
  <c r="V34" i="54"/>
  <c r="V26" i="54"/>
  <c r="V77" i="54"/>
  <c r="V73" i="54"/>
  <c r="V69" i="54"/>
  <c r="V65" i="54"/>
  <c r="V57" i="54"/>
  <c r="V49" i="54"/>
  <c r="V45" i="54"/>
  <c r="V37" i="54"/>
  <c r="V33" i="54"/>
  <c r="V21" i="54"/>
  <c r="V76" i="54"/>
  <c r="V72" i="54"/>
  <c r="V68" i="54"/>
  <c r="V64" i="54"/>
  <c r="V56" i="54"/>
  <c r="V48" i="54"/>
  <c r="V44" i="54"/>
  <c r="V32" i="54"/>
  <c r="V20" i="54"/>
  <c r="V89" i="54"/>
  <c r="V83" i="54"/>
  <c r="V75" i="54"/>
  <c r="V71" i="54"/>
  <c r="V67" i="54"/>
  <c r="V59" i="54"/>
  <c r="V51" i="54"/>
  <c r="V43" i="54"/>
  <c r="V31" i="54"/>
  <c r="V19" i="54"/>
  <c r="V85" i="54"/>
  <c r="V81" i="54"/>
  <c r="V61" i="54"/>
  <c r="V53" i="54"/>
  <c r="V41" i="54"/>
  <c r="V29" i="54"/>
  <c r="V25" i="54"/>
  <c r="V84" i="54"/>
  <c r="V80" i="54"/>
  <c r="V60" i="54"/>
  <c r="V52" i="54"/>
  <c r="V40" i="54"/>
  <c r="V36" i="54"/>
  <c r="V28" i="54"/>
  <c r="T23" i="54"/>
  <c r="V18" i="54"/>
  <c r="Z25" i="54"/>
  <c r="V66" i="54"/>
  <c r="F93" i="54"/>
  <c r="F55" i="53"/>
  <c r="F52" i="53"/>
  <c r="F51" i="53"/>
  <c r="F64" i="53"/>
  <c r="F58" i="53"/>
  <c r="F62" i="53"/>
  <c r="F56" i="53"/>
  <c r="F53" i="53"/>
  <c r="L16" i="53"/>
  <c r="R19" i="53"/>
  <c r="J21" i="53"/>
  <c r="F22" i="53"/>
  <c r="R26" i="53"/>
  <c r="F29" i="53"/>
  <c r="R30" i="53"/>
  <c r="J33" i="53"/>
  <c r="F34" i="53"/>
  <c r="R38" i="53"/>
  <c r="J45" i="53"/>
  <c r="J49" i="53"/>
  <c r="J52" i="53"/>
  <c r="L58" i="53"/>
  <c r="J60" i="53"/>
  <c r="V30" i="54"/>
  <c r="F35" i="54"/>
  <c r="F47" i="54"/>
  <c r="F55" i="54"/>
  <c r="F70" i="54"/>
  <c r="J26" i="54"/>
  <c r="J32" i="54"/>
  <c r="J44" i="54"/>
  <c r="N48" i="54"/>
  <c r="J54" i="54"/>
  <c r="N56" i="54"/>
  <c r="J62" i="54"/>
  <c r="N64" i="54"/>
  <c r="J68" i="54"/>
  <c r="J72" i="54"/>
  <c r="J76" i="54"/>
  <c r="J86" i="54"/>
  <c r="Z86" i="54"/>
  <c r="R29" i="55"/>
  <c r="R31" i="55"/>
  <c r="R32" i="55"/>
  <c r="J21" i="54"/>
  <c r="J25" i="54"/>
  <c r="J33" i="54"/>
  <c r="J45" i="54"/>
  <c r="J49" i="54"/>
  <c r="J57" i="54"/>
  <c r="J65" i="54"/>
  <c r="J69" i="54"/>
  <c r="J73" i="54"/>
  <c r="J77" i="54"/>
  <c r="J91" i="54"/>
  <c r="X18" i="56"/>
  <c r="Z18" i="56" s="1"/>
  <c r="Z25" i="56"/>
  <c r="Z26" i="56"/>
  <c r="N58" i="56"/>
  <c r="N66" i="56"/>
  <c r="X18" i="54"/>
  <c r="J23" i="54"/>
  <c r="J27" i="54"/>
  <c r="J35" i="54"/>
  <c r="J39" i="54"/>
  <c r="J47" i="54"/>
  <c r="J55" i="54"/>
  <c r="J63" i="54"/>
  <c r="J79" i="54"/>
  <c r="J87" i="54"/>
  <c r="J93" i="54"/>
  <c r="D12" i="55"/>
  <c r="R24" i="55"/>
  <c r="Z50" i="56"/>
  <c r="L52" i="56"/>
  <c r="N52" i="56" s="1"/>
  <c r="Z58" i="56"/>
  <c r="L60" i="56"/>
  <c r="Z66" i="56"/>
  <c r="Z74" i="56"/>
  <c r="L76" i="56"/>
  <c r="N76" i="56" s="1"/>
  <c r="L15" i="58"/>
  <c r="F15" i="58"/>
  <c r="J18" i="54"/>
  <c r="J28" i="54"/>
  <c r="J36" i="54"/>
  <c r="J40" i="54"/>
  <c r="J50" i="54"/>
  <c r="J58" i="54"/>
  <c r="J66" i="54"/>
  <c r="J70" i="54"/>
  <c r="J80" i="54"/>
  <c r="L25" i="56"/>
  <c r="N60" i="56"/>
  <c r="J29" i="54"/>
  <c r="J41" i="54"/>
  <c r="J53" i="54"/>
  <c r="J61" i="54"/>
  <c r="J75" i="54"/>
  <c r="J81" i="54"/>
  <c r="J85" i="54"/>
  <c r="L21" i="55"/>
  <c r="N25" i="56"/>
  <c r="J95" i="54"/>
  <c r="J98" i="54"/>
  <c r="J30" i="54"/>
  <c r="J42" i="54"/>
  <c r="J48" i="54"/>
  <c r="J56" i="54"/>
  <c r="J64" i="54"/>
  <c r="J82" i="54"/>
  <c r="P12" i="56"/>
  <c r="N26" i="56"/>
  <c r="Z52" i="56"/>
  <c r="Z60" i="56"/>
  <c r="J19" i="54"/>
  <c r="J31" i="54"/>
  <c r="J37" i="54"/>
  <c r="J43" i="54"/>
  <c r="J51" i="54"/>
  <c r="J59" i="54"/>
  <c r="J67" i="54"/>
  <c r="J71" i="54"/>
  <c r="J83" i="54"/>
  <c r="R23" i="55"/>
  <c r="R21" i="55"/>
  <c r="P19" i="55"/>
  <c r="R19" i="55" s="1"/>
  <c r="R22" i="55"/>
  <c r="R17" i="55"/>
  <c r="R28" i="55"/>
  <c r="R25" i="55"/>
  <c r="R34" i="55"/>
  <c r="R16" i="55"/>
  <c r="R27" i="55"/>
  <c r="R30" i="55"/>
  <c r="R38" i="55"/>
  <c r="F68" i="56"/>
  <c r="F72" i="56"/>
  <c r="V76" i="56"/>
  <c r="T96" i="57"/>
  <c r="V96" i="57" s="1"/>
  <c r="V32" i="55"/>
  <c r="V36" i="55"/>
  <c r="V38" i="55"/>
  <c r="V43" i="55"/>
  <c r="F21" i="56"/>
  <c r="D23" i="56"/>
  <c r="J26" i="56"/>
  <c r="V28" i="56"/>
  <c r="J32" i="56"/>
  <c r="F33" i="56"/>
  <c r="V36" i="56"/>
  <c r="V40" i="56"/>
  <c r="J44" i="56"/>
  <c r="F45" i="56"/>
  <c r="F49" i="56"/>
  <c r="F52" i="56"/>
  <c r="V52" i="56"/>
  <c r="J54" i="56"/>
  <c r="F57" i="56"/>
  <c r="F60" i="56"/>
  <c r="J62" i="56"/>
  <c r="F65" i="56"/>
  <c r="J68" i="56"/>
  <c r="J72" i="56"/>
  <c r="F73" i="56"/>
  <c r="F76" i="56"/>
  <c r="J82" i="56"/>
  <c r="J97" i="56"/>
  <c r="D12" i="57"/>
  <c r="L13" i="57"/>
  <c r="L25" i="57"/>
  <c r="L90" i="57"/>
  <c r="H19" i="55"/>
  <c r="J26" i="55"/>
  <c r="X29" i="55"/>
  <c r="V30" i="55"/>
  <c r="L31" i="55"/>
  <c r="J36" i="55"/>
  <c r="J43" i="55"/>
  <c r="V91" i="56"/>
  <c r="V85" i="56"/>
  <c r="V77" i="56"/>
  <c r="V84" i="56"/>
  <c r="V87" i="56"/>
  <c r="V83" i="56"/>
  <c r="V86" i="56"/>
  <c r="V82" i="56"/>
  <c r="V95" i="56"/>
  <c r="V89" i="56"/>
  <c r="V81" i="56"/>
  <c r="V88" i="56"/>
  <c r="V80" i="56"/>
  <c r="F18" i="56"/>
  <c r="V18" i="56"/>
  <c r="H23" i="56"/>
  <c r="F27" i="56"/>
  <c r="V30" i="56"/>
  <c r="J34" i="56"/>
  <c r="F35" i="56"/>
  <c r="J38" i="56"/>
  <c r="F39" i="56"/>
  <c r="V42" i="56"/>
  <c r="J46" i="56"/>
  <c r="F47" i="56"/>
  <c r="F50" i="56"/>
  <c r="V50" i="56"/>
  <c r="J52" i="56"/>
  <c r="F55" i="56"/>
  <c r="F58" i="56"/>
  <c r="V58" i="56"/>
  <c r="J60" i="56"/>
  <c r="F63" i="56"/>
  <c r="F66" i="56"/>
  <c r="V66" i="56"/>
  <c r="V70" i="56"/>
  <c r="F74" i="56"/>
  <c r="V74" i="56"/>
  <c r="J76" i="56"/>
  <c r="J77" i="56"/>
  <c r="V79" i="56"/>
  <c r="F84" i="56"/>
  <c r="N88" i="56"/>
  <c r="N25" i="57"/>
  <c r="L19" i="58"/>
  <c r="N19" i="58" s="1"/>
  <c r="L53" i="58"/>
  <c r="N53" i="58"/>
  <c r="V27" i="55"/>
  <c r="F28" i="56"/>
  <c r="V31" i="56"/>
  <c r="F36" i="56"/>
  <c r="J39" i="56"/>
  <c r="F40" i="56"/>
  <c r="V43" i="56"/>
  <c r="J47" i="56"/>
  <c r="V51" i="56"/>
  <c r="J55" i="56"/>
  <c r="V59" i="56"/>
  <c r="J63" i="56"/>
  <c r="V67" i="56"/>
  <c r="J69" i="56"/>
  <c r="V71" i="56"/>
  <c r="V75" i="56"/>
  <c r="F87" i="56"/>
  <c r="Z52" i="57"/>
  <c r="N54" i="57"/>
  <c r="J19" i="58"/>
  <c r="Z12" i="55"/>
  <c r="V16" i="55"/>
  <c r="J24" i="55"/>
  <c r="V28" i="55"/>
  <c r="J32" i="55"/>
  <c r="V34" i="55"/>
  <c r="J38" i="55"/>
  <c r="V40" i="55"/>
  <c r="J18" i="56"/>
  <c r="V20" i="56"/>
  <c r="J28" i="56"/>
  <c r="F29" i="56"/>
  <c r="V32" i="56"/>
  <c r="J36" i="56"/>
  <c r="J40" i="56"/>
  <c r="F41" i="56"/>
  <c r="V44" i="56"/>
  <c r="F48" i="56"/>
  <c r="V48" i="56"/>
  <c r="J50" i="56"/>
  <c r="F53" i="56"/>
  <c r="F56" i="56"/>
  <c r="V56" i="56"/>
  <c r="J58" i="56"/>
  <c r="F61" i="56"/>
  <c r="F64" i="56"/>
  <c r="V64" i="56"/>
  <c r="J66" i="56"/>
  <c r="V68" i="56"/>
  <c r="V72" i="56"/>
  <c r="J74" i="56"/>
  <c r="V78" i="56"/>
  <c r="J87" i="56"/>
  <c r="X70" i="57"/>
  <c r="X46" i="58"/>
  <c r="Z46" i="58" s="1"/>
  <c r="F91" i="56"/>
  <c r="F82" i="56"/>
  <c r="F95" i="56"/>
  <c r="F89" i="56"/>
  <c r="F81" i="56"/>
  <c r="F80" i="56"/>
  <c r="F86" i="56"/>
  <c r="F79" i="56"/>
  <c r="F88" i="56"/>
  <c r="F85" i="56"/>
  <c r="F77" i="56"/>
  <c r="J29" i="56"/>
  <c r="F30" i="56"/>
  <c r="V33" i="56"/>
  <c r="F37" i="56"/>
  <c r="V37" i="56"/>
  <c r="J41" i="56"/>
  <c r="F42" i="56"/>
  <c r="V45" i="56"/>
  <c r="V49" i="56"/>
  <c r="J53" i="56"/>
  <c r="V57" i="56"/>
  <c r="J61" i="56"/>
  <c r="V65" i="56"/>
  <c r="F70" i="56"/>
  <c r="V73" i="56"/>
  <c r="J83" i="56"/>
  <c r="X88" i="56"/>
  <c r="Z88" i="56" s="1"/>
  <c r="J99" i="57"/>
  <c r="J92" i="57"/>
  <c r="J82" i="57"/>
  <c r="J96" i="57"/>
  <c r="J90" i="57"/>
  <c r="J86" i="57"/>
  <c r="J78" i="57"/>
  <c r="J74" i="57"/>
  <c r="J88" i="57"/>
  <c r="J83" i="57"/>
  <c r="J77" i="57"/>
  <c r="J76" i="57"/>
  <c r="J61" i="57"/>
  <c r="J53" i="57"/>
  <c r="J41" i="57"/>
  <c r="J29" i="57"/>
  <c r="J80" i="57"/>
  <c r="J79" i="57"/>
  <c r="J64" i="57"/>
  <c r="J58" i="57"/>
  <c r="J50" i="57"/>
  <c r="J40" i="57"/>
  <c r="J36" i="57"/>
  <c r="J28" i="57"/>
  <c r="J18" i="57"/>
  <c r="J87" i="57"/>
  <c r="J81" i="57"/>
  <c r="J75" i="57"/>
  <c r="J55" i="57"/>
  <c r="J47" i="57"/>
  <c r="J39" i="57"/>
  <c r="J35" i="57"/>
  <c r="J27" i="57"/>
  <c r="J23" i="57"/>
  <c r="J72" i="57"/>
  <c r="J71" i="57"/>
  <c r="J70" i="57"/>
  <c r="J60" i="57"/>
  <c r="J52" i="57"/>
  <c r="J46" i="57"/>
  <c r="J38" i="57"/>
  <c r="J34" i="57"/>
  <c r="H23" i="57"/>
  <c r="J73" i="57"/>
  <c r="J63" i="57"/>
  <c r="J57" i="57"/>
  <c r="J49" i="57"/>
  <c r="J45" i="57"/>
  <c r="J33" i="57"/>
  <c r="J25" i="57"/>
  <c r="J21" i="57"/>
  <c r="J85" i="57"/>
  <c r="J69" i="57"/>
  <c r="J68" i="57"/>
  <c r="J67" i="57"/>
  <c r="J66" i="57"/>
  <c r="J62" i="57"/>
  <c r="J54" i="57"/>
  <c r="J44" i="57"/>
  <c r="J32" i="57"/>
  <c r="J26" i="57"/>
  <c r="J20" i="57"/>
  <c r="N12" i="57"/>
  <c r="J94" i="57"/>
  <c r="J84" i="57"/>
  <c r="J59" i="57"/>
  <c r="J51" i="57"/>
  <c r="J43" i="57"/>
  <c r="J37" i="57"/>
  <c r="J31" i="57"/>
  <c r="J19" i="57"/>
  <c r="Z25" i="57"/>
  <c r="Z70" i="57"/>
  <c r="J16" i="55"/>
  <c r="V22" i="55"/>
  <c r="J30" i="55"/>
  <c r="J34" i="55"/>
  <c r="J95" i="56"/>
  <c r="J89" i="56"/>
  <c r="J81" i="56"/>
  <c r="J86" i="56"/>
  <c r="J80" i="56"/>
  <c r="J100" i="56"/>
  <c r="J93" i="56"/>
  <c r="J79" i="56"/>
  <c r="J88" i="56"/>
  <c r="J78" i="56"/>
  <c r="J85" i="56"/>
  <c r="J84" i="56"/>
  <c r="F19" i="56"/>
  <c r="F25" i="56"/>
  <c r="F26" i="56"/>
  <c r="V26" i="56"/>
  <c r="J30" i="56"/>
  <c r="F31" i="56"/>
  <c r="V34" i="56"/>
  <c r="V38" i="56"/>
  <c r="J42" i="56"/>
  <c r="F43" i="56"/>
  <c r="V46" i="56"/>
  <c r="J48" i="56"/>
  <c r="F51" i="56"/>
  <c r="F54" i="56"/>
  <c r="V54" i="56"/>
  <c r="J56" i="56"/>
  <c r="F59" i="56"/>
  <c r="F62" i="56"/>
  <c r="V62" i="56"/>
  <c r="J64" i="56"/>
  <c r="F67" i="56"/>
  <c r="J70" i="56"/>
  <c r="F71" i="56"/>
  <c r="F75" i="56"/>
  <c r="N37" i="57"/>
  <c r="J42" i="57"/>
  <c r="T17" i="58"/>
  <c r="Z15" i="58"/>
  <c r="V15" i="58"/>
  <c r="V27" i="57"/>
  <c r="V35" i="57"/>
  <c r="V39" i="57"/>
  <c r="V47" i="57"/>
  <c r="V55" i="57"/>
  <c r="N66" i="57"/>
  <c r="V79" i="57"/>
  <c r="V80" i="57"/>
  <c r="V81" i="57"/>
  <c r="F26" i="58"/>
  <c r="F40" i="58"/>
  <c r="R43" i="58"/>
  <c r="F50" i="58"/>
  <c r="F52" i="58"/>
  <c r="F62" i="58"/>
  <c r="V28" i="57"/>
  <c r="V36" i="57"/>
  <c r="V40" i="57"/>
  <c r="V52" i="57"/>
  <c r="V60" i="57"/>
  <c r="L75" i="57"/>
  <c r="N75" i="57" s="1"/>
  <c r="V75" i="57"/>
  <c r="V87" i="57"/>
  <c r="F77" i="58"/>
  <c r="F65" i="58"/>
  <c r="F49" i="58"/>
  <c r="F44" i="58"/>
  <c r="F41" i="58"/>
  <c r="F33" i="58"/>
  <c r="F29" i="58"/>
  <c r="F21" i="58"/>
  <c r="F46" i="58"/>
  <c r="F43" i="58"/>
  <c r="F39" i="58"/>
  <c r="F27" i="58"/>
  <c r="F70" i="58"/>
  <c r="F61" i="58"/>
  <c r="F57" i="58"/>
  <c r="F48" i="58"/>
  <c r="F45" i="58"/>
  <c r="F37" i="58"/>
  <c r="F25" i="58"/>
  <c r="F20" i="58"/>
  <c r="F19" i="58"/>
  <c r="F73" i="58"/>
  <c r="F67" i="58"/>
  <c r="F63" i="58"/>
  <c r="F60" i="58"/>
  <c r="F56" i="58"/>
  <c r="F51" i="58"/>
  <c r="F36" i="58"/>
  <c r="F31" i="58"/>
  <c r="F24" i="58"/>
  <c r="R54" i="58"/>
  <c r="R63" i="58"/>
  <c r="P12" i="57"/>
  <c r="V23" i="57"/>
  <c r="V25" i="57"/>
  <c r="L26" i="57"/>
  <c r="N26" i="57" s="1"/>
  <c r="V29" i="57"/>
  <c r="V41" i="57"/>
  <c r="V53" i="57"/>
  <c r="L54" i="57"/>
  <c r="X60" i="57"/>
  <c r="Z60" i="57" s="1"/>
  <c r="V61" i="57"/>
  <c r="L62" i="57"/>
  <c r="N62" i="57" s="1"/>
  <c r="V64" i="57"/>
  <c r="N70" i="57"/>
  <c r="V76" i="57"/>
  <c r="V77" i="57"/>
  <c r="D17" i="58"/>
  <c r="X19" i="58"/>
  <c r="Z19" i="58" s="1"/>
  <c r="N20" i="58"/>
  <c r="F30" i="58"/>
  <c r="R34" i="58"/>
  <c r="F38" i="58"/>
  <c r="Z42" i="58"/>
  <c r="F47" i="58"/>
  <c r="N48" i="58"/>
  <c r="R53" i="58"/>
  <c r="R56" i="58"/>
  <c r="R67" i="58"/>
  <c r="V86" i="57"/>
  <c r="V78" i="57"/>
  <c r="V74" i="57"/>
  <c r="V82" i="57"/>
  <c r="V70" i="57"/>
  <c r="V66" i="57"/>
  <c r="V18" i="57"/>
  <c r="V30" i="57"/>
  <c r="V42" i="57"/>
  <c r="V50" i="57"/>
  <c r="V58" i="57"/>
  <c r="V65" i="57"/>
  <c r="L83" i="57"/>
  <c r="N83" i="57" s="1"/>
  <c r="V83" i="57"/>
  <c r="V84" i="57"/>
  <c r="V94" i="57"/>
  <c r="R22" i="58"/>
  <c r="R26" i="58"/>
  <c r="R27" i="58"/>
  <c r="F32" i="58"/>
  <c r="F69" i="58"/>
  <c r="V19" i="57"/>
  <c r="V31" i="57"/>
  <c r="V43" i="57"/>
  <c r="V51" i="57"/>
  <c r="V59" i="57"/>
  <c r="V67" i="57"/>
  <c r="V90" i="57"/>
  <c r="H75" i="58"/>
  <c r="J75" i="58" s="1"/>
  <c r="R38" i="58"/>
  <c r="R39" i="58"/>
  <c r="L46" i="58"/>
  <c r="N46" i="58" s="1"/>
  <c r="R50" i="58"/>
  <c r="R51" i="58"/>
  <c r="F59" i="58"/>
  <c r="R60" i="58"/>
  <c r="V20" i="57"/>
  <c r="V32" i="57"/>
  <c r="V44" i="57"/>
  <c r="V48" i="57"/>
  <c r="V56" i="57"/>
  <c r="V68" i="57"/>
  <c r="V69" i="57"/>
  <c r="V92" i="57"/>
  <c r="R73" i="58"/>
  <c r="R45" i="58"/>
  <c r="R42" i="58"/>
  <c r="R37" i="58"/>
  <c r="R25" i="58"/>
  <c r="R69" i="58"/>
  <c r="R59" i="58"/>
  <c r="R47" i="58"/>
  <c r="R44" i="58"/>
  <c r="R35" i="58"/>
  <c r="R23" i="58"/>
  <c r="R66" i="58"/>
  <c r="R62" i="58"/>
  <c r="R58" i="58"/>
  <c r="R55" i="58"/>
  <c r="R77" i="58"/>
  <c r="R72" i="58"/>
  <c r="R65" i="58"/>
  <c r="R49" i="58"/>
  <c r="R46" i="58"/>
  <c r="R41" i="58"/>
  <c r="R33" i="58"/>
  <c r="R29" i="58"/>
  <c r="R21" i="58"/>
  <c r="R19" i="58"/>
  <c r="P17" i="58"/>
  <c r="R68" i="58"/>
  <c r="R64" i="58"/>
  <c r="R61" i="58"/>
  <c r="R57" i="58"/>
  <c r="R52" i="58"/>
  <c r="R40" i="58"/>
  <c r="R32" i="58"/>
  <c r="R28" i="58"/>
  <c r="X15" i="58"/>
  <c r="R20" i="58"/>
  <c r="N44" i="58"/>
  <c r="R48" i="58"/>
  <c r="F64" i="58"/>
  <c r="V33" i="57"/>
  <c r="V37" i="57"/>
  <c r="V45" i="57"/>
  <c r="V49" i="57"/>
  <c r="V57" i="57"/>
  <c r="V62" i="57"/>
  <c r="V63" i="57"/>
  <c r="V71" i="57"/>
  <c r="V72" i="57"/>
  <c r="V73" i="57"/>
  <c r="R15" i="58"/>
  <c r="F23" i="58"/>
  <c r="R24" i="58"/>
  <c r="R30" i="58"/>
  <c r="X31" i="58"/>
  <c r="Z31" i="58" s="1"/>
  <c r="F34" i="58"/>
  <c r="F35" i="58"/>
  <c r="F42" i="58"/>
  <c r="F53" i="58"/>
  <c r="F58" i="58"/>
  <c r="F68" i="58"/>
  <c r="J62" i="58"/>
  <c r="J66" i="58"/>
  <c r="X69" i="58"/>
  <c r="Z69" i="58" s="1"/>
  <c r="V70" i="58"/>
  <c r="F16" i="59"/>
  <c r="F20" i="59"/>
  <c r="J24" i="59"/>
  <c r="J23" i="58"/>
  <c r="V27" i="58"/>
  <c r="V31" i="58"/>
  <c r="J35" i="58"/>
  <c r="V39" i="58"/>
  <c r="V43" i="58"/>
  <c r="J47" i="58"/>
  <c r="V51" i="58"/>
  <c r="J53" i="58"/>
  <c r="J59" i="58"/>
  <c r="V63" i="58"/>
  <c r="V67" i="58"/>
  <c r="J69" i="58"/>
  <c r="P18" i="59"/>
  <c r="J27" i="59"/>
  <c r="J31" i="59"/>
  <c r="J34" i="59"/>
  <c r="V20" i="58"/>
  <c r="J24" i="58"/>
  <c r="V28" i="58"/>
  <c r="V32" i="58"/>
  <c r="J36" i="58"/>
  <c r="V40" i="58"/>
  <c r="J42" i="58"/>
  <c r="V48" i="58"/>
  <c r="V52" i="58"/>
  <c r="J56" i="58"/>
  <c r="J60" i="58"/>
  <c r="V64" i="58"/>
  <c r="V68" i="58"/>
  <c r="J73" i="58"/>
  <c r="J16" i="59"/>
  <c r="J20" i="59"/>
  <c r="F22" i="59"/>
  <c r="L34" i="59"/>
  <c r="V57" i="58"/>
  <c r="V61" i="58"/>
  <c r="J63" i="58"/>
  <c r="V65" i="58"/>
  <c r="J67" i="58"/>
  <c r="D72" i="58"/>
  <c r="L72" i="58" s="1"/>
  <c r="N72" i="58" s="1"/>
  <c r="V77" i="58"/>
  <c r="L12" i="59"/>
  <c r="F15" i="59"/>
  <c r="V15" i="59"/>
  <c r="D18" i="59"/>
  <c r="T18" i="59"/>
  <c r="R21" i="59"/>
  <c r="F25" i="59"/>
  <c r="V25" i="59"/>
  <c r="F29" i="59"/>
  <c r="V29" i="59"/>
  <c r="F33" i="59"/>
  <c r="V33" i="59"/>
  <c r="F36" i="59"/>
  <c r="V36" i="59"/>
  <c r="J20" i="58"/>
  <c r="V22" i="58"/>
  <c r="J26" i="58"/>
  <c r="V30" i="58"/>
  <c r="V34" i="58"/>
  <c r="J38" i="58"/>
  <c r="V46" i="58"/>
  <c r="J48" i="58"/>
  <c r="V50" i="58"/>
  <c r="J54" i="58"/>
  <c r="V58" i="58"/>
  <c r="V62" i="58"/>
  <c r="V66" i="58"/>
  <c r="J70" i="58"/>
  <c r="V72" i="58"/>
  <c r="N12" i="59"/>
  <c r="F18" i="59"/>
  <c r="V18" i="59"/>
  <c r="J22" i="59"/>
  <c r="R24" i="59"/>
  <c r="J15" i="59"/>
  <c r="H18" i="59"/>
  <c r="F21" i="59"/>
  <c r="V21" i="59"/>
  <c r="J25" i="59"/>
  <c r="R27" i="59"/>
  <c r="J29" i="59"/>
  <c r="R31" i="59"/>
  <c r="J33" i="59"/>
  <c r="J36" i="59"/>
  <c r="V24" i="58"/>
  <c r="J28" i="58"/>
  <c r="J32" i="58"/>
  <c r="V36" i="58"/>
  <c r="J40" i="58"/>
  <c r="V44" i="58"/>
  <c r="J46" i="58"/>
  <c r="J52" i="58"/>
  <c r="V56" i="58"/>
  <c r="V60" i="58"/>
  <c r="J64" i="58"/>
  <c r="J68" i="58"/>
  <c r="J72" i="58"/>
  <c r="J18" i="59"/>
  <c r="F24" i="59"/>
  <c r="V24" i="59"/>
  <c r="V73" i="58"/>
  <c r="X12" i="59"/>
  <c r="F27" i="59"/>
  <c r="V27" i="59"/>
  <c r="F31" i="59"/>
  <c r="V31" i="59"/>
  <c r="H27" i="36" l="1"/>
  <c r="H31" i="36" s="1"/>
  <c r="T27" i="59"/>
  <c r="Z18" i="59"/>
  <c r="P106" i="28"/>
  <c r="D32" i="21"/>
  <c r="L16" i="21"/>
  <c r="X17" i="58"/>
  <c r="P75" i="58"/>
  <c r="F72" i="58"/>
  <c r="R17" i="58"/>
  <c r="T99" i="57"/>
  <c r="R78" i="56"/>
  <c r="R85" i="56"/>
  <c r="R91" i="56"/>
  <c r="R84" i="56"/>
  <c r="R87" i="56"/>
  <c r="R83" i="56"/>
  <c r="R76" i="56"/>
  <c r="R82" i="56"/>
  <c r="R95" i="56"/>
  <c r="R89" i="56"/>
  <c r="R86" i="56"/>
  <c r="R81" i="56"/>
  <c r="R63" i="56"/>
  <c r="R60" i="56"/>
  <c r="R55" i="56"/>
  <c r="R52" i="56"/>
  <c r="R47" i="56"/>
  <c r="R39" i="56"/>
  <c r="R35" i="56"/>
  <c r="R27" i="56"/>
  <c r="R25" i="56"/>
  <c r="P23" i="56"/>
  <c r="R77" i="56"/>
  <c r="R46" i="56"/>
  <c r="R38" i="56"/>
  <c r="R34" i="56"/>
  <c r="R88" i="56"/>
  <c r="R73" i="56"/>
  <c r="R65" i="56"/>
  <c r="R62" i="56"/>
  <c r="R57" i="56"/>
  <c r="R54" i="56"/>
  <c r="R49" i="56"/>
  <c r="R45" i="56"/>
  <c r="R33" i="56"/>
  <c r="R26" i="56"/>
  <c r="R21" i="56"/>
  <c r="R72" i="56"/>
  <c r="R68" i="56"/>
  <c r="R44" i="56"/>
  <c r="R37" i="56"/>
  <c r="R32" i="56"/>
  <c r="R20" i="56"/>
  <c r="X12" i="56"/>
  <c r="Z12" i="56" s="1"/>
  <c r="R75" i="56"/>
  <c r="R71" i="56"/>
  <c r="R67" i="56"/>
  <c r="R64" i="56"/>
  <c r="R59" i="56"/>
  <c r="R56" i="56"/>
  <c r="R51" i="56"/>
  <c r="R48" i="56"/>
  <c r="R43" i="56"/>
  <c r="R31" i="56"/>
  <c r="R19" i="56"/>
  <c r="R80" i="56"/>
  <c r="R74" i="56"/>
  <c r="R66" i="56"/>
  <c r="R61" i="56"/>
  <c r="R58" i="56"/>
  <c r="R53" i="56"/>
  <c r="R50" i="56"/>
  <c r="R41" i="56"/>
  <c r="R29" i="56"/>
  <c r="R18" i="56"/>
  <c r="R69" i="56"/>
  <c r="R36" i="56"/>
  <c r="R70" i="56"/>
  <c r="R30" i="56"/>
  <c r="R79" i="56"/>
  <c r="R42" i="56"/>
  <c r="R28" i="56"/>
  <c r="R40" i="56"/>
  <c r="R23" i="56"/>
  <c r="D42" i="52"/>
  <c r="P29" i="51"/>
  <c r="X17" i="51"/>
  <c r="H29" i="51"/>
  <c r="N17" i="51"/>
  <c r="R89" i="42"/>
  <c r="R86" i="42"/>
  <c r="R81" i="42"/>
  <c r="R73" i="42"/>
  <c r="R70" i="42"/>
  <c r="R62" i="42"/>
  <c r="R57" i="42"/>
  <c r="R45" i="42"/>
  <c r="R37" i="42"/>
  <c r="R33" i="42"/>
  <c r="R92" i="42"/>
  <c r="R80" i="42"/>
  <c r="R65" i="42"/>
  <c r="R53" i="42"/>
  <c r="R48" i="42"/>
  <c r="R44" i="42"/>
  <c r="R32" i="42"/>
  <c r="R88" i="42"/>
  <c r="R83" i="42"/>
  <c r="R79" i="42"/>
  <c r="R72" i="42"/>
  <c r="R59" i="42"/>
  <c r="R56" i="42"/>
  <c r="R43" i="42"/>
  <c r="R87" i="42"/>
  <c r="R84" i="42"/>
  <c r="R75" i="42"/>
  <c r="R71" i="42"/>
  <c r="R67" i="42"/>
  <c r="R63" i="42"/>
  <c r="R60" i="42"/>
  <c r="R55" i="42"/>
  <c r="R39" i="42"/>
  <c r="R35" i="42"/>
  <c r="R74" i="42"/>
  <c r="R66" i="42"/>
  <c r="R54" i="42"/>
  <c r="R51" i="42"/>
  <c r="R46" i="42"/>
  <c r="R38" i="42"/>
  <c r="R34" i="42"/>
  <c r="R76" i="42"/>
  <c r="R61" i="42"/>
  <c r="R42" i="42"/>
  <c r="R19" i="42"/>
  <c r="R85" i="42"/>
  <c r="R49" i="42"/>
  <c r="R30" i="42"/>
  <c r="R77" i="42"/>
  <c r="R58" i="42"/>
  <c r="R31" i="42"/>
  <c r="R29" i="42"/>
  <c r="R18" i="42"/>
  <c r="R82" i="42"/>
  <c r="R68" i="42"/>
  <c r="R52" i="42"/>
  <c r="R50" i="42"/>
  <c r="R28" i="42"/>
  <c r="R91" i="42"/>
  <c r="R41" i="42"/>
  <c r="R26" i="42"/>
  <c r="R21" i="42"/>
  <c r="R47" i="42"/>
  <c r="R36" i="42"/>
  <c r="R20" i="42"/>
  <c r="X12" i="42"/>
  <c r="Z12" i="42" s="1"/>
  <c r="R69" i="42"/>
  <c r="R64" i="42"/>
  <c r="P23" i="42"/>
  <c r="R25" i="42"/>
  <c r="R27" i="42"/>
  <c r="R78" i="42"/>
  <c r="R96" i="42"/>
  <c r="R40" i="42"/>
  <c r="D28" i="47"/>
  <c r="L16" i="47"/>
  <c r="T28" i="46"/>
  <c r="Z16" i="46"/>
  <c r="H32" i="46"/>
  <c r="D113" i="33"/>
  <c r="L40" i="33"/>
  <c r="N40" i="33" s="1"/>
  <c r="F40" i="33"/>
  <c r="R115" i="33"/>
  <c r="R101" i="33"/>
  <c r="R97" i="33"/>
  <c r="R93" i="33"/>
  <c r="R89" i="33"/>
  <c r="R77" i="33"/>
  <c r="R74" i="33"/>
  <c r="R69" i="33"/>
  <c r="R66" i="33"/>
  <c r="R57" i="33"/>
  <c r="R107" i="33"/>
  <c r="R96" i="33"/>
  <c r="R85" i="33"/>
  <c r="R80" i="33"/>
  <c r="R109" i="33"/>
  <c r="R103" i="33"/>
  <c r="R100" i="33"/>
  <c r="R92" i="33"/>
  <c r="R88" i="33"/>
  <c r="R95" i="33"/>
  <c r="R82" i="33"/>
  <c r="R79" i="33"/>
  <c r="R62" i="33"/>
  <c r="R104" i="33"/>
  <c r="R99" i="33"/>
  <c r="R91" i="33"/>
  <c r="R87" i="33"/>
  <c r="R75" i="33"/>
  <c r="R72" i="33"/>
  <c r="R67" i="33"/>
  <c r="R64" i="33"/>
  <c r="R59" i="33"/>
  <c r="R105" i="33"/>
  <c r="R98" i="33"/>
  <c r="R86" i="33"/>
  <c r="R76" i="33"/>
  <c r="R73" i="33"/>
  <c r="R71" i="33"/>
  <c r="R70" i="33"/>
  <c r="R68" i="33"/>
  <c r="R45" i="33"/>
  <c r="R33" i="33"/>
  <c r="R25" i="33"/>
  <c r="R83" i="33"/>
  <c r="R58" i="33"/>
  <c r="R52" i="33"/>
  <c r="R44" i="33"/>
  <c r="R42" i="33"/>
  <c r="P40" i="33"/>
  <c r="R32" i="33"/>
  <c r="R24" i="33"/>
  <c r="R108" i="33"/>
  <c r="R84" i="33"/>
  <c r="R65" i="33"/>
  <c r="R61" i="33"/>
  <c r="R60" i="33"/>
  <c r="R56" i="33"/>
  <c r="R51" i="33"/>
  <c r="R31" i="33"/>
  <c r="R23" i="33"/>
  <c r="R111" i="33"/>
  <c r="R110" i="33"/>
  <c r="R78" i="33"/>
  <c r="R55" i="33"/>
  <c r="R54" i="33"/>
  <c r="R50" i="33"/>
  <c r="R43" i="33"/>
  <c r="R38" i="33"/>
  <c r="R30" i="33"/>
  <c r="R22" i="33"/>
  <c r="X12" i="33"/>
  <c r="Z12" i="33" s="1"/>
  <c r="R102" i="33"/>
  <c r="R94" i="33"/>
  <c r="R63" i="33"/>
  <c r="R49" i="33"/>
  <c r="R37" i="33"/>
  <c r="R29" i="33"/>
  <c r="R21" i="33"/>
  <c r="R48" i="33"/>
  <c r="R26" i="33"/>
  <c r="R20" i="33"/>
  <c r="R27" i="33"/>
  <c r="R34" i="33"/>
  <c r="R28" i="33"/>
  <c r="R81" i="33"/>
  <c r="R35" i="33"/>
  <c r="R46" i="33"/>
  <c r="R36" i="33"/>
  <c r="R47" i="33"/>
  <c r="R53" i="33"/>
  <c r="R19" i="33"/>
  <c r="R90" i="33"/>
  <c r="Z22" i="30"/>
  <c r="T59" i="30"/>
  <c r="H68" i="25"/>
  <c r="N16" i="25"/>
  <c r="P59" i="26"/>
  <c r="X16" i="26"/>
  <c r="D68" i="25"/>
  <c r="L16" i="25"/>
  <c r="H75" i="18"/>
  <c r="H31" i="20"/>
  <c r="N26" i="20"/>
  <c r="T82" i="18"/>
  <c r="F120" i="14"/>
  <c r="F118" i="14"/>
  <c r="F113" i="14"/>
  <c r="F101" i="14"/>
  <c r="F96" i="14"/>
  <c r="F80" i="14"/>
  <c r="F77" i="14"/>
  <c r="F72" i="14"/>
  <c r="F69" i="14"/>
  <c r="F57" i="14"/>
  <c r="F52" i="14"/>
  <c r="F45" i="14"/>
  <c r="F33" i="14"/>
  <c r="F122" i="14"/>
  <c r="F110" i="14"/>
  <c r="F99" i="14"/>
  <c r="F95" i="14"/>
  <c r="F91" i="14"/>
  <c r="F83" i="14"/>
  <c r="F79" i="14"/>
  <c r="F74" i="14"/>
  <c r="F71" i="14"/>
  <c r="F59" i="14"/>
  <c r="F54" i="14"/>
  <c r="F51" i="14"/>
  <c r="F43" i="14"/>
  <c r="F39" i="14"/>
  <c r="F31" i="14"/>
  <c r="F22" i="14"/>
  <c r="F119" i="14"/>
  <c r="F106" i="14"/>
  <c r="F98" i="14"/>
  <c r="F94" i="14"/>
  <c r="F90" i="14"/>
  <c r="F86" i="14"/>
  <c r="F82" i="14"/>
  <c r="F65" i="14"/>
  <c r="F62" i="14"/>
  <c r="F50" i="14"/>
  <c r="F42" i="14"/>
  <c r="F38" i="14"/>
  <c r="F27" i="14"/>
  <c r="F112" i="14"/>
  <c r="F109" i="14"/>
  <c r="F105" i="14"/>
  <c r="F97" i="14"/>
  <c r="F89" i="14"/>
  <c r="F81" i="14"/>
  <c r="F76" i="14"/>
  <c r="F73" i="14"/>
  <c r="F56" i="14"/>
  <c r="F53" i="14"/>
  <c r="F49" i="14"/>
  <c r="F37" i="14"/>
  <c r="D27" i="14"/>
  <c r="F25" i="14"/>
  <c r="F126" i="14"/>
  <c r="F121" i="14"/>
  <c r="F115" i="14"/>
  <c r="F108" i="14"/>
  <c r="F104" i="14"/>
  <c r="F88" i="14"/>
  <c r="F67" i="14"/>
  <c r="F64" i="14"/>
  <c r="F48" i="14"/>
  <c r="F36" i="14"/>
  <c r="F24" i="14"/>
  <c r="F111" i="14"/>
  <c r="F103" i="14"/>
  <c r="F78" i="14"/>
  <c r="F75" i="14"/>
  <c r="F70" i="14"/>
  <c r="F58" i="14"/>
  <c r="F55" i="14"/>
  <c r="F47" i="14"/>
  <c r="F35" i="14"/>
  <c r="F30" i="14"/>
  <c r="F29" i="14"/>
  <c r="F23" i="14"/>
  <c r="F114" i="14"/>
  <c r="F102" i="14"/>
  <c r="F93" i="14"/>
  <c r="F85" i="14"/>
  <c r="F66" i="14"/>
  <c r="F61" i="14"/>
  <c r="F46" i="14"/>
  <c r="F41" i="14"/>
  <c r="F34" i="14"/>
  <c r="F107" i="14"/>
  <c r="F84" i="14"/>
  <c r="F63" i="14"/>
  <c r="L12" i="14"/>
  <c r="N12" i="14" s="1"/>
  <c r="F40" i="14"/>
  <c r="F68" i="14"/>
  <c r="F60" i="14"/>
  <c r="F92" i="14"/>
  <c r="F116" i="14"/>
  <c r="F87" i="14"/>
  <c r="F44" i="14"/>
  <c r="F100" i="14"/>
  <c r="F32" i="14"/>
  <c r="F114" i="16"/>
  <c r="F102" i="16"/>
  <c r="F91" i="16"/>
  <c r="F87" i="16"/>
  <c r="F83" i="16"/>
  <c r="F79" i="16"/>
  <c r="F75" i="16"/>
  <c r="F63" i="16"/>
  <c r="F58" i="16"/>
  <c r="F43" i="16"/>
  <c r="F38" i="16"/>
  <c r="F31" i="16"/>
  <c r="F111" i="16"/>
  <c r="F104" i="16"/>
  <c r="F101" i="16"/>
  <c r="F97" i="16"/>
  <c r="F89" i="16"/>
  <c r="F81" i="16"/>
  <c r="F60" i="16"/>
  <c r="F57" i="16"/>
  <c r="F41" i="16"/>
  <c r="F37" i="16"/>
  <c r="F29" i="16"/>
  <c r="F118" i="16"/>
  <c r="F113" i="16"/>
  <c r="F107" i="16"/>
  <c r="F100" i="16"/>
  <c r="F96" i="16"/>
  <c r="F71" i="16"/>
  <c r="F68" i="16"/>
  <c r="F56" i="16"/>
  <c r="F51" i="16"/>
  <c r="F48" i="16"/>
  <c r="F40" i="16"/>
  <c r="F36" i="16"/>
  <c r="F28" i="16"/>
  <c r="F19" i="16"/>
  <c r="F103" i="16"/>
  <c r="F95" i="16"/>
  <c r="F86" i="16"/>
  <c r="F78" i="16"/>
  <c r="F62" i="16"/>
  <c r="F59" i="16"/>
  <c r="F47" i="16"/>
  <c r="F39" i="16"/>
  <c r="F35" i="16"/>
  <c r="F24" i="16"/>
  <c r="F106" i="16"/>
  <c r="F94" i="16"/>
  <c r="F73" i="16"/>
  <c r="F70" i="16"/>
  <c r="F65" i="16"/>
  <c r="F53" i="16"/>
  <c r="F50" i="16"/>
  <c r="F46" i="16"/>
  <c r="F34" i="16"/>
  <c r="D24" i="16"/>
  <c r="F22" i="16"/>
  <c r="L12" i="16"/>
  <c r="N12" i="16" s="1"/>
  <c r="F112" i="16"/>
  <c r="F110" i="16"/>
  <c r="F105" i="16"/>
  <c r="F93" i="16"/>
  <c r="F88" i="16"/>
  <c r="F85" i="16"/>
  <c r="F80" i="16"/>
  <c r="F77" i="16"/>
  <c r="F61" i="16"/>
  <c r="F45" i="16"/>
  <c r="F33" i="16"/>
  <c r="F21" i="16"/>
  <c r="F108" i="16"/>
  <c r="F99" i="16"/>
  <c r="F92" i="16"/>
  <c r="F84" i="16"/>
  <c r="F76" i="16"/>
  <c r="F72" i="16"/>
  <c r="F67" i="16"/>
  <c r="F64" i="16"/>
  <c r="F55" i="16"/>
  <c r="F52" i="16"/>
  <c r="F44" i="16"/>
  <c r="F32" i="16"/>
  <c r="F27" i="16"/>
  <c r="F26" i="16"/>
  <c r="F20" i="16"/>
  <c r="F54" i="16"/>
  <c r="F49" i="16"/>
  <c r="F90" i="16"/>
  <c r="F98" i="16"/>
  <c r="F42" i="16"/>
  <c r="F69" i="16"/>
  <c r="F30" i="16"/>
  <c r="F82" i="16"/>
  <c r="F74" i="16"/>
  <c r="F66" i="16"/>
  <c r="F123" i="11"/>
  <c r="F111" i="11"/>
  <c r="F108" i="11"/>
  <c r="F103" i="11"/>
  <c r="F96" i="11"/>
  <c r="F92" i="11"/>
  <c r="F80" i="11"/>
  <c r="F56" i="11"/>
  <c r="F52" i="11"/>
  <c r="F44" i="11"/>
  <c r="F32" i="11"/>
  <c r="F24" i="11"/>
  <c r="F19" i="11"/>
  <c r="F120" i="11"/>
  <c r="F107" i="11"/>
  <c r="F99" i="11"/>
  <c r="F95" i="11"/>
  <c r="F91" i="11"/>
  <c r="F86" i="11"/>
  <c r="F83" i="11"/>
  <c r="F74" i="11"/>
  <c r="F71" i="11"/>
  <c r="F66" i="11"/>
  <c r="F63" i="11"/>
  <c r="F55" i="11"/>
  <c r="F51" i="11"/>
  <c r="F31" i="11"/>
  <c r="F23" i="11"/>
  <c r="F113" i="11"/>
  <c r="F110" i="11"/>
  <c r="F106" i="11"/>
  <c r="F102" i="11"/>
  <c r="F98" i="11"/>
  <c r="F94" i="11"/>
  <c r="F62" i="11"/>
  <c r="F54" i="11"/>
  <c r="F50" i="11"/>
  <c r="D40" i="11"/>
  <c r="F38" i="11"/>
  <c r="F30" i="11"/>
  <c r="F22" i="11"/>
  <c r="L12" i="11"/>
  <c r="N12" i="11" s="1"/>
  <c r="F127" i="11"/>
  <c r="F122" i="11"/>
  <c r="F116" i="11"/>
  <c r="F105" i="11"/>
  <c r="F101" i="11"/>
  <c r="F88" i="11"/>
  <c r="F85" i="11"/>
  <c r="F76" i="11"/>
  <c r="F73" i="11"/>
  <c r="F68" i="11"/>
  <c r="F65" i="11"/>
  <c r="F61" i="11"/>
  <c r="F49" i="11"/>
  <c r="F37" i="11"/>
  <c r="F29" i="11"/>
  <c r="F21" i="11"/>
  <c r="F112" i="11"/>
  <c r="F104" i="11"/>
  <c r="F79" i="11"/>
  <c r="F60" i="11"/>
  <c r="F48" i="11"/>
  <c r="F43" i="11"/>
  <c r="F42" i="11"/>
  <c r="F36" i="11"/>
  <c r="F28" i="11"/>
  <c r="F20" i="11"/>
  <c r="F115" i="11"/>
  <c r="F90" i="11"/>
  <c r="F87" i="11"/>
  <c r="F82" i="11"/>
  <c r="F75" i="11"/>
  <c r="F70" i="11"/>
  <c r="F67" i="11"/>
  <c r="F59" i="11"/>
  <c r="F47" i="11"/>
  <c r="F35" i="11"/>
  <c r="F27" i="11"/>
  <c r="F121" i="11"/>
  <c r="F119" i="11"/>
  <c r="F114" i="11"/>
  <c r="F109" i="11"/>
  <c r="F97" i="11"/>
  <c r="F93" i="11"/>
  <c r="F78" i="11"/>
  <c r="F58" i="11"/>
  <c r="F53" i="11"/>
  <c r="F46" i="11"/>
  <c r="F34" i="11"/>
  <c r="F26" i="11"/>
  <c r="F72" i="11"/>
  <c r="F64" i="11"/>
  <c r="F77" i="11"/>
  <c r="F117" i="11"/>
  <c r="F84" i="11"/>
  <c r="F69" i="11"/>
  <c r="F81" i="11"/>
  <c r="F57" i="11"/>
  <c r="F89" i="11"/>
  <c r="F25" i="11"/>
  <c r="F45" i="11"/>
  <c r="F33" i="11"/>
  <c r="F100" i="11"/>
  <c r="H122" i="15"/>
  <c r="J118" i="15"/>
  <c r="T131" i="14"/>
  <c r="D130" i="13"/>
  <c r="L42" i="13"/>
  <c r="N42" i="13" s="1"/>
  <c r="F144" i="7"/>
  <c r="T163" i="8"/>
  <c r="H178" i="3"/>
  <c r="H97" i="5"/>
  <c r="N16" i="5"/>
  <c r="T160" i="6"/>
  <c r="F174" i="3"/>
  <c r="F135" i="3"/>
  <c r="F126" i="3"/>
  <c r="F99" i="3"/>
  <c r="F87" i="3"/>
  <c r="F75" i="3"/>
  <c r="F180" i="3"/>
  <c r="F175" i="3"/>
  <c r="F166" i="3"/>
  <c r="F162" i="3"/>
  <c r="F150" i="3"/>
  <c r="F145" i="3"/>
  <c r="F106" i="3"/>
  <c r="F101" i="3"/>
  <c r="F94" i="3"/>
  <c r="F89" i="3"/>
  <c r="F82" i="3"/>
  <c r="F70" i="3"/>
  <c r="F58" i="3"/>
  <c r="F50" i="3"/>
  <c r="F42" i="3"/>
  <c r="F34" i="3"/>
  <c r="F118" i="3"/>
  <c r="F55" i="3"/>
  <c r="F39" i="3"/>
  <c r="F172" i="3"/>
  <c r="F156" i="3"/>
  <c r="F149" i="3"/>
  <c r="F141" i="3"/>
  <c r="F136" i="3"/>
  <c r="F124" i="3"/>
  <c r="F121" i="3"/>
  <c r="F116" i="3"/>
  <c r="F113" i="3"/>
  <c r="F109" i="3"/>
  <c r="F97" i="3"/>
  <c r="F81" i="3"/>
  <c r="F77" i="3"/>
  <c r="F69" i="3"/>
  <c r="F57" i="3"/>
  <c r="F49" i="3"/>
  <c r="F41" i="3"/>
  <c r="F33" i="3"/>
  <c r="F184" i="3"/>
  <c r="F147" i="3"/>
  <c r="F139" i="3"/>
  <c r="F169" i="3"/>
  <c r="F159" i="3"/>
  <c r="F148" i="3"/>
  <c r="F144" i="3"/>
  <c r="F140" i="3"/>
  <c r="F131" i="3"/>
  <c r="F112" i="3"/>
  <c r="F108" i="3"/>
  <c r="F103" i="3"/>
  <c r="F100" i="3"/>
  <c r="F96" i="3"/>
  <c r="F91" i="3"/>
  <c r="F88" i="3"/>
  <c r="F80" i="3"/>
  <c r="F76" i="3"/>
  <c r="F68" i="3"/>
  <c r="F56" i="3"/>
  <c r="F48" i="3"/>
  <c r="F40" i="3"/>
  <c r="F32" i="3"/>
  <c r="F27" i="3"/>
  <c r="F155" i="3"/>
  <c r="F143" i="3"/>
  <c r="F123" i="3"/>
  <c r="F111" i="3"/>
  <c r="F79" i="3"/>
  <c r="F47" i="3"/>
  <c r="F31" i="3"/>
  <c r="F171" i="3"/>
  <c r="F165" i="3"/>
  <c r="F161" i="3"/>
  <c r="F158" i="3"/>
  <c r="F154" i="3"/>
  <c r="F146" i="3"/>
  <c r="F138" i="3"/>
  <c r="F134" i="3"/>
  <c r="F130" i="3"/>
  <c r="F105" i="3"/>
  <c r="F102" i="3"/>
  <c r="F93" i="3"/>
  <c r="F90" i="3"/>
  <c r="F86" i="3"/>
  <c r="F74" i="3"/>
  <c r="D64" i="3"/>
  <c r="F62" i="3"/>
  <c r="F54" i="3"/>
  <c r="F46" i="3"/>
  <c r="F38" i="3"/>
  <c r="F30" i="3"/>
  <c r="L12" i="3"/>
  <c r="N12" i="3" s="1"/>
  <c r="F173" i="3"/>
  <c r="F152" i="3"/>
  <c r="F132" i="3"/>
  <c r="F95" i="3"/>
  <c r="F66" i="3"/>
  <c r="F36" i="3"/>
  <c r="F28" i="3"/>
  <c r="F185" i="3"/>
  <c r="F170" i="3"/>
  <c r="F168" i="3"/>
  <c r="F151" i="3"/>
  <c r="F142" i="3"/>
  <c r="F122" i="3"/>
  <c r="F119" i="3"/>
  <c r="F114" i="3"/>
  <c r="F110" i="3"/>
  <c r="F83" i="3"/>
  <c r="F78" i="3"/>
  <c r="F71" i="3"/>
  <c r="F35" i="3"/>
  <c r="F176" i="3"/>
  <c r="F157" i="3"/>
  <c r="F153" i="3"/>
  <c r="F137" i="3"/>
  <c r="F133" i="3"/>
  <c r="F129" i="3"/>
  <c r="F125" i="3"/>
  <c r="F120" i="3"/>
  <c r="F117" i="3"/>
  <c r="F85" i="3"/>
  <c r="F73" i="3"/>
  <c r="F61" i="3"/>
  <c r="F53" i="3"/>
  <c r="F45" i="3"/>
  <c r="F37" i="3"/>
  <c r="F29" i="3"/>
  <c r="F164" i="3"/>
  <c r="F160" i="3"/>
  <c r="F128" i="3"/>
  <c r="F107" i="3"/>
  <c r="F104" i="3"/>
  <c r="F92" i="3"/>
  <c r="F84" i="3"/>
  <c r="F72" i="3"/>
  <c r="F67" i="3"/>
  <c r="F60" i="3"/>
  <c r="F52" i="3"/>
  <c r="F44" i="3"/>
  <c r="F163" i="3"/>
  <c r="F127" i="3"/>
  <c r="F98" i="3"/>
  <c r="F59" i="3"/>
  <c r="F51" i="3"/>
  <c r="F43" i="3"/>
  <c r="F115" i="3"/>
  <c r="H91" i="29"/>
  <c r="T81" i="19"/>
  <c r="H27" i="59"/>
  <c r="N18" i="59"/>
  <c r="X16" i="53"/>
  <c r="P60" i="53"/>
  <c r="N16" i="43"/>
  <c r="H26" i="43"/>
  <c r="H86" i="44"/>
  <c r="T27" i="36"/>
  <c r="Z18" i="36"/>
  <c r="L23" i="48"/>
  <c r="D97" i="48"/>
  <c r="P89" i="39"/>
  <c r="X21" i="39"/>
  <c r="H25" i="38"/>
  <c r="J19" i="38"/>
  <c r="L16" i="43"/>
  <c r="R82" i="34"/>
  <c r="R77" i="34"/>
  <c r="R62" i="34"/>
  <c r="R50" i="34"/>
  <c r="R47" i="34"/>
  <c r="R42" i="34"/>
  <c r="R30" i="34"/>
  <c r="R19" i="34"/>
  <c r="R73" i="34"/>
  <c r="R65" i="34"/>
  <c r="R61" i="34"/>
  <c r="R58" i="34"/>
  <c r="R41" i="34"/>
  <c r="R29" i="34"/>
  <c r="R72" i="34"/>
  <c r="R52" i="34"/>
  <c r="R49" i="34"/>
  <c r="R40" i="34"/>
  <c r="R28" i="34"/>
  <c r="R75" i="34"/>
  <c r="R71" i="34"/>
  <c r="R67" i="34"/>
  <c r="R64" i="34"/>
  <c r="R60" i="34"/>
  <c r="R55" i="34"/>
  <c r="R39" i="34"/>
  <c r="R35" i="34"/>
  <c r="R27" i="34"/>
  <c r="R25" i="34"/>
  <c r="P23" i="34"/>
  <c r="R53" i="34"/>
  <c r="R48" i="34"/>
  <c r="R44" i="34"/>
  <c r="R32" i="34"/>
  <c r="R20" i="34"/>
  <c r="X12" i="34"/>
  <c r="Z12" i="34" s="1"/>
  <c r="R63" i="34"/>
  <c r="R54" i="34"/>
  <c r="R36" i="34"/>
  <c r="R31" i="34"/>
  <c r="R21" i="34"/>
  <c r="R43" i="34"/>
  <c r="R38" i="34"/>
  <c r="R37" i="34"/>
  <c r="R66" i="34"/>
  <c r="R51" i="34"/>
  <c r="R59" i="34"/>
  <c r="R56" i="34"/>
  <c r="R26" i="34"/>
  <c r="R78" i="34"/>
  <c r="R68" i="34"/>
  <c r="R70" i="34"/>
  <c r="R69" i="34"/>
  <c r="R34" i="34"/>
  <c r="R33" i="34"/>
  <c r="R74" i="34"/>
  <c r="R46" i="34"/>
  <c r="R45" i="34"/>
  <c r="R57" i="34"/>
  <c r="F107" i="33"/>
  <c r="Z16" i="24"/>
  <c r="T77" i="24"/>
  <c r="P77" i="22"/>
  <c r="X16" i="22"/>
  <c r="H81" i="19"/>
  <c r="F91" i="17"/>
  <c r="F84" i="17"/>
  <c r="F80" i="17"/>
  <c r="F76" i="17"/>
  <c r="F72" i="17"/>
  <c r="F94" i="17"/>
  <c r="F83" i="17"/>
  <c r="F75" i="17"/>
  <c r="F71" i="17"/>
  <c r="F66" i="17"/>
  <c r="F63" i="17"/>
  <c r="F58" i="17"/>
  <c r="F90" i="17"/>
  <c r="F82" i="17"/>
  <c r="F96" i="17"/>
  <c r="F93" i="17"/>
  <c r="F89" i="17"/>
  <c r="F68" i="17"/>
  <c r="F65" i="17"/>
  <c r="F60" i="17"/>
  <c r="F57" i="17"/>
  <c r="F92" i="17"/>
  <c r="F88" i="17"/>
  <c r="F79" i="17"/>
  <c r="F100" i="17"/>
  <c r="F95" i="17"/>
  <c r="F87" i="17"/>
  <c r="F74" i="17"/>
  <c r="F70" i="17"/>
  <c r="F67" i="17"/>
  <c r="F62" i="17"/>
  <c r="F59" i="17"/>
  <c r="F104" i="17"/>
  <c r="F98" i="17"/>
  <c r="F86" i="17"/>
  <c r="F81" i="17"/>
  <c r="F78" i="17"/>
  <c r="F97" i="17"/>
  <c r="F85" i="17"/>
  <c r="F77" i="17"/>
  <c r="F73" i="17"/>
  <c r="F69" i="17"/>
  <c r="F64" i="17"/>
  <c r="F61" i="17"/>
  <c r="F56" i="17"/>
  <c r="F48" i="17"/>
  <c r="F40" i="17"/>
  <c r="F36" i="17"/>
  <c r="L12" i="17"/>
  <c r="F55" i="17"/>
  <c r="F54" i="17"/>
  <c r="F51" i="17"/>
  <c r="F47" i="17"/>
  <c r="F35" i="17"/>
  <c r="D25" i="17"/>
  <c r="F25" i="17" s="1"/>
  <c r="F23" i="17"/>
  <c r="F46" i="17"/>
  <c r="F34" i="17"/>
  <c r="F22" i="17"/>
  <c r="F53" i="17"/>
  <c r="F45" i="17"/>
  <c r="F33" i="17"/>
  <c r="F28" i="17"/>
  <c r="F27" i="17"/>
  <c r="F21" i="17"/>
  <c r="F44" i="17"/>
  <c r="F39" i="17"/>
  <c r="F32" i="17"/>
  <c r="F50" i="17"/>
  <c r="F43" i="17"/>
  <c r="F31" i="17"/>
  <c r="F42" i="17"/>
  <c r="F38" i="17"/>
  <c r="F30" i="17"/>
  <c r="F52" i="17"/>
  <c r="F49" i="17"/>
  <c r="F41" i="17"/>
  <c r="F37" i="17"/>
  <c r="F29" i="17"/>
  <c r="F20" i="17"/>
  <c r="T81" i="22"/>
  <c r="T120" i="16"/>
  <c r="X27" i="14"/>
  <c r="Z27" i="14" s="1"/>
  <c r="P124" i="14"/>
  <c r="R116" i="15"/>
  <c r="R110" i="15"/>
  <c r="R94" i="15"/>
  <c r="R86" i="15"/>
  <c r="R78" i="15"/>
  <c r="R62" i="15"/>
  <c r="R59" i="15"/>
  <c r="R46" i="15"/>
  <c r="R39" i="15"/>
  <c r="R34" i="15"/>
  <c r="R22" i="15"/>
  <c r="R109" i="15"/>
  <c r="R100" i="15"/>
  <c r="R92" i="15"/>
  <c r="R84" i="15"/>
  <c r="R80" i="15"/>
  <c r="R76" i="15"/>
  <c r="R64" i="15"/>
  <c r="R61" i="15"/>
  <c r="R44" i="15"/>
  <c r="R32" i="15"/>
  <c r="R115" i="15"/>
  <c r="R103" i="15"/>
  <c r="R99" i="15"/>
  <c r="R91" i="15"/>
  <c r="R88" i="15"/>
  <c r="R83" i="15"/>
  <c r="R75" i="15"/>
  <c r="R72" i="15"/>
  <c r="R67" i="15"/>
  <c r="R55" i="15"/>
  <c r="R52" i="15"/>
  <c r="R43" i="15"/>
  <c r="R31" i="15"/>
  <c r="R20" i="15"/>
  <c r="R120" i="15"/>
  <c r="R102" i="15"/>
  <c r="R98" i="15"/>
  <c r="R79" i="15"/>
  <c r="R63" i="15"/>
  <c r="R58" i="15"/>
  <c r="R42" i="15"/>
  <c r="R38" i="15"/>
  <c r="R30" i="15"/>
  <c r="R112" i="15"/>
  <c r="R105" i="15"/>
  <c r="R97" i="15"/>
  <c r="R90" i="15"/>
  <c r="R82" i="15"/>
  <c r="R74" i="15"/>
  <c r="R69" i="15"/>
  <c r="R66" i="15"/>
  <c r="R57" i="15"/>
  <c r="R54" i="15"/>
  <c r="R49" i="15"/>
  <c r="R41" i="15"/>
  <c r="R37" i="15"/>
  <c r="R29" i="15"/>
  <c r="R27" i="15"/>
  <c r="P25" i="15"/>
  <c r="R114" i="15"/>
  <c r="R108" i="15"/>
  <c r="R101" i="15"/>
  <c r="R96" i="15"/>
  <c r="R60" i="15"/>
  <c r="R48" i="15"/>
  <c r="R40" i="15"/>
  <c r="R36" i="15"/>
  <c r="X12" i="15"/>
  <c r="Z12" i="15" s="1"/>
  <c r="R107" i="15"/>
  <c r="R104" i="15"/>
  <c r="R95" i="15"/>
  <c r="R87" i="15"/>
  <c r="R71" i="15"/>
  <c r="R68" i="15"/>
  <c r="R56" i="15"/>
  <c r="R51" i="15"/>
  <c r="R47" i="15"/>
  <c r="R35" i="15"/>
  <c r="R28" i="15"/>
  <c r="R23" i="15"/>
  <c r="R85" i="15"/>
  <c r="R106" i="15"/>
  <c r="R53" i="15"/>
  <c r="R33" i="15"/>
  <c r="R89" i="15"/>
  <c r="R113" i="15"/>
  <c r="R50" i="15"/>
  <c r="R93" i="15"/>
  <c r="R77" i="15"/>
  <c r="R73" i="15"/>
  <c r="R21" i="15"/>
  <c r="R81" i="15"/>
  <c r="R45" i="15"/>
  <c r="R65" i="15"/>
  <c r="R70" i="15"/>
  <c r="T101" i="9"/>
  <c r="H159" i="8"/>
  <c r="R132" i="13"/>
  <c r="R110" i="13"/>
  <c r="R106" i="13"/>
  <c r="R102" i="13"/>
  <c r="R98" i="13"/>
  <c r="R94" i="13"/>
  <c r="R91" i="13"/>
  <c r="R86" i="13"/>
  <c r="R79" i="13"/>
  <c r="R74" i="13"/>
  <c r="R58" i="13"/>
  <c r="R54" i="13"/>
  <c r="R46" i="13"/>
  <c r="R44" i="13"/>
  <c r="P42" i="13"/>
  <c r="R126" i="13"/>
  <c r="R120" i="13"/>
  <c r="R108" i="13"/>
  <c r="R93" i="13"/>
  <c r="R88" i="13"/>
  <c r="R85" i="13"/>
  <c r="R76" i="13"/>
  <c r="R64" i="13"/>
  <c r="R119" i="13"/>
  <c r="R116" i="13"/>
  <c r="R104" i="13"/>
  <c r="R100" i="13"/>
  <c r="R96" i="13"/>
  <c r="R72" i="13"/>
  <c r="R67" i="13"/>
  <c r="R63" i="13"/>
  <c r="R51" i="13"/>
  <c r="R128" i="13"/>
  <c r="R122" i="13"/>
  <c r="R107" i="13"/>
  <c r="R90" i="13"/>
  <c r="R87" i="13"/>
  <c r="R78" i="13"/>
  <c r="R75" i="13"/>
  <c r="R125" i="13"/>
  <c r="R118" i="13"/>
  <c r="R113" i="13"/>
  <c r="R81" i="13"/>
  <c r="R69" i="13"/>
  <c r="R66" i="13"/>
  <c r="R61" i="13"/>
  <c r="R49" i="13"/>
  <c r="R121" i="13"/>
  <c r="R112" i="13"/>
  <c r="R92" i="13"/>
  <c r="R89" i="13"/>
  <c r="R84" i="13"/>
  <c r="R80" i="13"/>
  <c r="R77" i="13"/>
  <c r="R60" i="13"/>
  <c r="R48" i="13"/>
  <c r="R117" i="13"/>
  <c r="R111" i="13"/>
  <c r="R105" i="13"/>
  <c r="R70" i="13"/>
  <c r="R35" i="13"/>
  <c r="R27" i="13"/>
  <c r="R109" i="13"/>
  <c r="R99" i="13"/>
  <c r="R47" i="13"/>
  <c r="R34" i="13"/>
  <c r="R26" i="13"/>
  <c r="R19" i="13"/>
  <c r="R127" i="13"/>
  <c r="R101" i="13"/>
  <c r="R95" i="13"/>
  <c r="R59" i="13"/>
  <c r="R33" i="13"/>
  <c r="R25" i="13"/>
  <c r="R97" i="13"/>
  <c r="R82" i="13"/>
  <c r="R73" i="13"/>
  <c r="R71" i="13"/>
  <c r="R53" i="13"/>
  <c r="R52" i="13"/>
  <c r="R42" i="13"/>
  <c r="R32" i="13"/>
  <c r="R24" i="13"/>
  <c r="R114" i="13"/>
  <c r="R65" i="13"/>
  <c r="R40" i="13"/>
  <c r="R39" i="13"/>
  <c r="R31" i="13"/>
  <c r="R23" i="13"/>
  <c r="R83" i="13"/>
  <c r="R55" i="13"/>
  <c r="R38" i="13"/>
  <c r="R30" i="13"/>
  <c r="R22" i="13"/>
  <c r="X12" i="13"/>
  <c r="Z12" i="13" s="1"/>
  <c r="R124" i="13"/>
  <c r="R62" i="13"/>
  <c r="R57" i="13"/>
  <c r="R56" i="13"/>
  <c r="R45" i="13"/>
  <c r="R37" i="13"/>
  <c r="R29" i="13"/>
  <c r="R21" i="13"/>
  <c r="R103" i="13"/>
  <c r="R36" i="13"/>
  <c r="R68" i="13"/>
  <c r="R50" i="13"/>
  <c r="R115" i="13"/>
  <c r="R28" i="13"/>
  <c r="R20" i="13"/>
  <c r="T93" i="10"/>
  <c r="D151" i="7"/>
  <c r="H26" i="4"/>
  <c r="N22" i="4"/>
  <c r="H125" i="11"/>
  <c r="J40" i="11"/>
  <c r="T130" i="13"/>
  <c r="F89" i="10"/>
  <c r="F87" i="10"/>
  <c r="F82" i="10"/>
  <c r="F69" i="10"/>
  <c r="F66" i="10"/>
  <c r="F54" i="10"/>
  <c r="F46" i="10"/>
  <c r="F42" i="10"/>
  <c r="F22" i="10"/>
  <c r="L12" i="10"/>
  <c r="N12" i="10" s="1"/>
  <c r="F85" i="10"/>
  <c r="F65" i="10"/>
  <c r="F60" i="10"/>
  <c r="F57" i="10"/>
  <c r="F53" i="10"/>
  <c r="F41" i="10"/>
  <c r="D31" i="10"/>
  <c r="F29" i="10"/>
  <c r="F21" i="10"/>
  <c r="F91" i="10"/>
  <c r="F75" i="10"/>
  <c r="F71" i="10"/>
  <c r="F68" i="10"/>
  <c r="F52" i="10"/>
  <c r="F40" i="10"/>
  <c r="F28" i="10"/>
  <c r="F20" i="10"/>
  <c r="F88" i="10"/>
  <c r="F78" i="10"/>
  <c r="F62" i="10"/>
  <c r="F59" i="10"/>
  <c r="F51" i="10"/>
  <c r="F39" i="10"/>
  <c r="F34" i="10"/>
  <c r="F33" i="10"/>
  <c r="F27" i="10"/>
  <c r="F81" i="10"/>
  <c r="F74" i="10"/>
  <c r="F70" i="10"/>
  <c r="F50" i="10"/>
  <c r="F45" i="10"/>
  <c r="F38" i="10"/>
  <c r="F26" i="10"/>
  <c r="F95" i="10"/>
  <c r="F90" i="10"/>
  <c r="F84" i="10"/>
  <c r="F77" i="10"/>
  <c r="F73" i="10"/>
  <c r="F64" i="10"/>
  <c r="F61" i="10"/>
  <c r="F56" i="10"/>
  <c r="F49" i="10"/>
  <c r="F37" i="10"/>
  <c r="F25" i="10"/>
  <c r="F80" i="10"/>
  <c r="F76" i="10"/>
  <c r="F72" i="10"/>
  <c r="F67" i="10"/>
  <c r="F48" i="10"/>
  <c r="F44" i="10"/>
  <c r="F36" i="10"/>
  <c r="F24" i="10"/>
  <c r="F19" i="10"/>
  <c r="F63" i="10"/>
  <c r="F47" i="10"/>
  <c r="F83" i="10"/>
  <c r="F55" i="10"/>
  <c r="F35" i="10"/>
  <c r="F23" i="10"/>
  <c r="F79" i="10"/>
  <c r="F58" i="10"/>
  <c r="F43" i="10"/>
  <c r="T80" i="12"/>
  <c r="F157" i="8"/>
  <c r="F148" i="8"/>
  <c r="F144" i="8"/>
  <c r="F161" i="8"/>
  <c r="F156" i="8"/>
  <c r="F155" i="8"/>
  <c r="F146" i="8"/>
  <c r="F142" i="8"/>
  <c r="F139" i="8"/>
  <c r="F135" i="8"/>
  <c r="F130" i="8"/>
  <c r="F118" i="8"/>
  <c r="F102" i="8"/>
  <c r="F90" i="8"/>
  <c r="F75" i="8"/>
  <c r="F70" i="8"/>
  <c r="F63" i="8"/>
  <c r="F51" i="8"/>
  <c r="F43" i="8"/>
  <c r="F35" i="8"/>
  <c r="F27" i="8"/>
  <c r="F143" i="8"/>
  <c r="F134" i="8"/>
  <c r="F126" i="8"/>
  <c r="F122" i="8"/>
  <c r="F113" i="8"/>
  <c r="F110" i="8"/>
  <c r="F105" i="8"/>
  <c r="F98" i="8"/>
  <c r="F93" i="8"/>
  <c r="F86" i="8"/>
  <c r="F81" i="8"/>
  <c r="F74" i="8"/>
  <c r="F62" i="8"/>
  <c r="F50" i="8"/>
  <c r="F42" i="8"/>
  <c r="F34" i="8"/>
  <c r="F26" i="8"/>
  <c r="F21" i="8"/>
  <c r="L12" i="8"/>
  <c r="N12" i="8" s="1"/>
  <c r="F145" i="8"/>
  <c r="F133" i="8"/>
  <c r="F129" i="8"/>
  <c r="F125" i="8"/>
  <c r="F121" i="8"/>
  <c r="F117" i="8"/>
  <c r="F101" i="8"/>
  <c r="F89" i="8"/>
  <c r="F73" i="8"/>
  <c r="F69" i="8"/>
  <c r="F61" i="8"/>
  <c r="F49" i="8"/>
  <c r="F41" i="8"/>
  <c r="F33" i="8"/>
  <c r="F25" i="8"/>
  <c r="F132" i="8"/>
  <c r="F128" i="8"/>
  <c r="F124" i="8"/>
  <c r="F120" i="8"/>
  <c r="F116" i="8"/>
  <c r="F112" i="8"/>
  <c r="F107" i="8"/>
  <c r="F104" i="8"/>
  <c r="F100" i="8"/>
  <c r="F95" i="8"/>
  <c r="F92" i="8"/>
  <c r="F88" i="8"/>
  <c r="F83" i="8"/>
  <c r="F80" i="8"/>
  <c r="F72" i="8"/>
  <c r="F68" i="8"/>
  <c r="F60" i="8"/>
  <c r="F48" i="8"/>
  <c r="F40" i="8"/>
  <c r="F32" i="8"/>
  <c r="F24" i="8"/>
  <c r="F138" i="8"/>
  <c r="F131" i="8"/>
  <c r="F119" i="8"/>
  <c r="F115" i="8"/>
  <c r="F103" i="8"/>
  <c r="F91" i="8"/>
  <c r="F79" i="8"/>
  <c r="F71" i="8"/>
  <c r="F67" i="8"/>
  <c r="F56" i="8"/>
  <c r="F47" i="8"/>
  <c r="F39" i="8"/>
  <c r="F31" i="8"/>
  <c r="F23" i="8"/>
  <c r="F151" i="8"/>
  <c r="F137" i="8"/>
  <c r="F77" i="8"/>
  <c r="F65" i="8"/>
  <c r="F53" i="8"/>
  <c r="F45" i="8"/>
  <c r="F37" i="8"/>
  <c r="F29" i="8"/>
  <c r="F150" i="8"/>
  <c r="F140" i="8"/>
  <c r="F136" i="8"/>
  <c r="F127" i="8"/>
  <c r="F123" i="8"/>
  <c r="F111" i="8"/>
  <c r="F108" i="8"/>
  <c r="F99" i="8"/>
  <c r="F96" i="8"/>
  <c r="F87" i="8"/>
  <c r="F84" i="8"/>
  <c r="F76" i="8"/>
  <c r="F64" i="8"/>
  <c r="F59" i="8"/>
  <c r="F58" i="8"/>
  <c r="F52" i="8"/>
  <c r="F44" i="8"/>
  <c r="F36" i="8"/>
  <c r="F28" i="8"/>
  <c r="F153" i="8"/>
  <c r="F66" i="8"/>
  <c r="F46" i="8"/>
  <c r="F147" i="8"/>
  <c r="F109" i="8"/>
  <c r="F106" i="8"/>
  <c r="F22" i="8"/>
  <c r="F154" i="8"/>
  <c r="F97" i="8"/>
  <c r="F94" i="8"/>
  <c r="F30" i="8"/>
  <c r="F114" i="8"/>
  <c r="D56" i="8"/>
  <c r="F152" i="8"/>
  <c r="F82" i="8"/>
  <c r="F38" i="8"/>
  <c r="F141" i="8"/>
  <c r="F78" i="8"/>
  <c r="F85" i="8"/>
  <c r="F54" i="8"/>
  <c r="H84" i="12"/>
  <c r="H134" i="13"/>
  <c r="R90" i="10"/>
  <c r="R74" i="10"/>
  <c r="R70" i="10"/>
  <c r="R67" i="10"/>
  <c r="R50" i="10"/>
  <c r="R38" i="10"/>
  <c r="R26" i="10"/>
  <c r="R19" i="10"/>
  <c r="R95" i="10"/>
  <c r="R77" i="10"/>
  <c r="R73" i="10"/>
  <c r="R61" i="10"/>
  <c r="R58" i="10"/>
  <c r="R49" i="10"/>
  <c r="R37" i="10"/>
  <c r="R25" i="10"/>
  <c r="R87" i="10"/>
  <c r="R80" i="10"/>
  <c r="R76" i="10"/>
  <c r="R72" i="10"/>
  <c r="R69" i="10"/>
  <c r="R48" i="10"/>
  <c r="R44" i="10"/>
  <c r="R36" i="10"/>
  <c r="R24" i="10"/>
  <c r="R89" i="10"/>
  <c r="R83" i="10"/>
  <c r="R79" i="10"/>
  <c r="R63" i="10"/>
  <c r="R60" i="10"/>
  <c r="R55" i="10"/>
  <c r="R47" i="10"/>
  <c r="R43" i="10"/>
  <c r="R35" i="10"/>
  <c r="R33" i="10"/>
  <c r="P31" i="10"/>
  <c r="R31" i="10" s="1"/>
  <c r="R23" i="10"/>
  <c r="R82" i="10"/>
  <c r="R75" i="10"/>
  <c r="R71" i="10"/>
  <c r="R66" i="10"/>
  <c r="R54" i="10"/>
  <c r="R46" i="10"/>
  <c r="R42" i="10"/>
  <c r="R22" i="10"/>
  <c r="X12" i="10"/>
  <c r="Z12" i="10" s="1"/>
  <c r="R91" i="10"/>
  <c r="R85" i="10"/>
  <c r="R78" i="10"/>
  <c r="R65" i="10"/>
  <c r="R62" i="10"/>
  <c r="R57" i="10"/>
  <c r="R53" i="10"/>
  <c r="R41" i="10"/>
  <c r="R34" i="10"/>
  <c r="R29" i="10"/>
  <c r="R21" i="10"/>
  <c r="R88" i="10"/>
  <c r="R81" i="10"/>
  <c r="R68" i="10"/>
  <c r="R52" i="10"/>
  <c r="R45" i="10"/>
  <c r="R40" i="10"/>
  <c r="R28" i="10"/>
  <c r="R20" i="10"/>
  <c r="R84" i="10"/>
  <c r="R64" i="10"/>
  <c r="R27" i="10"/>
  <c r="R51" i="10"/>
  <c r="R59" i="10"/>
  <c r="R56" i="10"/>
  <c r="R39" i="10"/>
  <c r="D160" i="6"/>
  <c r="L56" i="6"/>
  <c r="D27" i="36"/>
  <c r="L18" i="36"/>
  <c r="T79" i="37"/>
  <c r="V20" i="37"/>
  <c r="H102" i="28"/>
  <c r="N17" i="28"/>
  <c r="F71" i="57"/>
  <c r="F67" i="57"/>
  <c r="F79" i="57"/>
  <c r="F70" i="57"/>
  <c r="F66" i="57"/>
  <c r="F63" i="57"/>
  <c r="F96" i="57"/>
  <c r="F90" i="57"/>
  <c r="F78" i="57"/>
  <c r="F65" i="57"/>
  <c r="F42" i="57"/>
  <c r="F37" i="57"/>
  <c r="F30" i="57"/>
  <c r="F88" i="57"/>
  <c r="F77" i="57"/>
  <c r="F76" i="57"/>
  <c r="F61" i="57"/>
  <c r="F56" i="57"/>
  <c r="F53" i="57"/>
  <c r="F48" i="57"/>
  <c r="F41" i="57"/>
  <c r="F29" i="57"/>
  <c r="F83" i="57"/>
  <c r="F82" i="57"/>
  <c r="F80" i="57"/>
  <c r="F40" i="57"/>
  <c r="F36" i="57"/>
  <c r="F28" i="57"/>
  <c r="F81" i="57"/>
  <c r="F64" i="57"/>
  <c r="F58" i="57"/>
  <c r="F55" i="57"/>
  <c r="F50" i="57"/>
  <c r="F47" i="57"/>
  <c r="F39" i="57"/>
  <c r="F35" i="57"/>
  <c r="F27" i="57"/>
  <c r="F18" i="57"/>
  <c r="F87" i="57"/>
  <c r="F86" i="57"/>
  <c r="F75" i="57"/>
  <c r="F74" i="57"/>
  <c r="F72" i="57"/>
  <c r="F46" i="57"/>
  <c r="F38" i="57"/>
  <c r="F34" i="57"/>
  <c r="F23" i="57"/>
  <c r="F73" i="57"/>
  <c r="F60" i="57"/>
  <c r="F57" i="57"/>
  <c r="F52" i="57"/>
  <c r="F49" i="57"/>
  <c r="F45" i="57"/>
  <c r="F33" i="57"/>
  <c r="D23" i="57"/>
  <c r="F21" i="57"/>
  <c r="F69" i="57"/>
  <c r="F68" i="57"/>
  <c r="F44" i="57"/>
  <c r="F32" i="57"/>
  <c r="F20" i="57"/>
  <c r="L12" i="57"/>
  <c r="F94" i="57"/>
  <c r="F19" i="57"/>
  <c r="F92" i="57"/>
  <c r="F84" i="57"/>
  <c r="F43" i="57"/>
  <c r="F99" i="57"/>
  <c r="F54" i="57"/>
  <c r="F62" i="57"/>
  <c r="F59" i="57"/>
  <c r="F85" i="57"/>
  <c r="F51" i="57"/>
  <c r="F25" i="57"/>
  <c r="F31" i="57"/>
  <c r="F26" i="57"/>
  <c r="T91" i="49"/>
  <c r="D86" i="44"/>
  <c r="L82" i="44"/>
  <c r="N82" i="44" s="1"/>
  <c r="F68" i="37"/>
  <c r="F64" i="37"/>
  <c r="F60" i="37"/>
  <c r="F56" i="37"/>
  <c r="F51" i="37"/>
  <c r="F48" i="37"/>
  <c r="F40" i="37"/>
  <c r="F28" i="37"/>
  <c r="F23" i="37"/>
  <c r="F22" i="37"/>
  <c r="L12" i="37"/>
  <c r="N12" i="37" s="1"/>
  <c r="F74" i="37"/>
  <c r="F71" i="37"/>
  <c r="F67" i="37"/>
  <c r="F63" i="37"/>
  <c r="F59" i="37"/>
  <c r="F39" i="37"/>
  <c r="F34" i="37"/>
  <c r="F27" i="37"/>
  <c r="F66" i="37"/>
  <c r="F62" i="37"/>
  <c r="F53" i="37"/>
  <c r="F50" i="37"/>
  <c r="F45" i="37"/>
  <c r="F38" i="37"/>
  <c r="F26" i="37"/>
  <c r="F73" i="37"/>
  <c r="F37" i="37"/>
  <c r="F33" i="37"/>
  <c r="F25" i="37"/>
  <c r="F16" i="37"/>
  <c r="F65" i="37"/>
  <c r="F61" i="37"/>
  <c r="F54" i="37"/>
  <c r="F49" i="37"/>
  <c r="F46" i="37"/>
  <c r="F42" i="37"/>
  <c r="F30" i="37"/>
  <c r="D20" i="37"/>
  <c r="F18" i="37"/>
  <c r="F47" i="37"/>
  <c r="F69" i="37"/>
  <c r="F55" i="37"/>
  <c r="F31" i="37"/>
  <c r="F70" i="37"/>
  <c r="F32" i="37"/>
  <c r="F75" i="37"/>
  <c r="F58" i="37"/>
  <c r="F52" i="37"/>
  <c r="F35" i="37"/>
  <c r="F29" i="37"/>
  <c r="F17" i="37"/>
  <c r="F57" i="37"/>
  <c r="F41" i="37"/>
  <c r="F36" i="37"/>
  <c r="F20" i="37"/>
  <c r="F72" i="37"/>
  <c r="F43" i="37"/>
  <c r="F81" i="37"/>
  <c r="F44" i="37"/>
  <c r="F24" i="37"/>
  <c r="F77" i="37"/>
  <c r="H89" i="39"/>
  <c r="N21" i="39"/>
  <c r="D89" i="39"/>
  <c r="L21" i="39"/>
  <c r="T81" i="35"/>
  <c r="T102" i="28"/>
  <c r="Z17" i="28"/>
  <c r="F87" i="31"/>
  <c r="L59" i="26"/>
  <c r="D63" i="26"/>
  <c r="P87" i="29"/>
  <c r="X30" i="29"/>
  <c r="Z30" i="29" s="1"/>
  <c r="Z16" i="27"/>
  <c r="T57" i="27"/>
  <c r="H81" i="24"/>
  <c r="X17" i="18"/>
  <c r="Z17" i="18" s="1"/>
  <c r="P75" i="18"/>
  <c r="D22" i="20"/>
  <c r="L16" i="20"/>
  <c r="F70" i="19"/>
  <c r="F67" i="19"/>
  <c r="F62" i="19"/>
  <c r="F59" i="19"/>
  <c r="F51" i="19"/>
  <c r="F39" i="19"/>
  <c r="F34" i="19"/>
  <c r="F33" i="19"/>
  <c r="F27" i="19"/>
  <c r="F79" i="19"/>
  <c r="F73" i="19"/>
  <c r="F50" i="19"/>
  <c r="F45" i="19"/>
  <c r="F38" i="19"/>
  <c r="F26" i="19"/>
  <c r="F69" i="19"/>
  <c r="F64" i="19"/>
  <c r="F61" i="19"/>
  <c r="F56" i="19"/>
  <c r="F49" i="19"/>
  <c r="F37" i="19"/>
  <c r="F25" i="19"/>
  <c r="F72" i="19"/>
  <c r="F48" i="19"/>
  <c r="F44" i="19"/>
  <c r="F36" i="19"/>
  <c r="F24" i="19"/>
  <c r="F19" i="19"/>
  <c r="F83" i="19"/>
  <c r="F78" i="19"/>
  <c r="F76" i="19"/>
  <c r="F71" i="19"/>
  <c r="F66" i="19"/>
  <c r="F63" i="19"/>
  <c r="F58" i="19"/>
  <c r="F55" i="19"/>
  <c r="F47" i="19"/>
  <c r="F43" i="19"/>
  <c r="F35" i="19"/>
  <c r="F23" i="19"/>
  <c r="F74" i="19"/>
  <c r="F54" i="19"/>
  <c r="F46" i="19"/>
  <c r="F42" i="19"/>
  <c r="F22" i="19"/>
  <c r="L12" i="19"/>
  <c r="N12" i="19" s="1"/>
  <c r="F68" i="19"/>
  <c r="F65" i="19"/>
  <c r="F60" i="19"/>
  <c r="F57" i="19"/>
  <c r="F53" i="19"/>
  <c r="F41" i="19"/>
  <c r="D31" i="19"/>
  <c r="F31" i="19" s="1"/>
  <c r="F29" i="19"/>
  <c r="F21" i="19"/>
  <c r="F77" i="19"/>
  <c r="F52" i="19"/>
  <c r="F40" i="19"/>
  <c r="F28" i="19"/>
  <c r="F20" i="19"/>
  <c r="R92" i="17"/>
  <c r="R88" i="17"/>
  <c r="R81" i="17"/>
  <c r="R95" i="17"/>
  <c r="R87" i="17"/>
  <c r="R67" i="17"/>
  <c r="R64" i="17"/>
  <c r="R59" i="17"/>
  <c r="R56" i="17"/>
  <c r="R104" i="17"/>
  <c r="R98" i="17"/>
  <c r="R91" i="17"/>
  <c r="R86" i="17"/>
  <c r="R78" i="17"/>
  <c r="R97" i="17"/>
  <c r="R94" i="17"/>
  <c r="R85" i="17"/>
  <c r="R77" i="17"/>
  <c r="R73" i="17"/>
  <c r="R69" i="17"/>
  <c r="R66" i="17"/>
  <c r="R61" i="17"/>
  <c r="R58" i="17"/>
  <c r="R84" i="17"/>
  <c r="R80" i="17"/>
  <c r="R76" i="17"/>
  <c r="R72" i="17"/>
  <c r="R96" i="17"/>
  <c r="R83" i="17"/>
  <c r="R75" i="17"/>
  <c r="R71" i="17"/>
  <c r="R68" i="17"/>
  <c r="R63" i="17"/>
  <c r="R60" i="17"/>
  <c r="R55" i="17"/>
  <c r="R90" i="17"/>
  <c r="R82" i="17"/>
  <c r="R79" i="17"/>
  <c r="R100" i="17"/>
  <c r="R93" i="17"/>
  <c r="R89" i="17"/>
  <c r="R74" i="17"/>
  <c r="R70" i="17"/>
  <c r="R65" i="17"/>
  <c r="R62" i="17"/>
  <c r="R57" i="17"/>
  <c r="R54" i="17"/>
  <c r="R44" i="17"/>
  <c r="R32" i="17"/>
  <c r="R52" i="17"/>
  <c r="R43" i="17"/>
  <c r="R31" i="17"/>
  <c r="R20" i="17"/>
  <c r="R42" i="17"/>
  <c r="R38" i="17"/>
  <c r="R30" i="17"/>
  <c r="R49" i="17"/>
  <c r="R41" i="17"/>
  <c r="R37" i="17"/>
  <c r="R29" i="17"/>
  <c r="R27" i="17"/>
  <c r="P25" i="17"/>
  <c r="R25" i="17" s="1"/>
  <c r="R48" i="17"/>
  <c r="R40" i="17"/>
  <c r="R36" i="17"/>
  <c r="X12" i="17"/>
  <c r="Z12" i="17" s="1"/>
  <c r="R51" i="17"/>
  <c r="R47" i="17"/>
  <c r="R35" i="17"/>
  <c r="R28" i="17"/>
  <c r="R23" i="17"/>
  <c r="R46" i="17"/>
  <c r="R39" i="17"/>
  <c r="R34" i="17"/>
  <c r="R22" i="17"/>
  <c r="R53" i="17"/>
  <c r="R50" i="17"/>
  <c r="R45" i="17"/>
  <c r="R33" i="17"/>
  <c r="R21" i="17"/>
  <c r="R82" i="12"/>
  <c r="R77" i="12"/>
  <c r="R62" i="12"/>
  <c r="R50" i="12"/>
  <c r="R47" i="12"/>
  <c r="R42" i="12"/>
  <c r="R30" i="12"/>
  <c r="R19" i="12"/>
  <c r="R73" i="12"/>
  <c r="R65" i="12"/>
  <c r="R61" i="12"/>
  <c r="R58" i="12"/>
  <c r="R41" i="12"/>
  <c r="R29" i="12"/>
  <c r="R72" i="12"/>
  <c r="R52" i="12"/>
  <c r="R49" i="12"/>
  <c r="R40" i="12"/>
  <c r="R28" i="12"/>
  <c r="R75" i="12"/>
  <c r="R71" i="12"/>
  <c r="R67" i="12"/>
  <c r="R64" i="12"/>
  <c r="R60" i="12"/>
  <c r="R55" i="12"/>
  <c r="R39" i="12"/>
  <c r="R35" i="12"/>
  <c r="R27" i="12"/>
  <c r="R25" i="12"/>
  <c r="P23" i="12"/>
  <c r="R78" i="12"/>
  <c r="R70" i="12"/>
  <c r="R54" i="12"/>
  <c r="R51" i="12"/>
  <c r="R46" i="12"/>
  <c r="R38" i="12"/>
  <c r="R34" i="12"/>
  <c r="X12" i="12"/>
  <c r="Z12" i="12" s="1"/>
  <c r="R74" i="12"/>
  <c r="R69" i="12"/>
  <c r="R66" i="12"/>
  <c r="R57" i="12"/>
  <c r="R45" i="12"/>
  <c r="R37" i="12"/>
  <c r="R33" i="12"/>
  <c r="R26" i="12"/>
  <c r="R21" i="12"/>
  <c r="R53" i="12"/>
  <c r="R48" i="12"/>
  <c r="R44" i="12"/>
  <c r="R32" i="12"/>
  <c r="R20" i="12"/>
  <c r="R56" i="12"/>
  <c r="R43" i="12"/>
  <c r="R31" i="12"/>
  <c r="R68" i="12"/>
  <c r="R59" i="12"/>
  <c r="R63" i="12"/>
  <c r="R36" i="12"/>
  <c r="N50" i="7"/>
  <c r="H151" i="7"/>
  <c r="T125" i="11"/>
  <c r="T155" i="7"/>
  <c r="R148" i="6"/>
  <c r="R141" i="6"/>
  <c r="R136" i="6"/>
  <c r="R132" i="6"/>
  <c r="R128" i="6"/>
  <c r="R124" i="6"/>
  <c r="R112" i="6"/>
  <c r="R109" i="6"/>
  <c r="R104" i="6"/>
  <c r="R100" i="6"/>
  <c r="R97" i="6"/>
  <c r="R92" i="6"/>
  <c r="R88" i="6"/>
  <c r="R85" i="6"/>
  <c r="R80" i="6"/>
  <c r="R72" i="6"/>
  <c r="R68" i="6"/>
  <c r="R60" i="6"/>
  <c r="R58" i="6"/>
  <c r="P56" i="6"/>
  <c r="R48" i="6"/>
  <c r="R157" i="6"/>
  <c r="R151" i="6"/>
  <c r="R147" i="6"/>
  <c r="R144" i="6"/>
  <c r="R135" i="6"/>
  <c r="R131" i="6"/>
  <c r="R127" i="6"/>
  <c r="R123" i="6"/>
  <c r="R119" i="6"/>
  <c r="R103" i="6"/>
  <c r="R91" i="6"/>
  <c r="R79" i="6"/>
  <c r="R71" i="6"/>
  <c r="R67" i="6"/>
  <c r="R162" i="6"/>
  <c r="R154" i="6"/>
  <c r="R134" i="6"/>
  <c r="R126" i="6"/>
  <c r="R122" i="6"/>
  <c r="R118" i="6"/>
  <c r="R114" i="6"/>
  <c r="R111" i="6"/>
  <c r="R106" i="6"/>
  <c r="R99" i="6"/>
  <c r="R94" i="6"/>
  <c r="R87" i="6"/>
  <c r="R82" i="6"/>
  <c r="R78" i="6"/>
  <c r="R66" i="6"/>
  <c r="R59" i="6"/>
  <c r="R54" i="6"/>
  <c r="R46" i="6"/>
  <c r="R150" i="6"/>
  <c r="R146" i="6"/>
  <c r="R130" i="6"/>
  <c r="R121" i="6"/>
  <c r="R117" i="6"/>
  <c r="R102" i="6"/>
  <c r="R90" i="6"/>
  <c r="R77" i="6"/>
  <c r="R70" i="6"/>
  <c r="R65" i="6"/>
  <c r="R53" i="6"/>
  <c r="R45" i="6"/>
  <c r="R156" i="6"/>
  <c r="R140" i="6"/>
  <c r="R133" i="6"/>
  <c r="R125" i="6"/>
  <c r="R116" i="6"/>
  <c r="R113" i="6"/>
  <c r="R108" i="6"/>
  <c r="R105" i="6"/>
  <c r="R96" i="6"/>
  <c r="R93" i="6"/>
  <c r="R84" i="6"/>
  <c r="R81" i="6"/>
  <c r="R76" i="6"/>
  <c r="R64" i="6"/>
  <c r="R52" i="6"/>
  <c r="R44" i="6"/>
  <c r="R158" i="6"/>
  <c r="R153" i="6"/>
  <c r="R142" i="6"/>
  <c r="R138" i="6"/>
  <c r="R115" i="6"/>
  <c r="R110" i="6"/>
  <c r="R107" i="6"/>
  <c r="R98" i="6"/>
  <c r="R95" i="6"/>
  <c r="R86" i="6"/>
  <c r="R83" i="6"/>
  <c r="R74" i="6"/>
  <c r="R62" i="6"/>
  <c r="R155" i="6"/>
  <c r="R149" i="6"/>
  <c r="R145" i="6"/>
  <c r="R137" i="6"/>
  <c r="R129" i="6"/>
  <c r="R101" i="6"/>
  <c r="R89" i="6"/>
  <c r="R73" i="6"/>
  <c r="R69" i="6"/>
  <c r="R61" i="6"/>
  <c r="R56" i="6"/>
  <c r="R49" i="6"/>
  <c r="R41" i="6"/>
  <c r="R120" i="6"/>
  <c r="R51" i="6"/>
  <c r="R50" i="6"/>
  <c r="R36" i="6"/>
  <c r="R28" i="6"/>
  <c r="R63" i="6"/>
  <c r="R47" i="6"/>
  <c r="R34" i="6"/>
  <c r="R26" i="6"/>
  <c r="X12" i="6"/>
  <c r="Z12" i="6" s="1"/>
  <c r="R139" i="6"/>
  <c r="R33" i="6"/>
  <c r="R39" i="6"/>
  <c r="R31" i="6"/>
  <c r="R43" i="6"/>
  <c r="R42" i="6"/>
  <c r="R40" i="6"/>
  <c r="R32" i="6"/>
  <c r="R25" i="6"/>
  <c r="R38" i="6"/>
  <c r="R30" i="6"/>
  <c r="R75" i="6"/>
  <c r="R143" i="6"/>
  <c r="R37" i="6"/>
  <c r="R29" i="6"/>
  <c r="R35" i="6"/>
  <c r="R27" i="6"/>
  <c r="L26" i="4"/>
  <c r="D31" i="4"/>
  <c r="H95" i="54"/>
  <c r="D57" i="50"/>
  <c r="T28" i="47"/>
  <c r="Z16" i="47"/>
  <c r="D30" i="43"/>
  <c r="L26" i="43"/>
  <c r="J87" i="29"/>
  <c r="T22" i="20"/>
  <c r="Z16" i="20"/>
  <c r="L18" i="59"/>
  <c r="D27" i="59"/>
  <c r="D64" i="53"/>
  <c r="R90" i="48"/>
  <c r="R82" i="48"/>
  <c r="R74" i="48"/>
  <c r="R66" i="48"/>
  <c r="R63" i="48"/>
  <c r="R58" i="48"/>
  <c r="R46" i="48"/>
  <c r="R38" i="48"/>
  <c r="R34" i="48"/>
  <c r="R86" i="48"/>
  <c r="R81" i="48"/>
  <c r="R73" i="48"/>
  <c r="R69" i="48"/>
  <c r="R54" i="48"/>
  <c r="R49" i="48"/>
  <c r="R45" i="48"/>
  <c r="R33" i="48"/>
  <c r="R26" i="48"/>
  <c r="R21" i="48"/>
  <c r="R92" i="48"/>
  <c r="R89" i="48"/>
  <c r="R80" i="48"/>
  <c r="R76" i="48"/>
  <c r="R72" i="48"/>
  <c r="R68" i="48"/>
  <c r="R65" i="48"/>
  <c r="R60" i="48"/>
  <c r="R57" i="48"/>
  <c r="R44" i="48"/>
  <c r="R37" i="48"/>
  <c r="R32" i="48"/>
  <c r="R20" i="48"/>
  <c r="R95" i="48"/>
  <c r="R79" i="48"/>
  <c r="R71" i="48"/>
  <c r="R51" i="48"/>
  <c r="R48" i="48"/>
  <c r="R43" i="48"/>
  <c r="R31" i="48"/>
  <c r="R19" i="48"/>
  <c r="R88" i="48"/>
  <c r="R84" i="48"/>
  <c r="R77" i="48"/>
  <c r="R64" i="48"/>
  <c r="R61" i="48"/>
  <c r="R56" i="48"/>
  <c r="R40" i="48"/>
  <c r="R36" i="48"/>
  <c r="R28" i="48"/>
  <c r="R99" i="48"/>
  <c r="R94" i="48"/>
  <c r="R87" i="48"/>
  <c r="R83" i="48"/>
  <c r="R55" i="48"/>
  <c r="R52" i="48"/>
  <c r="R47" i="48"/>
  <c r="R39" i="48"/>
  <c r="R35" i="48"/>
  <c r="R27" i="48"/>
  <c r="R25" i="48"/>
  <c r="P23" i="48"/>
  <c r="R41" i="48"/>
  <c r="R30" i="48"/>
  <c r="X12" i="48"/>
  <c r="Z12" i="48" s="1"/>
  <c r="R78" i="48"/>
  <c r="R75" i="48"/>
  <c r="R42" i="48"/>
  <c r="R91" i="48"/>
  <c r="R85" i="48"/>
  <c r="R70" i="48"/>
  <c r="R59" i="48"/>
  <c r="R50" i="48"/>
  <c r="R29" i="48"/>
  <c r="R62" i="48"/>
  <c r="R67" i="48"/>
  <c r="R53" i="48"/>
  <c r="R18" i="48"/>
  <c r="P28" i="46"/>
  <c r="X16" i="46"/>
  <c r="X17" i="45"/>
  <c r="P33" i="45"/>
  <c r="X28" i="47"/>
  <c r="P32" i="47"/>
  <c r="R86" i="49"/>
  <c r="R83" i="49"/>
  <c r="R70" i="49"/>
  <c r="R62" i="49"/>
  <c r="R55" i="49"/>
  <c r="R50" i="49"/>
  <c r="R89" i="49"/>
  <c r="R77" i="49"/>
  <c r="R69" i="49"/>
  <c r="R66" i="49"/>
  <c r="R58" i="49"/>
  <c r="R49" i="49"/>
  <c r="R46" i="49"/>
  <c r="R95" i="49"/>
  <c r="R85" i="49"/>
  <c r="R80" i="49"/>
  <c r="R76" i="49"/>
  <c r="R61" i="49"/>
  <c r="R52" i="49"/>
  <c r="R79" i="49"/>
  <c r="R75" i="49"/>
  <c r="R68" i="49"/>
  <c r="R48" i="49"/>
  <c r="R43" i="49"/>
  <c r="R98" i="49"/>
  <c r="R91" i="49"/>
  <c r="R84" i="49"/>
  <c r="R81" i="49"/>
  <c r="R72" i="49"/>
  <c r="R64" i="49"/>
  <c r="R60" i="49"/>
  <c r="R56" i="49"/>
  <c r="R53" i="49"/>
  <c r="R40" i="49"/>
  <c r="R71" i="49"/>
  <c r="R67" i="49"/>
  <c r="R63" i="49"/>
  <c r="R59" i="49"/>
  <c r="R47" i="49"/>
  <c r="R44" i="49"/>
  <c r="R39" i="49"/>
  <c r="R35" i="49"/>
  <c r="R31" i="49"/>
  <c r="R93" i="49"/>
  <c r="R88" i="49"/>
  <c r="R82" i="49"/>
  <c r="R57" i="49"/>
  <c r="R34" i="49"/>
  <c r="R30" i="49"/>
  <c r="R23" i="49"/>
  <c r="R18" i="49"/>
  <c r="R29" i="49"/>
  <c r="R17" i="49"/>
  <c r="R54" i="49"/>
  <c r="R45" i="49"/>
  <c r="R33" i="49"/>
  <c r="R28" i="49"/>
  <c r="X12" i="49"/>
  <c r="Z12" i="49" s="1"/>
  <c r="R41" i="49"/>
  <c r="R37" i="49"/>
  <c r="R25" i="49"/>
  <c r="R20" i="49"/>
  <c r="R78" i="49"/>
  <c r="R74" i="49"/>
  <c r="R42" i="49"/>
  <c r="R36" i="49"/>
  <c r="R32" i="49"/>
  <c r="R24" i="49"/>
  <c r="R22" i="49"/>
  <c r="P20" i="49"/>
  <c r="R16" i="49"/>
  <c r="R65" i="49"/>
  <c r="R73" i="49"/>
  <c r="R38" i="49"/>
  <c r="R51" i="49"/>
  <c r="R27" i="49"/>
  <c r="R26" i="49"/>
  <c r="P26" i="43"/>
  <c r="X16" i="43"/>
  <c r="T32" i="41"/>
  <c r="T98" i="42"/>
  <c r="H83" i="37"/>
  <c r="D25" i="38"/>
  <c r="L19" i="38"/>
  <c r="N19" i="38" s="1"/>
  <c r="F19" i="38"/>
  <c r="R76" i="35"/>
  <c r="R69" i="35"/>
  <c r="R66" i="35"/>
  <c r="R61" i="35"/>
  <c r="R58" i="35"/>
  <c r="R49" i="35"/>
  <c r="R78" i="35"/>
  <c r="R72" i="35"/>
  <c r="R48" i="35"/>
  <c r="R44" i="35"/>
  <c r="R83" i="35"/>
  <c r="R71" i="35"/>
  <c r="R68" i="35"/>
  <c r="R63" i="35"/>
  <c r="R60" i="35"/>
  <c r="R55" i="35"/>
  <c r="R47" i="35"/>
  <c r="R43" i="35"/>
  <c r="R74" i="35"/>
  <c r="R54" i="35"/>
  <c r="R46" i="35"/>
  <c r="R79" i="35"/>
  <c r="R67" i="35"/>
  <c r="R64" i="35"/>
  <c r="R59" i="35"/>
  <c r="R56" i="35"/>
  <c r="R51" i="35"/>
  <c r="R38" i="35"/>
  <c r="R26" i="35"/>
  <c r="R19" i="35"/>
  <c r="R57" i="35"/>
  <c r="R37" i="35"/>
  <c r="R25" i="35"/>
  <c r="R77" i="35"/>
  <c r="R65" i="35"/>
  <c r="R52" i="35"/>
  <c r="R36" i="35"/>
  <c r="R31" i="35"/>
  <c r="R24" i="35"/>
  <c r="R53" i="35"/>
  <c r="R35" i="35"/>
  <c r="R33" i="35"/>
  <c r="P31" i="35"/>
  <c r="R23" i="35"/>
  <c r="R28" i="35"/>
  <c r="R20" i="35"/>
  <c r="R70" i="35"/>
  <c r="R62" i="35"/>
  <c r="R45" i="35"/>
  <c r="R42" i="35"/>
  <c r="R73" i="35"/>
  <c r="R39" i="35"/>
  <c r="R29" i="35"/>
  <c r="R40" i="35"/>
  <c r="X12" i="35"/>
  <c r="Z12" i="35" s="1"/>
  <c r="R34" i="35"/>
  <c r="R21" i="35"/>
  <c r="R22" i="35"/>
  <c r="R50" i="35"/>
  <c r="R27" i="35"/>
  <c r="R41" i="35"/>
  <c r="H36" i="41"/>
  <c r="H117" i="33"/>
  <c r="H93" i="31"/>
  <c r="T97" i="31"/>
  <c r="V93" i="31"/>
  <c r="L30" i="29"/>
  <c r="N30" i="29" s="1"/>
  <c r="D87" i="29"/>
  <c r="D70" i="23"/>
  <c r="L16" i="23"/>
  <c r="D64" i="27"/>
  <c r="X16" i="24"/>
  <c r="P77" i="24"/>
  <c r="H70" i="23"/>
  <c r="N16" i="23"/>
  <c r="T74" i="23"/>
  <c r="P32" i="21"/>
  <c r="X16" i="21"/>
  <c r="L77" i="24"/>
  <c r="N77" i="24" s="1"/>
  <c r="D81" i="22"/>
  <c r="L77" i="22"/>
  <c r="P26" i="20"/>
  <c r="X22" i="20"/>
  <c r="P81" i="19"/>
  <c r="X31" i="19"/>
  <c r="Z31" i="19" s="1"/>
  <c r="R27" i="14"/>
  <c r="F70" i="12"/>
  <c r="F54" i="12"/>
  <c r="F49" i="12"/>
  <c r="F46" i="12"/>
  <c r="F38" i="12"/>
  <c r="F34" i="12"/>
  <c r="L12" i="12"/>
  <c r="N12" i="12" s="1"/>
  <c r="F78" i="12"/>
  <c r="F69" i="12"/>
  <c r="F64" i="12"/>
  <c r="F60" i="12"/>
  <c r="F57" i="12"/>
  <c r="F45" i="12"/>
  <c r="F37" i="12"/>
  <c r="F33" i="12"/>
  <c r="D23" i="12"/>
  <c r="F21" i="12"/>
  <c r="F51" i="12"/>
  <c r="F48" i="12"/>
  <c r="F44" i="12"/>
  <c r="F32" i="12"/>
  <c r="F20" i="12"/>
  <c r="F74" i="12"/>
  <c r="F66" i="12"/>
  <c r="F63" i="12"/>
  <c r="F59" i="12"/>
  <c r="F43" i="12"/>
  <c r="F31" i="12"/>
  <c r="F26" i="12"/>
  <c r="F25" i="12"/>
  <c r="F82" i="12"/>
  <c r="F62" i="12"/>
  <c r="F53" i="12"/>
  <c r="F50" i="12"/>
  <c r="F42" i="12"/>
  <c r="F30" i="12"/>
  <c r="F73" i="12"/>
  <c r="F68" i="12"/>
  <c r="F65" i="12"/>
  <c r="F61" i="12"/>
  <c r="F56" i="12"/>
  <c r="F41" i="12"/>
  <c r="F36" i="12"/>
  <c r="F29" i="12"/>
  <c r="F77" i="12"/>
  <c r="F72" i="12"/>
  <c r="F52" i="12"/>
  <c r="F47" i="12"/>
  <c r="F40" i="12"/>
  <c r="F28" i="12"/>
  <c r="F19" i="12"/>
  <c r="F71" i="12"/>
  <c r="F39" i="12"/>
  <c r="F55" i="12"/>
  <c r="F75" i="12"/>
  <c r="F27" i="12"/>
  <c r="F67" i="12"/>
  <c r="F58" i="12"/>
  <c r="F35" i="12"/>
  <c r="V42" i="13"/>
  <c r="F124" i="13"/>
  <c r="R157" i="8"/>
  <c r="R145" i="8"/>
  <c r="R151" i="8"/>
  <c r="R156" i="8"/>
  <c r="R147" i="8"/>
  <c r="R143" i="8"/>
  <c r="R131" i="8"/>
  <c r="R119" i="8"/>
  <c r="R115" i="8"/>
  <c r="R103" i="8"/>
  <c r="R91" i="8"/>
  <c r="R79" i="8"/>
  <c r="R71" i="8"/>
  <c r="R67" i="8"/>
  <c r="R47" i="8"/>
  <c r="R39" i="8"/>
  <c r="R31" i="8"/>
  <c r="R23" i="8"/>
  <c r="R161" i="8"/>
  <c r="R153" i="8"/>
  <c r="R127" i="8"/>
  <c r="R123" i="8"/>
  <c r="R114" i="8"/>
  <c r="R111" i="8"/>
  <c r="R106" i="8"/>
  <c r="R99" i="8"/>
  <c r="R94" i="8"/>
  <c r="R87" i="8"/>
  <c r="R82" i="8"/>
  <c r="R78" i="8"/>
  <c r="R66" i="8"/>
  <c r="R59" i="8"/>
  <c r="R54" i="8"/>
  <c r="R46" i="8"/>
  <c r="R38" i="8"/>
  <c r="R30" i="8"/>
  <c r="R22" i="8"/>
  <c r="R155" i="8"/>
  <c r="R154" i="8"/>
  <c r="R152" i="8"/>
  <c r="R148" i="8"/>
  <c r="R137" i="8"/>
  <c r="R130" i="8"/>
  <c r="R118" i="8"/>
  <c r="R102" i="8"/>
  <c r="R90" i="8"/>
  <c r="R77" i="8"/>
  <c r="R70" i="8"/>
  <c r="R65" i="8"/>
  <c r="R53" i="8"/>
  <c r="R45" i="8"/>
  <c r="R37" i="8"/>
  <c r="R29" i="8"/>
  <c r="R150" i="8"/>
  <c r="R146" i="8"/>
  <c r="R140" i="8"/>
  <c r="R136" i="8"/>
  <c r="R113" i="8"/>
  <c r="R108" i="8"/>
  <c r="R105" i="8"/>
  <c r="R96" i="8"/>
  <c r="R93" i="8"/>
  <c r="R84" i="8"/>
  <c r="R81" i="8"/>
  <c r="R76" i="8"/>
  <c r="R64" i="8"/>
  <c r="R52" i="8"/>
  <c r="R44" i="8"/>
  <c r="R36" i="8"/>
  <c r="R28" i="8"/>
  <c r="R21" i="8"/>
  <c r="R139" i="8"/>
  <c r="R135" i="8"/>
  <c r="R75" i="8"/>
  <c r="R63" i="8"/>
  <c r="R51" i="8"/>
  <c r="R43" i="8"/>
  <c r="R35" i="8"/>
  <c r="R27" i="8"/>
  <c r="R144" i="8"/>
  <c r="R138" i="8"/>
  <c r="R133" i="8"/>
  <c r="R129" i="8"/>
  <c r="R125" i="8"/>
  <c r="R121" i="8"/>
  <c r="R117" i="8"/>
  <c r="R101" i="8"/>
  <c r="R89" i="8"/>
  <c r="R73" i="8"/>
  <c r="R69" i="8"/>
  <c r="R61" i="8"/>
  <c r="R49" i="8"/>
  <c r="R41" i="8"/>
  <c r="R33" i="8"/>
  <c r="R25" i="8"/>
  <c r="R142" i="8"/>
  <c r="R141" i="8"/>
  <c r="R132" i="8"/>
  <c r="R128" i="8"/>
  <c r="R124" i="8"/>
  <c r="R120" i="8"/>
  <c r="R116" i="8"/>
  <c r="R112" i="8"/>
  <c r="R109" i="8"/>
  <c r="R104" i="8"/>
  <c r="R100" i="8"/>
  <c r="R97" i="8"/>
  <c r="R92" i="8"/>
  <c r="R88" i="8"/>
  <c r="R85" i="8"/>
  <c r="R80" i="8"/>
  <c r="R72" i="8"/>
  <c r="R68" i="8"/>
  <c r="R60" i="8"/>
  <c r="R58" i="8"/>
  <c r="P56" i="8"/>
  <c r="R48" i="8"/>
  <c r="R40" i="8"/>
  <c r="R32" i="8"/>
  <c r="R24" i="8"/>
  <c r="R86" i="8"/>
  <c r="R83" i="8"/>
  <c r="R98" i="8"/>
  <c r="R95" i="8"/>
  <c r="R26" i="8"/>
  <c r="R50" i="8"/>
  <c r="R34" i="8"/>
  <c r="R122" i="8"/>
  <c r="R134" i="8"/>
  <c r="R126" i="8"/>
  <c r="X12" i="8"/>
  <c r="Z12" i="8" s="1"/>
  <c r="R62" i="8"/>
  <c r="R110" i="8"/>
  <c r="R107" i="8"/>
  <c r="R74" i="8"/>
  <c r="R42" i="8"/>
  <c r="F88" i="9"/>
  <c r="F84" i="9"/>
  <c r="F72" i="9"/>
  <c r="F68" i="9"/>
  <c r="F63" i="9"/>
  <c r="F60" i="9"/>
  <c r="F48" i="9"/>
  <c r="F40" i="9"/>
  <c r="F36" i="9"/>
  <c r="L12" i="9"/>
  <c r="N12" i="9" s="1"/>
  <c r="F91" i="9"/>
  <c r="F83" i="9"/>
  <c r="F79" i="9"/>
  <c r="F75" i="9"/>
  <c r="F71" i="9"/>
  <c r="F54" i="9"/>
  <c r="F51" i="9"/>
  <c r="F47" i="9"/>
  <c r="F35" i="9"/>
  <c r="F95" i="9"/>
  <c r="F82" i="9"/>
  <c r="F78" i="9"/>
  <c r="F74" i="9"/>
  <c r="F70" i="9"/>
  <c r="F65" i="9"/>
  <c r="F62" i="9"/>
  <c r="F46" i="9"/>
  <c r="F34" i="9"/>
  <c r="F22" i="9"/>
  <c r="F99" i="9"/>
  <c r="F93" i="9"/>
  <c r="F81" i="9"/>
  <c r="F77" i="9"/>
  <c r="F56" i="9"/>
  <c r="F53" i="9"/>
  <c r="F45" i="9"/>
  <c r="F33" i="9"/>
  <c r="F28" i="9"/>
  <c r="F27" i="9"/>
  <c r="F21" i="9"/>
  <c r="F87" i="9"/>
  <c r="F67" i="9"/>
  <c r="F64" i="9"/>
  <c r="F59" i="9"/>
  <c r="F44" i="9"/>
  <c r="F39" i="9"/>
  <c r="F32" i="9"/>
  <c r="F90" i="9"/>
  <c r="F55" i="9"/>
  <c r="F50" i="9"/>
  <c r="F43" i="9"/>
  <c r="F31" i="9"/>
  <c r="F86" i="9"/>
  <c r="F73" i="9"/>
  <c r="F69" i="9"/>
  <c r="F66" i="9"/>
  <c r="F61" i="9"/>
  <c r="F58" i="9"/>
  <c r="F42" i="9"/>
  <c r="F38" i="9"/>
  <c r="F30" i="9"/>
  <c r="F76" i="9"/>
  <c r="D25" i="9"/>
  <c r="F89" i="9"/>
  <c r="F20" i="9"/>
  <c r="F80" i="9"/>
  <c r="F49" i="9"/>
  <c r="F57" i="9"/>
  <c r="F41" i="9"/>
  <c r="F37" i="9"/>
  <c r="F29" i="9"/>
  <c r="F92" i="9"/>
  <c r="F85" i="9"/>
  <c r="F23" i="9"/>
  <c r="F52" i="9"/>
  <c r="H160" i="6"/>
  <c r="N56" i="6"/>
  <c r="P101" i="5"/>
  <c r="X97" i="5"/>
  <c r="Z97" i="5" s="1"/>
  <c r="P22" i="4"/>
  <c r="X16" i="4"/>
  <c r="T104" i="5"/>
  <c r="L22" i="4"/>
  <c r="F22" i="55"/>
  <c r="F21" i="55"/>
  <c r="F40" i="55"/>
  <c r="F34" i="55"/>
  <c r="F16" i="55"/>
  <c r="F38" i="55"/>
  <c r="F32" i="55"/>
  <c r="F27" i="55"/>
  <c r="F23" i="55"/>
  <c r="F43" i="55"/>
  <c r="F36" i="55"/>
  <c r="F19" i="55"/>
  <c r="F17" i="55"/>
  <c r="D19" i="55"/>
  <c r="L12" i="55"/>
  <c r="F31" i="55"/>
  <c r="F30" i="55"/>
  <c r="F29" i="55"/>
  <c r="F28" i="55"/>
  <c r="F26" i="55"/>
  <c r="F25" i="55"/>
  <c r="F24" i="55"/>
  <c r="R80" i="54"/>
  <c r="R40" i="54"/>
  <c r="R36" i="54"/>
  <c r="R28" i="54"/>
  <c r="R23" i="54"/>
  <c r="R87" i="54"/>
  <c r="R84" i="54"/>
  <c r="R79" i="54"/>
  <c r="R63" i="54"/>
  <c r="R60" i="54"/>
  <c r="R55" i="54"/>
  <c r="R52" i="54"/>
  <c r="R47" i="54"/>
  <c r="R39" i="54"/>
  <c r="R35" i="54"/>
  <c r="R27" i="54"/>
  <c r="R25" i="54"/>
  <c r="P23" i="54"/>
  <c r="R93" i="54"/>
  <c r="R78" i="54"/>
  <c r="R74" i="54"/>
  <c r="R46" i="54"/>
  <c r="R38" i="54"/>
  <c r="R34" i="54"/>
  <c r="R86" i="54"/>
  <c r="R77" i="54"/>
  <c r="R73" i="54"/>
  <c r="R69" i="54"/>
  <c r="R65" i="54"/>
  <c r="R62" i="54"/>
  <c r="R57" i="54"/>
  <c r="R54" i="54"/>
  <c r="R49" i="54"/>
  <c r="R45" i="54"/>
  <c r="R33" i="54"/>
  <c r="R26" i="54"/>
  <c r="R21" i="54"/>
  <c r="R76" i="54"/>
  <c r="R72" i="54"/>
  <c r="R68" i="54"/>
  <c r="R44" i="54"/>
  <c r="R37" i="54"/>
  <c r="R32" i="54"/>
  <c r="R20" i="54"/>
  <c r="X12" i="54"/>
  <c r="Z12" i="54" s="1"/>
  <c r="R89" i="54"/>
  <c r="R82" i="54"/>
  <c r="R75" i="54"/>
  <c r="R42" i="54"/>
  <c r="R30" i="54"/>
  <c r="R85" i="54"/>
  <c r="R81" i="54"/>
  <c r="R70" i="54"/>
  <c r="R66" i="54"/>
  <c r="R61" i="54"/>
  <c r="R58" i="54"/>
  <c r="R53" i="54"/>
  <c r="R50" i="54"/>
  <c r="R41" i="54"/>
  <c r="R29" i="54"/>
  <c r="R18" i="54"/>
  <c r="R83" i="54"/>
  <c r="R71" i="54"/>
  <c r="R31" i="54"/>
  <c r="R43" i="54"/>
  <c r="R64" i="54"/>
  <c r="R59" i="54"/>
  <c r="R56" i="54"/>
  <c r="R51" i="54"/>
  <c r="R48" i="54"/>
  <c r="R67" i="54"/>
  <c r="R19" i="54"/>
  <c r="X18" i="59"/>
  <c r="P27" i="59"/>
  <c r="R90" i="57"/>
  <c r="R79" i="57"/>
  <c r="R71" i="57"/>
  <c r="R67" i="57"/>
  <c r="R64" i="57"/>
  <c r="R70" i="57"/>
  <c r="R46" i="57"/>
  <c r="R38" i="57"/>
  <c r="R34" i="57"/>
  <c r="R86" i="57"/>
  <c r="R85" i="57"/>
  <c r="R74" i="57"/>
  <c r="R73" i="57"/>
  <c r="R72" i="57"/>
  <c r="R63" i="57"/>
  <c r="R57" i="57"/>
  <c r="R54" i="57"/>
  <c r="R49" i="57"/>
  <c r="R45" i="57"/>
  <c r="R33" i="57"/>
  <c r="R26" i="57"/>
  <c r="R21" i="57"/>
  <c r="R69" i="57"/>
  <c r="R68" i="57"/>
  <c r="R66" i="57"/>
  <c r="R62" i="57"/>
  <c r="R44" i="57"/>
  <c r="R37" i="57"/>
  <c r="R32" i="57"/>
  <c r="R20" i="57"/>
  <c r="X12" i="57"/>
  <c r="Z12" i="57" s="1"/>
  <c r="R59" i="57"/>
  <c r="R56" i="57"/>
  <c r="R51" i="57"/>
  <c r="R48" i="57"/>
  <c r="R43" i="57"/>
  <c r="R31" i="57"/>
  <c r="R19" i="57"/>
  <c r="R94" i="57"/>
  <c r="R84" i="57"/>
  <c r="R65" i="57"/>
  <c r="R42" i="57"/>
  <c r="R30" i="57"/>
  <c r="R88" i="57"/>
  <c r="R83" i="57"/>
  <c r="R78" i="57"/>
  <c r="R77" i="57"/>
  <c r="R76" i="57"/>
  <c r="R61" i="57"/>
  <c r="R58" i="57"/>
  <c r="R53" i="57"/>
  <c r="R50" i="57"/>
  <c r="R41" i="57"/>
  <c r="R29" i="57"/>
  <c r="R18" i="57"/>
  <c r="R40" i="57"/>
  <c r="R36" i="57"/>
  <c r="R28" i="57"/>
  <c r="R81" i="57"/>
  <c r="P23" i="57"/>
  <c r="R35" i="57"/>
  <c r="R25" i="57"/>
  <c r="R82" i="57"/>
  <c r="R47" i="57"/>
  <c r="R75" i="57"/>
  <c r="R55" i="57"/>
  <c r="R52" i="57"/>
  <c r="R39" i="57"/>
  <c r="R87" i="57"/>
  <c r="R60" i="57"/>
  <c r="R80" i="57"/>
  <c r="R27" i="57"/>
  <c r="T75" i="58"/>
  <c r="Z17" i="58"/>
  <c r="V17" i="58"/>
  <c r="H93" i="56"/>
  <c r="N23" i="56"/>
  <c r="T93" i="56"/>
  <c r="V23" i="56"/>
  <c r="Z18" i="52"/>
  <c r="T38" i="52"/>
  <c r="F38" i="52"/>
  <c r="N16" i="47"/>
  <c r="H28" i="47"/>
  <c r="Z26" i="43"/>
  <c r="T30" i="43"/>
  <c r="P32" i="41"/>
  <c r="X22" i="41"/>
  <c r="Z22" i="41" s="1"/>
  <c r="T101" i="48"/>
  <c r="H33" i="45"/>
  <c r="N17" i="45"/>
  <c r="T89" i="39"/>
  <c r="Z21" i="39"/>
  <c r="F23" i="48"/>
  <c r="F70" i="34"/>
  <c r="F54" i="34"/>
  <c r="F49" i="34"/>
  <c r="F46" i="34"/>
  <c r="F38" i="34"/>
  <c r="F34" i="34"/>
  <c r="F23" i="34"/>
  <c r="L12" i="34"/>
  <c r="N12" i="34" s="1"/>
  <c r="F78" i="34"/>
  <c r="F69" i="34"/>
  <c r="F64" i="34"/>
  <c r="F60" i="34"/>
  <c r="F57" i="34"/>
  <c r="F45" i="34"/>
  <c r="F37" i="34"/>
  <c r="F33" i="34"/>
  <c r="D23" i="34"/>
  <c r="F21" i="34"/>
  <c r="F51" i="34"/>
  <c r="F48" i="34"/>
  <c r="F44" i="34"/>
  <c r="F32" i="34"/>
  <c r="F20" i="34"/>
  <c r="F74" i="34"/>
  <c r="F66" i="34"/>
  <c r="F63" i="34"/>
  <c r="F59" i="34"/>
  <c r="F43" i="34"/>
  <c r="F31" i="34"/>
  <c r="F26" i="34"/>
  <c r="F25" i="34"/>
  <c r="F77" i="34"/>
  <c r="F72" i="34"/>
  <c r="F52" i="34"/>
  <c r="F47" i="34"/>
  <c r="F40" i="34"/>
  <c r="F28" i="34"/>
  <c r="F19" i="34"/>
  <c r="F67" i="34"/>
  <c r="F61" i="34"/>
  <c r="F73" i="34"/>
  <c r="F68" i="34"/>
  <c r="F30" i="34"/>
  <c r="F27" i="34"/>
  <c r="F62" i="34"/>
  <c r="F53" i="34"/>
  <c r="F41" i="34"/>
  <c r="F35" i="34"/>
  <c r="F71" i="34"/>
  <c r="F42" i="34"/>
  <c r="F75" i="34"/>
  <c r="F36" i="34"/>
  <c r="F50" i="34"/>
  <c r="F58" i="34"/>
  <c r="F39" i="34"/>
  <c r="F29" i="34"/>
  <c r="F55" i="34"/>
  <c r="F65" i="34"/>
  <c r="F56" i="34"/>
  <c r="F82" i="34"/>
  <c r="D94" i="40"/>
  <c r="J31" i="31"/>
  <c r="H59" i="30"/>
  <c r="N22" i="30"/>
  <c r="R23" i="38"/>
  <c r="R19" i="38"/>
  <c r="P19" i="38"/>
  <c r="R16" i="38"/>
  <c r="R17" i="38"/>
  <c r="R27" i="38"/>
  <c r="X12" i="38"/>
  <c r="Z12" i="38" s="1"/>
  <c r="R21" i="38"/>
  <c r="X22" i="30"/>
  <c r="R22" i="30"/>
  <c r="P59" i="30"/>
  <c r="H63" i="26"/>
  <c r="N59" i="26"/>
  <c r="P70" i="23"/>
  <c r="X16" i="23"/>
  <c r="D84" i="24"/>
  <c r="L81" i="24"/>
  <c r="H81" i="22"/>
  <c r="N77" i="22"/>
  <c r="T122" i="15"/>
  <c r="F120" i="15"/>
  <c r="F115" i="15"/>
  <c r="F109" i="15"/>
  <c r="F102" i="15"/>
  <c r="F98" i="15"/>
  <c r="F61" i="15"/>
  <c r="F58" i="15"/>
  <c r="F42" i="15"/>
  <c r="F38" i="15"/>
  <c r="F30" i="15"/>
  <c r="F108" i="15"/>
  <c r="F96" i="15"/>
  <c r="F79" i="15"/>
  <c r="F63" i="15"/>
  <c r="F60" i="15"/>
  <c r="F48" i="15"/>
  <c r="F40" i="15"/>
  <c r="F36" i="15"/>
  <c r="L12" i="15"/>
  <c r="N12" i="15" s="1"/>
  <c r="F114" i="15"/>
  <c r="F112" i="15"/>
  <c r="F107" i="15"/>
  <c r="F95" i="15"/>
  <c r="F90" i="15"/>
  <c r="F87" i="15"/>
  <c r="F82" i="15"/>
  <c r="F74" i="15"/>
  <c r="F71" i="15"/>
  <c r="F66" i="15"/>
  <c r="F54" i="15"/>
  <c r="F51" i="15"/>
  <c r="F47" i="15"/>
  <c r="F35" i="15"/>
  <c r="D25" i="15"/>
  <c r="F23" i="15"/>
  <c r="F110" i="15"/>
  <c r="F101" i="15"/>
  <c r="F94" i="15"/>
  <c r="F86" i="15"/>
  <c r="F78" i="15"/>
  <c r="F62" i="15"/>
  <c r="F46" i="15"/>
  <c r="F34" i="15"/>
  <c r="F22" i="15"/>
  <c r="F116" i="15"/>
  <c r="F104" i="15"/>
  <c r="F93" i="15"/>
  <c r="F89" i="15"/>
  <c r="F85" i="15"/>
  <c r="F81" i="15"/>
  <c r="F77" i="15"/>
  <c r="F73" i="15"/>
  <c r="F68" i="15"/>
  <c r="F65" i="15"/>
  <c r="F56" i="15"/>
  <c r="F53" i="15"/>
  <c r="F45" i="15"/>
  <c r="F33" i="15"/>
  <c r="F28" i="15"/>
  <c r="F27" i="15"/>
  <c r="F21" i="15"/>
  <c r="F113" i="15"/>
  <c r="F100" i="15"/>
  <c r="F92" i="15"/>
  <c r="F84" i="15"/>
  <c r="F80" i="15"/>
  <c r="F76" i="15"/>
  <c r="F64" i="15"/>
  <c r="F59" i="15"/>
  <c r="F44" i="15"/>
  <c r="F39" i="15"/>
  <c r="F32" i="15"/>
  <c r="F106" i="15"/>
  <c r="F103" i="15"/>
  <c r="F99" i="15"/>
  <c r="F91" i="15"/>
  <c r="F83" i="15"/>
  <c r="F75" i="15"/>
  <c r="F70" i="15"/>
  <c r="F67" i="15"/>
  <c r="F55" i="15"/>
  <c r="F50" i="15"/>
  <c r="F43" i="15"/>
  <c r="F31" i="15"/>
  <c r="F69" i="15"/>
  <c r="F57" i="15"/>
  <c r="F52" i="15"/>
  <c r="F41" i="15"/>
  <c r="F105" i="15"/>
  <c r="F97" i="15"/>
  <c r="F88" i="15"/>
  <c r="F49" i="15"/>
  <c r="F29" i="15"/>
  <c r="F72" i="15"/>
  <c r="F20" i="15"/>
  <c r="F37" i="15"/>
  <c r="R76" i="19"/>
  <c r="R119" i="11"/>
  <c r="R112" i="11"/>
  <c r="R109" i="11"/>
  <c r="R104" i="11"/>
  <c r="R97" i="11"/>
  <c r="R93" i="11"/>
  <c r="R60" i="11"/>
  <c r="R53" i="11"/>
  <c r="R48" i="11"/>
  <c r="R36" i="11"/>
  <c r="R28" i="11"/>
  <c r="R20" i="11"/>
  <c r="R121" i="11"/>
  <c r="R115" i="11"/>
  <c r="R100" i="11"/>
  <c r="R87" i="11"/>
  <c r="R84" i="11"/>
  <c r="R75" i="11"/>
  <c r="R72" i="11"/>
  <c r="R67" i="11"/>
  <c r="R64" i="11"/>
  <c r="R59" i="11"/>
  <c r="R47" i="11"/>
  <c r="R35" i="11"/>
  <c r="R27" i="11"/>
  <c r="R114" i="11"/>
  <c r="R111" i="11"/>
  <c r="R103" i="11"/>
  <c r="R78" i="11"/>
  <c r="R58" i="11"/>
  <c r="R46" i="11"/>
  <c r="R34" i="11"/>
  <c r="R26" i="11"/>
  <c r="R19" i="11"/>
  <c r="R123" i="11"/>
  <c r="R117" i="11"/>
  <c r="R89" i="11"/>
  <c r="R86" i="11"/>
  <c r="R81" i="11"/>
  <c r="R77" i="11"/>
  <c r="R74" i="11"/>
  <c r="R69" i="11"/>
  <c r="R66" i="11"/>
  <c r="R57" i="11"/>
  <c r="R45" i="11"/>
  <c r="R40" i="11"/>
  <c r="R33" i="11"/>
  <c r="R25" i="11"/>
  <c r="R120" i="11"/>
  <c r="R113" i="11"/>
  <c r="R108" i="11"/>
  <c r="R96" i="11"/>
  <c r="R92" i="11"/>
  <c r="R80" i="11"/>
  <c r="R56" i="11"/>
  <c r="R52" i="11"/>
  <c r="R44" i="11"/>
  <c r="R42" i="11"/>
  <c r="P40" i="11"/>
  <c r="R32" i="11"/>
  <c r="R24" i="11"/>
  <c r="R116" i="11"/>
  <c r="R107" i="11"/>
  <c r="R99" i="11"/>
  <c r="R95" i="11"/>
  <c r="R91" i="11"/>
  <c r="R88" i="11"/>
  <c r="R83" i="11"/>
  <c r="R76" i="11"/>
  <c r="R71" i="11"/>
  <c r="R68" i="11"/>
  <c r="R63" i="11"/>
  <c r="R55" i="11"/>
  <c r="R51" i="11"/>
  <c r="R31" i="11"/>
  <c r="R23" i="11"/>
  <c r="R122" i="11"/>
  <c r="R110" i="11"/>
  <c r="R106" i="11"/>
  <c r="R102" i="11"/>
  <c r="R98" i="11"/>
  <c r="R94" i="11"/>
  <c r="R79" i="11"/>
  <c r="R62" i="11"/>
  <c r="R54" i="11"/>
  <c r="R50" i="11"/>
  <c r="R43" i="11"/>
  <c r="R38" i="11"/>
  <c r="R30" i="11"/>
  <c r="R22" i="11"/>
  <c r="X12" i="11"/>
  <c r="Z12" i="11" s="1"/>
  <c r="R105" i="11"/>
  <c r="R73" i="11"/>
  <c r="R65" i="11"/>
  <c r="R70" i="11"/>
  <c r="R49" i="11"/>
  <c r="R85" i="11"/>
  <c r="R21" i="11"/>
  <c r="R82" i="11"/>
  <c r="R29" i="11"/>
  <c r="R90" i="11"/>
  <c r="R61" i="11"/>
  <c r="R37" i="11"/>
  <c r="R127" i="11"/>
  <c r="R101" i="11"/>
  <c r="P116" i="16"/>
  <c r="X24" i="16"/>
  <c r="Z24" i="16" s="1"/>
  <c r="J56" i="8"/>
  <c r="T26" i="4"/>
  <c r="Z22" i="4"/>
  <c r="D93" i="56"/>
  <c r="L23" i="56"/>
  <c r="F23" i="56"/>
  <c r="R82" i="31"/>
  <c r="R75" i="31"/>
  <c r="R71" i="31"/>
  <c r="R66" i="31"/>
  <c r="R91" i="31"/>
  <c r="R85" i="31"/>
  <c r="R78" i="31"/>
  <c r="R65" i="31"/>
  <c r="R62" i="31"/>
  <c r="R57" i="31"/>
  <c r="R53" i="31"/>
  <c r="R41" i="31"/>
  <c r="R34" i="31"/>
  <c r="R29" i="31"/>
  <c r="R21" i="31"/>
  <c r="R88" i="31"/>
  <c r="R81" i="31"/>
  <c r="R68" i="31"/>
  <c r="R52" i="31"/>
  <c r="R45" i="31"/>
  <c r="R40" i="31"/>
  <c r="R28" i="31"/>
  <c r="R20" i="31"/>
  <c r="R84" i="31"/>
  <c r="R64" i="31"/>
  <c r="R59" i="31"/>
  <c r="R56" i="31"/>
  <c r="R51" i="31"/>
  <c r="R39" i="31"/>
  <c r="R27" i="31"/>
  <c r="R95" i="31"/>
  <c r="R69" i="31"/>
  <c r="R61" i="31"/>
  <c r="R55" i="31"/>
  <c r="R46" i="31"/>
  <c r="R19" i="31"/>
  <c r="R70" i="31"/>
  <c r="R47" i="31"/>
  <c r="R42" i="31"/>
  <c r="R72" i="31"/>
  <c r="R50" i="31"/>
  <c r="R49" i="31"/>
  <c r="R48" i="31"/>
  <c r="R43" i="31"/>
  <c r="R73" i="31"/>
  <c r="R44" i="31"/>
  <c r="R35" i="31"/>
  <c r="R22" i="31"/>
  <c r="R90" i="31"/>
  <c r="R76" i="31"/>
  <c r="R74" i="31"/>
  <c r="R36" i="31"/>
  <c r="R26" i="31"/>
  <c r="R23" i="31"/>
  <c r="R67" i="31"/>
  <c r="R80" i="31"/>
  <c r="R58" i="31"/>
  <c r="R37" i="31"/>
  <c r="R83" i="31"/>
  <c r="R63" i="31"/>
  <c r="R38" i="31"/>
  <c r="R25" i="31"/>
  <c r="R24" i="31"/>
  <c r="P31" i="31"/>
  <c r="R87" i="31"/>
  <c r="R54" i="31"/>
  <c r="R33" i="31"/>
  <c r="R60" i="31"/>
  <c r="X12" i="31"/>
  <c r="Z12" i="31" s="1"/>
  <c r="R79" i="31"/>
  <c r="R77" i="31"/>
  <c r="R89" i="31"/>
  <c r="H84" i="34"/>
  <c r="J80" i="34"/>
  <c r="T68" i="25"/>
  <c r="Z16" i="25"/>
  <c r="H79" i="58"/>
  <c r="D75" i="58"/>
  <c r="L17" i="58"/>
  <c r="N17" i="58" s="1"/>
  <c r="F17" i="58"/>
  <c r="N19" i="55"/>
  <c r="H36" i="55"/>
  <c r="H38" i="52"/>
  <c r="N18" i="52"/>
  <c r="D91" i="54"/>
  <c r="L23" i="54"/>
  <c r="D29" i="51"/>
  <c r="L17" i="51"/>
  <c r="T57" i="50"/>
  <c r="T33" i="51"/>
  <c r="H91" i="49"/>
  <c r="J20" i="49"/>
  <c r="P57" i="50"/>
  <c r="X53" i="50"/>
  <c r="Z53" i="50" s="1"/>
  <c r="P38" i="52"/>
  <c r="X18" i="52"/>
  <c r="D28" i="46"/>
  <c r="L16" i="46"/>
  <c r="X16" i="44"/>
  <c r="P82" i="44"/>
  <c r="T90" i="40"/>
  <c r="F88" i="42"/>
  <c r="F85" i="42"/>
  <c r="F77" i="42"/>
  <c r="F72" i="42"/>
  <c r="F69" i="42"/>
  <c r="F61" i="42"/>
  <c r="F56" i="42"/>
  <c r="F41" i="42"/>
  <c r="F36" i="42"/>
  <c r="F96" i="42"/>
  <c r="F76" i="42"/>
  <c r="F68" i="42"/>
  <c r="F64" i="42"/>
  <c r="F52" i="42"/>
  <c r="F47" i="42"/>
  <c r="F40" i="42"/>
  <c r="F87" i="42"/>
  <c r="F82" i="42"/>
  <c r="F75" i="42"/>
  <c r="F71" i="42"/>
  <c r="F67" i="42"/>
  <c r="F63" i="42"/>
  <c r="F58" i="42"/>
  <c r="F55" i="42"/>
  <c r="F92" i="42"/>
  <c r="F86" i="42"/>
  <c r="F83" i="42"/>
  <c r="F79" i="42"/>
  <c r="F70" i="42"/>
  <c r="F62" i="42"/>
  <c r="F59" i="42"/>
  <c r="F43" i="42"/>
  <c r="F31" i="42"/>
  <c r="F78" i="42"/>
  <c r="F65" i="42"/>
  <c r="F53" i="42"/>
  <c r="F50" i="42"/>
  <c r="F42" i="42"/>
  <c r="F45" i="42"/>
  <c r="F27" i="42"/>
  <c r="F18" i="42"/>
  <c r="F91" i="42"/>
  <c r="F60" i="42"/>
  <c r="F46" i="42"/>
  <c r="F34" i="42"/>
  <c r="F84" i="42"/>
  <c r="D23" i="42"/>
  <c r="F21" i="42"/>
  <c r="F73" i="42"/>
  <c r="F35" i="42"/>
  <c r="F20" i="42"/>
  <c r="L12" i="42"/>
  <c r="N12" i="42" s="1"/>
  <c r="F54" i="42"/>
  <c r="F51" i="42"/>
  <c r="F39" i="42"/>
  <c r="F32" i="42"/>
  <c r="F29" i="42"/>
  <c r="F89" i="42"/>
  <c r="F66" i="42"/>
  <c r="F44" i="42"/>
  <c r="F33" i="42"/>
  <c r="F28" i="42"/>
  <c r="F81" i="42"/>
  <c r="F38" i="42"/>
  <c r="F19" i="42"/>
  <c r="F30" i="42"/>
  <c r="F48" i="42"/>
  <c r="F80" i="42"/>
  <c r="F25" i="42"/>
  <c r="F26" i="42"/>
  <c r="F57" i="42"/>
  <c r="F49" i="42"/>
  <c r="F37" i="42"/>
  <c r="F74" i="42"/>
  <c r="T80" i="34"/>
  <c r="P27" i="36"/>
  <c r="X18" i="36"/>
  <c r="R83" i="40"/>
  <c r="R80" i="40"/>
  <c r="R76" i="40"/>
  <c r="R55" i="40"/>
  <c r="R52" i="40"/>
  <c r="R47" i="40"/>
  <c r="R39" i="40"/>
  <c r="R35" i="40"/>
  <c r="R92" i="40"/>
  <c r="R86" i="40"/>
  <c r="R66" i="40"/>
  <c r="R63" i="40"/>
  <c r="R58" i="40"/>
  <c r="R46" i="40"/>
  <c r="R38" i="40"/>
  <c r="R34" i="40"/>
  <c r="R27" i="40"/>
  <c r="R22" i="40"/>
  <c r="R82" i="40"/>
  <c r="R69" i="40"/>
  <c r="R57" i="40"/>
  <c r="R54" i="40"/>
  <c r="R49" i="40"/>
  <c r="R45" i="40"/>
  <c r="R33" i="40"/>
  <c r="R21" i="40"/>
  <c r="R85" i="40"/>
  <c r="R72" i="40"/>
  <c r="R68" i="40"/>
  <c r="R65" i="40"/>
  <c r="R60" i="40"/>
  <c r="R44" i="40"/>
  <c r="R37" i="40"/>
  <c r="R32" i="40"/>
  <c r="R20" i="40"/>
  <c r="X12" i="40"/>
  <c r="Z12" i="40" s="1"/>
  <c r="R88" i="40"/>
  <c r="R81" i="40"/>
  <c r="R77" i="40"/>
  <c r="R70" i="40"/>
  <c r="R53" i="40"/>
  <c r="R50" i="40"/>
  <c r="R41" i="40"/>
  <c r="R29" i="40"/>
  <c r="R18" i="40"/>
  <c r="R84" i="40"/>
  <c r="R73" i="40"/>
  <c r="R64" i="40"/>
  <c r="R61" i="40"/>
  <c r="R40" i="40"/>
  <c r="R36" i="40"/>
  <c r="R28" i="40"/>
  <c r="R26" i="40"/>
  <c r="P24" i="40"/>
  <c r="R67" i="40"/>
  <c r="R31" i="40"/>
  <c r="R19" i="40"/>
  <c r="R78" i="40"/>
  <c r="R74" i="40"/>
  <c r="R79" i="40"/>
  <c r="R75" i="40"/>
  <c r="R71" i="40"/>
  <c r="R62" i="40"/>
  <c r="R56" i="40"/>
  <c r="R51" i="40"/>
  <c r="R30" i="40"/>
  <c r="R42" i="40"/>
  <c r="R59" i="40"/>
  <c r="R43" i="40"/>
  <c r="R48" i="40"/>
  <c r="V19" i="38"/>
  <c r="T25" i="38"/>
  <c r="R65" i="37"/>
  <c r="R61" i="37"/>
  <c r="R52" i="37"/>
  <c r="R49" i="37"/>
  <c r="R44" i="37"/>
  <c r="R36" i="37"/>
  <c r="R32" i="37"/>
  <c r="R24" i="37"/>
  <c r="R22" i="37"/>
  <c r="P20" i="37"/>
  <c r="R81" i="37"/>
  <c r="R75" i="37"/>
  <c r="R72" i="37"/>
  <c r="R43" i="37"/>
  <c r="R35" i="37"/>
  <c r="R31" i="37"/>
  <c r="R54" i="37"/>
  <c r="R51" i="37"/>
  <c r="R46" i="37"/>
  <c r="R42" i="37"/>
  <c r="R30" i="37"/>
  <c r="R23" i="37"/>
  <c r="R18" i="37"/>
  <c r="R74" i="37"/>
  <c r="R69" i="37"/>
  <c r="R57" i="37"/>
  <c r="R41" i="37"/>
  <c r="R34" i="37"/>
  <c r="R29" i="37"/>
  <c r="R17" i="37"/>
  <c r="R77" i="37"/>
  <c r="R66" i="37"/>
  <c r="R62" i="37"/>
  <c r="R55" i="37"/>
  <c r="R50" i="37"/>
  <c r="R47" i="37"/>
  <c r="R38" i="37"/>
  <c r="R26" i="37"/>
  <c r="R70" i="37"/>
  <c r="R56" i="37"/>
  <c r="R64" i="37"/>
  <c r="R63" i="37"/>
  <c r="R27" i="37"/>
  <c r="R16" i="37"/>
  <c r="X12" i="37"/>
  <c r="Z12" i="37" s="1"/>
  <c r="R73" i="37"/>
  <c r="R71" i="37"/>
  <c r="R45" i="37"/>
  <c r="R33" i="37"/>
  <c r="R28" i="37"/>
  <c r="R58" i="37"/>
  <c r="R53" i="37"/>
  <c r="R40" i="37"/>
  <c r="R39" i="37"/>
  <c r="R37" i="37"/>
  <c r="R68" i="37"/>
  <c r="R67" i="37"/>
  <c r="R48" i="37"/>
  <c r="R59" i="37"/>
  <c r="R25" i="37"/>
  <c r="R60" i="37"/>
  <c r="T91" i="29"/>
  <c r="T113" i="33"/>
  <c r="V40" i="33"/>
  <c r="N57" i="27"/>
  <c r="H61" i="27"/>
  <c r="L61" i="27" s="1"/>
  <c r="T63" i="26"/>
  <c r="F72" i="18"/>
  <c r="D75" i="18"/>
  <c r="L17" i="18"/>
  <c r="N17" i="18" s="1"/>
  <c r="V31" i="19"/>
  <c r="N16" i="21"/>
  <c r="H32" i="21"/>
  <c r="J17" i="18"/>
  <c r="T36" i="21"/>
  <c r="H124" i="14"/>
  <c r="J27" i="14"/>
  <c r="H116" i="16"/>
  <c r="H102" i="17"/>
  <c r="N25" i="17"/>
  <c r="H97" i="9"/>
  <c r="R153" i="7"/>
  <c r="R145" i="7"/>
  <c r="R125" i="7"/>
  <c r="R113" i="7"/>
  <c r="R109" i="7"/>
  <c r="R97" i="7"/>
  <c r="R85" i="7"/>
  <c r="R73" i="7"/>
  <c r="R65" i="7"/>
  <c r="R61" i="7"/>
  <c r="R41" i="7"/>
  <c r="R33" i="7"/>
  <c r="R25" i="7"/>
  <c r="R141" i="7"/>
  <c r="R137" i="7"/>
  <c r="R121" i="7"/>
  <c r="R117" i="7"/>
  <c r="R108" i="7"/>
  <c r="R105" i="7"/>
  <c r="R100" i="7"/>
  <c r="R93" i="7"/>
  <c r="R88" i="7"/>
  <c r="R81" i="7"/>
  <c r="R76" i="7"/>
  <c r="R72" i="7"/>
  <c r="R60" i="7"/>
  <c r="R53" i="7"/>
  <c r="R48" i="7"/>
  <c r="R40" i="7"/>
  <c r="R32" i="7"/>
  <c r="R24" i="7"/>
  <c r="R147" i="7"/>
  <c r="R131" i="7"/>
  <c r="R124" i="7"/>
  <c r="R112" i="7"/>
  <c r="R96" i="7"/>
  <c r="R84" i="7"/>
  <c r="R71" i="7"/>
  <c r="R64" i="7"/>
  <c r="R59" i="7"/>
  <c r="R47" i="7"/>
  <c r="R39" i="7"/>
  <c r="R31" i="7"/>
  <c r="R23" i="7"/>
  <c r="R134" i="7"/>
  <c r="R130" i="7"/>
  <c r="R107" i="7"/>
  <c r="R102" i="7"/>
  <c r="R99" i="7"/>
  <c r="R90" i="7"/>
  <c r="R87" i="7"/>
  <c r="R78" i="7"/>
  <c r="R75" i="7"/>
  <c r="R70" i="7"/>
  <c r="R58" i="7"/>
  <c r="R46" i="7"/>
  <c r="R38" i="7"/>
  <c r="R30" i="7"/>
  <c r="R22" i="7"/>
  <c r="R149" i="7"/>
  <c r="R144" i="7"/>
  <c r="R133" i="7"/>
  <c r="R129" i="7"/>
  <c r="R69" i="7"/>
  <c r="R57" i="7"/>
  <c r="R45" i="7"/>
  <c r="R37" i="7"/>
  <c r="R29" i="7"/>
  <c r="R139" i="7"/>
  <c r="R132" i="7"/>
  <c r="R127" i="7"/>
  <c r="R123" i="7"/>
  <c r="R119" i="7"/>
  <c r="R115" i="7"/>
  <c r="R111" i="7"/>
  <c r="R95" i="7"/>
  <c r="R83" i="7"/>
  <c r="R67" i="7"/>
  <c r="R63" i="7"/>
  <c r="R55" i="7"/>
  <c r="R50" i="7"/>
  <c r="R43" i="7"/>
  <c r="R35" i="7"/>
  <c r="R27" i="7"/>
  <c r="R148" i="7"/>
  <c r="R142" i="7"/>
  <c r="R138" i="7"/>
  <c r="R135" i="7"/>
  <c r="R126" i="7"/>
  <c r="R122" i="7"/>
  <c r="R118" i="7"/>
  <c r="R114" i="7"/>
  <c r="R110" i="7"/>
  <c r="R106" i="7"/>
  <c r="R103" i="7"/>
  <c r="R98" i="7"/>
  <c r="R94" i="7"/>
  <c r="R91" i="7"/>
  <c r="R86" i="7"/>
  <c r="R82" i="7"/>
  <c r="R79" i="7"/>
  <c r="R74" i="7"/>
  <c r="R66" i="7"/>
  <c r="R62" i="7"/>
  <c r="R54" i="7"/>
  <c r="R52" i="7"/>
  <c r="P50" i="7"/>
  <c r="R42" i="7"/>
  <c r="R34" i="7"/>
  <c r="R26" i="7"/>
  <c r="X12" i="7"/>
  <c r="Z12" i="7" s="1"/>
  <c r="R101" i="7"/>
  <c r="R92" i="7"/>
  <c r="R21" i="7"/>
  <c r="R146" i="7"/>
  <c r="R116" i="7"/>
  <c r="R36" i="7"/>
  <c r="R104" i="7"/>
  <c r="R120" i="7"/>
  <c r="R140" i="7"/>
  <c r="R80" i="7"/>
  <c r="R56" i="7"/>
  <c r="R77" i="7"/>
  <c r="R68" i="7"/>
  <c r="R44" i="7"/>
  <c r="R28" i="7"/>
  <c r="R136" i="7"/>
  <c r="R128" i="7"/>
  <c r="R89" i="7"/>
  <c r="F42" i="13"/>
  <c r="R73" i="9"/>
  <c r="R69" i="9"/>
  <c r="R64" i="9"/>
  <c r="R61" i="9"/>
  <c r="R44" i="9"/>
  <c r="R32" i="9"/>
  <c r="R92" i="9"/>
  <c r="R80" i="9"/>
  <c r="R76" i="9"/>
  <c r="R55" i="9"/>
  <c r="R52" i="9"/>
  <c r="R43" i="9"/>
  <c r="R31" i="9"/>
  <c r="R86" i="9"/>
  <c r="R66" i="9"/>
  <c r="R63" i="9"/>
  <c r="R58" i="9"/>
  <c r="R42" i="9"/>
  <c r="R38" i="9"/>
  <c r="R30" i="9"/>
  <c r="R25" i="9"/>
  <c r="R89" i="9"/>
  <c r="R85" i="9"/>
  <c r="R57" i="9"/>
  <c r="R54" i="9"/>
  <c r="R49" i="9"/>
  <c r="R41" i="9"/>
  <c r="R37" i="9"/>
  <c r="R29" i="9"/>
  <c r="R27" i="9"/>
  <c r="P25" i="9"/>
  <c r="R95" i="9"/>
  <c r="R88" i="9"/>
  <c r="R84" i="9"/>
  <c r="R72" i="9"/>
  <c r="R68" i="9"/>
  <c r="R65" i="9"/>
  <c r="R60" i="9"/>
  <c r="R48" i="9"/>
  <c r="R40" i="9"/>
  <c r="R36" i="9"/>
  <c r="R91" i="9"/>
  <c r="R83" i="9"/>
  <c r="R79" i="9"/>
  <c r="R75" i="9"/>
  <c r="R71" i="9"/>
  <c r="R56" i="9"/>
  <c r="R51" i="9"/>
  <c r="R47" i="9"/>
  <c r="R35" i="9"/>
  <c r="R28" i="9"/>
  <c r="R23" i="9"/>
  <c r="R87" i="9"/>
  <c r="R82" i="9"/>
  <c r="R78" i="9"/>
  <c r="R74" i="9"/>
  <c r="R70" i="9"/>
  <c r="R67" i="9"/>
  <c r="R62" i="9"/>
  <c r="R59" i="9"/>
  <c r="R46" i="9"/>
  <c r="R39" i="9"/>
  <c r="R34" i="9"/>
  <c r="R22" i="9"/>
  <c r="R50" i="9"/>
  <c r="R99" i="9"/>
  <c r="R90" i="9"/>
  <c r="R77" i="9"/>
  <c r="R33" i="9"/>
  <c r="R21" i="9"/>
  <c r="R81" i="9"/>
  <c r="R53" i="9"/>
  <c r="R45" i="9"/>
  <c r="R20" i="9"/>
  <c r="X12" i="9"/>
  <c r="Z12" i="9" s="1"/>
  <c r="R93" i="9"/>
  <c r="R151" i="3"/>
  <c r="R116" i="3"/>
  <c r="R83" i="3"/>
  <c r="R176" i="3"/>
  <c r="R158" i="3"/>
  <c r="R154" i="3"/>
  <c r="R146" i="3"/>
  <c r="R138" i="3"/>
  <c r="R134" i="3"/>
  <c r="R130" i="3"/>
  <c r="R107" i="3"/>
  <c r="R102" i="3"/>
  <c r="R95" i="3"/>
  <c r="R90" i="3"/>
  <c r="R86" i="3"/>
  <c r="R74" i="3"/>
  <c r="R67" i="3"/>
  <c r="R62" i="3"/>
  <c r="R54" i="3"/>
  <c r="R46" i="3"/>
  <c r="R38" i="3"/>
  <c r="R30" i="3"/>
  <c r="X12" i="3"/>
  <c r="Z12" i="3" s="1"/>
  <c r="R163" i="3"/>
  <c r="R136" i="3"/>
  <c r="R127" i="3"/>
  <c r="R51" i="3"/>
  <c r="R185" i="3"/>
  <c r="R173" i="3"/>
  <c r="R168" i="3"/>
  <c r="R157" i="3"/>
  <c r="R153" i="3"/>
  <c r="R142" i="3"/>
  <c r="R137" i="3"/>
  <c r="R133" i="3"/>
  <c r="R129" i="3"/>
  <c r="R125" i="3"/>
  <c r="R122" i="3"/>
  <c r="R117" i="3"/>
  <c r="R114" i="3"/>
  <c r="R110" i="3"/>
  <c r="R98" i="3"/>
  <c r="R85" i="3"/>
  <c r="R78" i="3"/>
  <c r="R73" i="3"/>
  <c r="R61" i="3"/>
  <c r="R53" i="3"/>
  <c r="R45" i="3"/>
  <c r="R37" i="3"/>
  <c r="R29" i="3"/>
  <c r="R175" i="3"/>
  <c r="R124" i="3"/>
  <c r="R35" i="3"/>
  <c r="R170" i="3"/>
  <c r="R164" i="3"/>
  <c r="R160" i="3"/>
  <c r="R152" i="3"/>
  <c r="R145" i="3"/>
  <c r="R132" i="3"/>
  <c r="R128" i="3"/>
  <c r="R104" i="3"/>
  <c r="R101" i="3"/>
  <c r="R92" i="3"/>
  <c r="R89" i="3"/>
  <c r="R84" i="3"/>
  <c r="R72" i="3"/>
  <c r="R60" i="3"/>
  <c r="R52" i="3"/>
  <c r="R44" i="3"/>
  <c r="R36" i="3"/>
  <c r="R28" i="3"/>
  <c r="R156" i="3"/>
  <c r="R119" i="3"/>
  <c r="R71" i="3"/>
  <c r="R59" i="3"/>
  <c r="R43" i="3"/>
  <c r="R180" i="3"/>
  <c r="R172" i="3"/>
  <c r="R166" i="3"/>
  <c r="R162" i="3"/>
  <c r="R159" i="3"/>
  <c r="R150" i="3"/>
  <c r="R131" i="3"/>
  <c r="R106" i="3"/>
  <c r="R103" i="3"/>
  <c r="R94" i="3"/>
  <c r="R91" i="3"/>
  <c r="R82" i="3"/>
  <c r="R70" i="3"/>
  <c r="R58" i="3"/>
  <c r="R50" i="3"/>
  <c r="R42" i="3"/>
  <c r="R34" i="3"/>
  <c r="R27" i="3"/>
  <c r="R161" i="3"/>
  <c r="R148" i="3"/>
  <c r="R112" i="3"/>
  <c r="R108" i="3"/>
  <c r="R105" i="3"/>
  <c r="R96" i="3"/>
  <c r="R93" i="3"/>
  <c r="R48" i="3"/>
  <c r="R155" i="3"/>
  <c r="R147" i="3"/>
  <c r="R135" i="3"/>
  <c r="R115" i="3"/>
  <c r="R111" i="3"/>
  <c r="R79" i="3"/>
  <c r="R31" i="3"/>
  <c r="R184" i="3"/>
  <c r="R169" i="3"/>
  <c r="R149" i="3"/>
  <c r="R141" i="3"/>
  <c r="R126" i="3"/>
  <c r="R121" i="3"/>
  <c r="R118" i="3"/>
  <c r="R113" i="3"/>
  <c r="R109" i="3"/>
  <c r="R97" i="3"/>
  <c r="R81" i="3"/>
  <c r="R77" i="3"/>
  <c r="R69" i="3"/>
  <c r="R64" i="3"/>
  <c r="R57" i="3"/>
  <c r="R49" i="3"/>
  <c r="R41" i="3"/>
  <c r="R33" i="3"/>
  <c r="R174" i="3"/>
  <c r="R165" i="3"/>
  <c r="R144" i="3"/>
  <c r="R140" i="3"/>
  <c r="R100" i="3"/>
  <c r="R88" i="3"/>
  <c r="R80" i="3"/>
  <c r="R76" i="3"/>
  <c r="R68" i="3"/>
  <c r="R66" i="3"/>
  <c r="P64" i="3"/>
  <c r="R56" i="3"/>
  <c r="R40" i="3"/>
  <c r="R32" i="3"/>
  <c r="R171" i="3"/>
  <c r="R143" i="3"/>
  <c r="R139" i="3"/>
  <c r="R123" i="3"/>
  <c r="R120" i="3"/>
  <c r="R99" i="3"/>
  <c r="R87" i="3"/>
  <c r="R75" i="3"/>
  <c r="R55" i="3"/>
  <c r="R47" i="3"/>
  <c r="R39" i="3"/>
  <c r="J56" i="6"/>
  <c r="D101" i="5"/>
  <c r="L97" i="5"/>
  <c r="L16" i="5"/>
  <c r="H60" i="53"/>
  <c r="L60" i="53" s="1"/>
  <c r="N16" i="53"/>
  <c r="P57" i="27"/>
  <c r="X16" i="27"/>
  <c r="N23" i="57"/>
  <c r="H92" i="57"/>
  <c r="P36" i="55"/>
  <c r="X19" i="55"/>
  <c r="T91" i="54"/>
  <c r="V23" i="54"/>
  <c r="T40" i="55"/>
  <c r="Z36" i="55"/>
  <c r="H53" i="50"/>
  <c r="N16" i="50"/>
  <c r="T60" i="53"/>
  <c r="Z16" i="53"/>
  <c r="N23" i="48"/>
  <c r="J23" i="48"/>
  <c r="H97" i="48"/>
  <c r="T33" i="45"/>
  <c r="Z17" i="45"/>
  <c r="L20" i="49"/>
  <c r="N20" i="49" s="1"/>
  <c r="D91" i="49"/>
  <c r="F19" i="41"/>
  <c r="F25" i="41"/>
  <c r="F24" i="41"/>
  <c r="F18" i="41"/>
  <c r="L12" i="41"/>
  <c r="N12" i="41" s="1"/>
  <c r="F39" i="41"/>
  <c r="F32" i="41"/>
  <c r="F27" i="41"/>
  <c r="F36" i="41"/>
  <c r="F30" i="41"/>
  <c r="F22" i="41"/>
  <c r="F34" i="41"/>
  <c r="F28" i="41"/>
  <c r="D22" i="41"/>
  <c r="F20" i="41"/>
  <c r="F17" i="41"/>
  <c r="F26" i="41"/>
  <c r="N24" i="40"/>
  <c r="H90" i="40"/>
  <c r="D33" i="45"/>
  <c r="L17" i="45"/>
  <c r="H94" i="42"/>
  <c r="F68" i="35"/>
  <c r="F65" i="35"/>
  <c r="F60" i="35"/>
  <c r="F57" i="35"/>
  <c r="F53" i="35"/>
  <c r="F41" i="35"/>
  <c r="F77" i="35"/>
  <c r="F52" i="35"/>
  <c r="F70" i="35"/>
  <c r="F67" i="35"/>
  <c r="F62" i="35"/>
  <c r="F59" i="35"/>
  <c r="F51" i="35"/>
  <c r="F79" i="35"/>
  <c r="F73" i="35"/>
  <c r="F50" i="35"/>
  <c r="F83" i="35"/>
  <c r="F78" i="35"/>
  <c r="F76" i="35"/>
  <c r="F71" i="35"/>
  <c r="F66" i="35"/>
  <c r="F63" i="35"/>
  <c r="F58" i="35"/>
  <c r="F55" i="35"/>
  <c r="F47" i="35"/>
  <c r="F43" i="35"/>
  <c r="F69" i="35"/>
  <c r="F46" i="35"/>
  <c r="F45" i="35"/>
  <c r="F22" i="35"/>
  <c r="L12" i="35"/>
  <c r="N12" i="35" s="1"/>
  <c r="F74" i="35"/>
  <c r="D31" i="35"/>
  <c r="F29" i="35"/>
  <c r="F21" i="35"/>
  <c r="F56" i="35"/>
  <c r="F42" i="35"/>
  <c r="F40" i="35"/>
  <c r="F28" i="35"/>
  <c r="F20" i="35"/>
  <c r="F64" i="35"/>
  <c r="F39" i="35"/>
  <c r="F34" i="35"/>
  <c r="F33" i="35"/>
  <c r="F27" i="35"/>
  <c r="F49" i="35"/>
  <c r="F44" i="35"/>
  <c r="F36" i="35"/>
  <c r="F24" i="35"/>
  <c r="F19" i="35"/>
  <c r="F72" i="35"/>
  <c r="F38" i="35"/>
  <c r="F35" i="35"/>
  <c r="F23" i="35"/>
  <c r="F61" i="35"/>
  <c r="F54" i="35"/>
  <c r="F48" i="35"/>
  <c r="F25" i="35"/>
  <c r="F26" i="35"/>
  <c r="F37" i="35"/>
  <c r="T86" i="44"/>
  <c r="V31" i="35"/>
  <c r="H85" i="35"/>
  <c r="F49" i="30"/>
  <c r="F42" i="30"/>
  <c r="F37" i="30"/>
  <c r="F34" i="30"/>
  <c r="F25" i="30"/>
  <c r="F24" i="30"/>
  <c r="F52" i="30"/>
  <c r="F45" i="30"/>
  <c r="F28" i="30"/>
  <c r="F66" i="30"/>
  <c r="F59" i="30"/>
  <c r="F48" i="30"/>
  <c r="F44" i="30"/>
  <c r="F39" i="30"/>
  <c r="F46" i="30"/>
  <c r="F18" i="30"/>
  <c r="F43" i="30"/>
  <c r="F38" i="30"/>
  <c r="F57" i="30"/>
  <c r="F55" i="30"/>
  <c r="F54" i="30"/>
  <c r="F53" i="30"/>
  <c r="F41" i="30"/>
  <c r="F40" i="30"/>
  <c r="F33" i="30"/>
  <c r="L12" i="30"/>
  <c r="F63" i="30"/>
  <c r="F61" i="30"/>
  <c r="F32" i="30"/>
  <c r="F22" i="30"/>
  <c r="F51" i="30"/>
  <c r="F50" i="30"/>
  <c r="F36" i="30"/>
  <c r="F31" i="30"/>
  <c r="F29" i="30"/>
  <c r="D22" i="30"/>
  <c r="F20" i="30"/>
  <c r="F35" i="30"/>
  <c r="F47" i="30"/>
  <c r="F30" i="30"/>
  <c r="F26" i="30"/>
  <c r="F19" i="30"/>
  <c r="F27" i="30"/>
  <c r="L31" i="31"/>
  <c r="N31" i="31" s="1"/>
  <c r="D93" i="31"/>
  <c r="D102" i="28"/>
  <c r="L17" i="28"/>
  <c r="P72" i="25"/>
  <c r="X68" i="25"/>
  <c r="T106" i="17"/>
  <c r="H100" i="10"/>
  <c r="V64" i="3"/>
  <c r="T178" i="3"/>
  <c r="N27" i="36" l="1"/>
  <c r="T182" i="3"/>
  <c r="V178" i="3"/>
  <c r="P75" i="25"/>
  <c r="D37" i="45"/>
  <c r="L33" i="45"/>
  <c r="H101" i="48"/>
  <c r="J97" i="48"/>
  <c r="Z40" i="55"/>
  <c r="T43" i="55"/>
  <c r="Z43" i="55" s="1"/>
  <c r="T39" i="21"/>
  <c r="P90" i="40"/>
  <c r="X24" i="40"/>
  <c r="Z24" i="40" s="1"/>
  <c r="H95" i="49"/>
  <c r="J91" i="49"/>
  <c r="D95" i="54"/>
  <c r="L91" i="54"/>
  <c r="N91" i="54" s="1"/>
  <c r="F91" i="54"/>
  <c r="H82" i="58"/>
  <c r="J79" i="58"/>
  <c r="Z30" i="43"/>
  <c r="T33" i="43"/>
  <c r="Z33" i="43" s="1"/>
  <c r="H164" i="6"/>
  <c r="J160" i="6"/>
  <c r="D74" i="23"/>
  <c r="L70" i="23"/>
  <c r="H86" i="37"/>
  <c r="J83" i="37"/>
  <c r="T26" i="20"/>
  <c r="Z22" i="20"/>
  <c r="P79" i="18"/>
  <c r="X75" i="18"/>
  <c r="Z75" i="18" s="1"/>
  <c r="R75" i="18"/>
  <c r="D66" i="26"/>
  <c r="L63" i="26"/>
  <c r="N63" i="26" s="1"/>
  <c r="T95" i="49"/>
  <c r="V91" i="49"/>
  <c r="D155" i="7"/>
  <c r="L151" i="7"/>
  <c r="F151" i="7"/>
  <c r="T84" i="22"/>
  <c r="H30" i="43"/>
  <c r="N26" i="43"/>
  <c r="L64" i="3"/>
  <c r="N64" i="3" s="1"/>
  <c r="D178" i="3"/>
  <c r="N97" i="5"/>
  <c r="H101" i="5"/>
  <c r="V131" i="14"/>
  <c r="T63" i="30"/>
  <c r="T32" i="46"/>
  <c r="P94" i="42"/>
  <c r="X23" i="42"/>
  <c r="Z23" i="42" s="1"/>
  <c r="P79" i="58"/>
  <c r="X75" i="58"/>
  <c r="R75" i="58"/>
  <c r="T89" i="44"/>
  <c r="X31" i="31"/>
  <c r="Z31" i="31" s="1"/>
  <c r="P93" i="31"/>
  <c r="H88" i="35"/>
  <c r="J85" i="35"/>
  <c r="D81" i="35"/>
  <c r="L31" i="35"/>
  <c r="N31" i="35" s="1"/>
  <c r="D32" i="46"/>
  <c r="L28" i="46"/>
  <c r="N28" i="46" s="1"/>
  <c r="D97" i="56"/>
  <c r="L93" i="56"/>
  <c r="F93" i="56"/>
  <c r="T125" i="15"/>
  <c r="V122" i="15"/>
  <c r="H66" i="26"/>
  <c r="H63" i="30"/>
  <c r="T93" i="39"/>
  <c r="Z89" i="39"/>
  <c r="V89" i="39"/>
  <c r="T97" i="56"/>
  <c r="V93" i="56"/>
  <c r="P31" i="20"/>
  <c r="X26" i="20"/>
  <c r="L87" i="29"/>
  <c r="N87" i="29" s="1"/>
  <c r="D91" i="29"/>
  <c r="H120" i="33"/>
  <c r="J117" i="33"/>
  <c r="X28" i="46"/>
  <c r="Z28" i="46" s="1"/>
  <c r="P32" i="46"/>
  <c r="H98" i="54"/>
  <c r="P160" i="6"/>
  <c r="X56" i="6"/>
  <c r="Z56" i="6" s="1"/>
  <c r="H155" i="7"/>
  <c r="N151" i="7"/>
  <c r="J151" i="7"/>
  <c r="P80" i="12"/>
  <c r="X23" i="12"/>
  <c r="Z23" i="12" s="1"/>
  <c r="P81" i="22"/>
  <c r="X77" i="22"/>
  <c r="Z77" i="22" s="1"/>
  <c r="X89" i="39"/>
  <c r="P93" i="39"/>
  <c r="R89" i="39"/>
  <c r="H94" i="29"/>
  <c r="J91" i="29"/>
  <c r="L40" i="11"/>
  <c r="N40" i="11" s="1"/>
  <c r="D125" i="11"/>
  <c r="H79" i="18"/>
  <c r="J75" i="18"/>
  <c r="T95" i="54"/>
  <c r="V91" i="54"/>
  <c r="H36" i="21"/>
  <c r="P31" i="36"/>
  <c r="X27" i="36"/>
  <c r="H40" i="55"/>
  <c r="N36" i="55"/>
  <c r="D118" i="15"/>
  <c r="L25" i="15"/>
  <c r="N25" i="15" s="1"/>
  <c r="H94" i="40"/>
  <c r="L94" i="40" s="1"/>
  <c r="J90" i="40"/>
  <c r="P61" i="27"/>
  <c r="X57" i="27"/>
  <c r="P97" i="9"/>
  <c r="X25" i="9"/>
  <c r="Z25" i="9" s="1"/>
  <c r="T94" i="29"/>
  <c r="V91" i="29"/>
  <c r="P79" i="37"/>
  <c r="X20" i="37"/>
  <c r="Z20" i="37" s="1"/>
  <c r="D106" i="28"/>
  <c r="L102" i="28"/>
  <c r="P151" i="7"/>
  <c r="X50" i="7"/>
  <c r="Z50" i="7" s="1"/>
  <c r="H106" i="17"/>
  <c r="T66" i="26"/>
  <c r="R24" i="40"/>
  <c r="T36" i="51"/>
  <c r="H42" i="52"/>
  <c r="H87" i="34"/>
  <c r="J84" i="34"/>
  <c r="P63" i="30"/>
  <c r="X59" i="30"/>
  <c r="Z59" i="30" s="1"/>
  <c r="R59" i="30"/>
  <c r="H32" i="47"/>
  <c r="N28" i="47"/>
  <c r="L19" i="55"/>
  <c r="D36" i="55"/>
  <c r="H74" i="23"/>
  <c r="N70" i="23"/>
  <c r="H39" i="41"/>
  <c r="J36" i="41"/>
  <c r="T101" i="42"/>
  <c r="V98" i="42"/>
  <c r="H84" i="24"/>
  <c r="N81" i="24"/>
  <c r="D93" i="39"/>
  <c r="L89" i="39"/>
  <c r="F89" i="39"/>
  <c r="T83" i="37"/>
  <c r="V79" i="37"/>
  <c r="T134" i="13"/>
  <c r="V130" i="13"/>
  <c r="T97" i="10"/>
  <c r="V93" i="10"/>
  <c r="T81" i="24"/>
  <c r="D101" i="48"/>
  <c r="L97" i="48"/>
  <c r="N97" i="48" s="1"/>
  <c r="F97" i="48"/>
  <c r="P64" i="53"/>
  <c r="X60" i="53"/>
  <c r="Z60" i="53" s="1"/>
  <c r="H182" i="3"/>
  <c r="J178" i="3"/>
  <c r="D116" i="16"/>
  <c r="L24" i="16"/>
  <c r="N24" i="16" s="1"/>
  <c r="L27" i="14"/>
  <c r="N27" i="14" s="1"/>
  <c r="D124" i="14"/>
  <c r="L28" i="47"/>
  <c r="D32" i="47"/>
  <c r="H33" i="51"/>
  <c r="P31" i="59"/>
  <c r="X27" i="59"/>
  <c r="D84" i="22"/>
  <c r="L81" i="22"/>
  <c r="N81" i="22" s="1"/>
  <c r="P81" i="24"/>
  <c r="X77" i="24"/>
  <c r="Z77" i="24" s="1"/>
  <c r="P97" i="48"/>
  <c r="X23" i="48"/>
  <c r="Z23" i="48" s="1"/>
  <c r="D33" i="43"/>
  <c r="L30" i="43"/>
  <c r="D102" i="17"/>
  <c r="L25" i="17"/>
  <c r="P80" i="34"/>
  <c r="X23" i="34"/>
  <c r="Z23" i="34" s="1"/>
  <c r="D72" i="25"/>
  <c r="L68" i="25"/>
  <c r="R23" i="42"/>
  <c r="D36" i="21"/>
  <c r="L32" i="21"/>
  <c r="N32" i="21" s="1"/>
  <c r="D97" i="31"/>
  <c r="L93" i="31"/>
  <c r="F93" i="31"/>
  <c r="L22" i="30"/>
  <c r="D59" i="30"/>
  <c r="D95" i="49"/>
  <c r="L91" i="49"/>
  <c r="N91" i="49" s="1"/>
  <c r="T64" i="53"/>
  <c r="T60" i="50"/>
  <c r="P25" i="38"/>
  <c r="X19" i="38"/>
  <c r="Z19" i="38" s="1"/>
  <c r="L90" i="40"/>
  <c r="N90" i="40" s="1"/>
  <c r="P26" i="4"/>
  <c r="X22" i="4"/>
  <c r="X56" i="8"/>
  <c r="Z56" i="8" s="1"/>
  <c r="P159" i="8"/>
  <c r="D80" i="12"/>
  <c r="L23" i="12"/>
  <c r="N23" i="12" s="1"/>
  <c r="T36" i="41"/>
  <c r="V32" i="41"/>
  <c r="P35" i="47"/>
  <c r="D67" i="53"/>
  <c r="R23" i="12"/>
  <c r="P102" i="17"/>
  <c r="X25" i="17"/>
  <c r="Z25" i="17" s="1"/>
  <c r="T61" i="27"/>
  <c r="Z57" i="27"/>
  <c r="T106" i="28"/>
  <c r="H93" i="39"/>
  <c r="N89" i="39"/>
  <c r="J89" i="39"/>
  <c r="L27" i="36"/>
  <c r="D31" i="36"/>
  <c r="P93" i="10"/>
  <c r="X31" i="10"/>
  <c r="Z31" i="10" s="1"/>
  <c r="H137" i="13"/>
  <c r="J134" i="13"/>
  <c r="T84" i="12"/>
  <c r="V80" i="12"/>
  <c r="P128" i="14"/>
  <c r="X124" i="14"/>
  <c r="Z124" i="14" s="1"/>
  <c r="R124" i="14"/>
  <c r="T166" i="8"/>
  <c r="V163" i="8"/>
  <c r="H125" i="15"/>
  <c r="J122" i="15"/>
  <c r="D117" i="33"/>
  <c r="L113" i="33"/>
  <c r="N113" i="33" s="1"/>
  <c r="F113" i="33"/>
  <c r="P33" i="51"/>
  <c r="X29" i="51"/>
  <c r="Z29" i="51" s="1"/>
  <c r="V99" i="57"/>
  <c r="X102" i="28"/>
  <c r="Z102" i="28" s="1"/>
  <c r="H120" i="16"/>
  <c r="J116" i="16"/>
  <c r="L23" i="42"/>
  <c r="N23" i="42" s="1"/>
  <c r="D94" i="42"/>
  <c r="H84" i="22"/>
  <c r="D97" i="40"/>
  <c r="F94" i="40"/>
  <c r="H37" i="45"/>
  <c r="N33" i="45"/>
  <c r="H97" i="56"/>
  <c r="N93" i="56"/>
  <c r="P92" i="57"/>
  <c r="X23" i="57"/>
  <c r="Z23" i="57" s="1"/>
  <c r="T29" i="38"/>
  <c r="V25" i="38"/>
  <c r="T84" i="34"/>
  <c r="V80" i="34"/>
  <c r="F23" i="42"/>
  <c r="T94" i="40"/>
  <c r="V90" i="40"/>
  <c r="P60" i="50"/>
  <c r="X57" i="50"/>
  <c r="Z57" i="50" s="1"/>
  <c r="X40" i="11"/>
  <c r="Z40" i="11" s="1"/>
  <c r="P125" i="11"/>
  <c r="F25" i="15"/>
  <c r="L84" i="24"/>
  <c r="T104" i="48"/>
  <c r="V101" i="48"/>
  <c r="T42" i="52"/>
  <c r="R23" i="57"/>
  <c r="L25" i="9"/>
  <c r="N25" i="9" s="1"/>
  <c r="D97" i="9"/>
  <c r="R56" i="8"/>
  <c r="V97" i="31"/>
  <c r="T100" i="31"/>
  <c r="D31" i="59"/>
  <c r="L27" i="59"/>
  <c r="Z28" i="47"/>
  <c r="T32" i="47"/>
  <c r="D79" i="37"/>
  <c r="L20" i="37"/>
  <c r="N20" i="37" s="1"/>
  <c r="D93" i="10"/>
  <c r="L31" i="10"/>
  <c r="N31" i="10" s="1"/>
  <c r="H129" i="11"/>
  <c r="J125" i="11"/>
  <c r="P130" i="13"/>
  <c r="X42" i="13"/>
  <c r="Z42" i="13" s="1"/>
  <c r="H163" i="8"/>
  <c r="J159" i="8"/>
  <c r="P118" i="15"/>
  <c r="X25" i="15"/>
  <c r="Z25" i="15" s="1"/>
  <c r="Z27" i="36"/>
  <c r="T31" i="36"/>
  <c r="N27" i="59"/>
  <c r="H31" i="59"/>
  <c r="F64" i="3"/>
  <c r="V82" i="18"/>
  <c r="P63" i="26"/>
  <c r="X59" i="26"/>
  <c r="Z59" i="26" s="1"/>
  <c r="L38" i="52"/>
  <c r="N38" i="52" s="1"/>
  <c r="P93" i="56"/>
  <c r="X23" i="56"/>
  <c r="Z23" i="56" s="1"/>
  <c r="X106" i="28"/>
  <c r="P109" i="28"/>
  <c r="J100" i="10"/>
  <c r="N60" i="53"/>
  <c r="H64" i="53"/>
  <c r="L64" i="53" s="1"/>
  <c r="H64" i="27"/>
  <c r="N61" i="27"/>
  <c r="P42" i="52"/>
  <c r="X38" i="52"/>
  <c r="Z38" i="52" s="1"/>
  <c r="R38" i="52"/>
  <c r="Z26" i="4"/>
  <c r="T31" i="4"/>
  <c r="F31" i="35"/>
  <c r="X36" i="55"/>
  <c r="P40" i="55"/>
  <c r="R36" i="55"/>
  <c r="R20" i="37"/>
  <c r="T109" i="17"/>
  <c r="V106" i="17"/>
  <c r="H98" i="42"/>
  <c r="J94" i="42"/>
  <c r="D32" i="41"/>
  <c r="L22" i="41"/>
  <c r="N22" i="41" s="1"/>
  <c r="H57" i="50"/>
  <c r="H96" i="57"/>
  <c r="D104" i="5"/>
  <c r="L101" i="5"/>
  <c r="X64" i="3"/>
  <c r="Z64" i="3" s="1"/>
  <c r="P178" i="3"/>
  <c r="P86" i="44"/>
  <c r="X82" i="44"/>
  <c r="Z82" i="44" s="1"/>
  <c r="D33" i="51"/>
  <c r="L29" i="51"/>
  <c r="N29" i="51" s="1"/>
  <c r="R31" i="31"/>
  <c r="P120" i="16"/>
  <c r="X116" i="16"/>
  <c r="Z116" i="16" s="1"/>
  <c r="R116" i="16"/>
  <c r="H36" i="36"/>
  <c r="N36" i="36" s="1"/>
  <c r="N31" i="36"/>
  <c r="D80" i="34"/>
  <c r="L23" i="34"/>
  <c r="N23" i="34" s="1"/>
  <c r="T79" i="58"/>
  <c r="Z75" i="58"/>
  <c r="V75" i="58"/>
  <c r="P91" i="54"/>
  <c r="X23" i="54"/>
  <c r="Z23" i="54" s="1"/>
  <c r="P104" i="5"/>
  <c r="X104" i="5" s="1"/>
  <c r="Z104" i="5" s="1"/>
  <c r="X101" i="5"/>
  <c r="Z101" i="5" s="1"/>
  <c r="F25" i="9"/>
  <c r="F23" i="12"/>
  <c r="P36" i="21"/>
  <c r="X32" i="21"/>
  <c r="Z32" i="21" s="1"/>
  <c r="L64" i="27"/>
  <c r="P81" i="35"/>
  <c r="X31" i="35"/>
  <c r="Z31" i="35" s="1"/>
  <c r="D29" i="38"/>
  <c r="L25" i="38"/>
  <c r="F25" i="38"/>
  <c r="P30" i="43"/>
  <c r="X26" i="43"/>
  <c r="P91" i="49"/>
  <c r="X20" i="49"/>
  <c r="Z20" i="49" s="1"/>
  <c r="P37" i="45"/>
  <c r="X33" i="45"/>
  <c r="Z33" i="45" s="1"/>
  <c r="L53" i="50"/>
  <c r="N53" i="50" s="1"/>
  <c r="T158" i="7"/>
  <c r="V155" i="7"/>
  <c r="T85" i="35"/>
  <c r="V81" i="35"/>
  <c r="D164" i="6"/>
  <c r="L160" i="6"/>
  <c r="N160" i="6" s="1"/>
  <c r="F160" i="6"/>
  <c r="H87" i="12"/>
  <c r="J84" i="12"/>
  <c r="D159" i="8"/>
  <c r="L56" i="8"/>
  <c r="N56" i="8" s="1"/>
  <c r="F31" i="10"/>
  <c r="H85" i="19"/>
  <c r="J81" i="19"/>
  <c r="R23" i="34"/>
  <c r="H89" i="44"/>
  <c r="T164" i="6"/>
  <c r="V160" i="6"/>
  <c r="F40" i="11"/>
  <c r="P113" i="33"/>
  <c r="X40" i="33"/>
  <c r="Z40" i="33" s="1"/>
  <c r="R40" i="33"/>
  <c r="H35" i="46"/>
  <c r="D45" i="52"/>
  <c r="L42" i="52"/>
  <c r="F42" i="52"/>
  <c r="T37" i="45"/>
  <c r="H101" i="9"/>
  <c r="J97" i="9"/>
  <c r="H128" i="14"/>
  <c r="J124" i="14"/>
  <c r="D79" i="18"/>
  <c r="L75" i="18"/>
  <c r="N75" i="18" s="1"/>
  <c r="F75" i="18"/>
  <c r="T117" i="33"/>
  <c r="V113" i="33"/>
  <c r="D79" i="58"/>
  <c r="L75" i="58"/>
  <c r="N75" i="58" s="1"/>
  <c r="F75" i="58"/>
  <c r="T72" i="25"/>
  <c r="X72" i="25" s="1"/>
  <c r="Z68" i="25"/>
  <c r="P74" i="23"/>
  <c r="X70" i="23"/>
  <c r="Z70" i="23" s="1"/>
  <c r="P36" i="41"/>
  <c r="X32" i="41"/>
  <c r="Z32" i="41" s="1"/>
  <c r="R32" i="41"/>
  <c r="P85" i="19"/>
  <c r="X81" i="19"/>
  <c r="R81" i="19"/>
  <c r="T77" i="23"/>
  <c r="N93" i="31"/>
  <c r="H97" i="31"/>
  <c r="J93" i="31"/>
  <c r="R23" i="48"/>
  <c r="D60" i="50"/>
  <c r="L57" i="50"/>
  <c r="T129" i="11"/>
  <c r="V125" i="11"/>
  <c r="D81" i="19"/>
  <c r="L31" i="19"/>
  <c r="N31" i="19" s="1"/>
  <c r="D26" i="20"/>
  <c r="L22" i="20"/>
  <c r="P91" i="29"/>
  <c r="X87" i="29"/>
  <c r="Z87" i="29" s="1"/>
  <c r="R87" i="29"/>
  <c r="D89" i="44"/>
  <c r="L89" i="44" s="1"/>
  <c r="L86" i="44"/>
  <c r="N86" i="44" s="1"/>
  <c r="D92" i="57"/>
  <c r="L23" i="57"/>
  <c r="N102" i="28"/>
  <c r="H106" i="28"/>
  <c r="H31" i="4"/>
  <c r="L31" i="4" s="1"/>
  <c r="N26" i="4"/>
  <c r="T104" i="9"/>
  <c r="V101" i="9"/>
  <c r="R25" i="15"/>
  <c r="T123" i="16"/>
  <c r="V120" i="16"/>
  <c r="J25" i="38"/>
  <c r="H29" i="38"/>
  <c r="N25" i="38"/>
  <c r="T85" i="19"/>
  <c r="Z81" i="19"/>
  <c r="V81" i="19"/>
  <c r="D134" i="13"/>
  <c r="L130" i="13"/>
  <c r="N130" i="13" s="1"/>
  <c r="F130" i="13"/>
  <c r="H72" i="25"/>
  <c r="N68" i="25"/>
  <c r="T31" i="59"/>
  <c r="Z27" i="59"/>
  <c r="X60" i="50" l="1"/>
  <c r="T132" i="11"/>
  <c r="V129" i="11"/>
  <c r="T36" i="59"/>
  <c r="Z36" i="59" s="1"/>
  <c r="Z31" i="59"/>
  <c r="H75" i="25"/>
  <c r="V104" i="9"/>
  <c r="D31" i="20"/>
  <c r="L31" i="20" s="1"/>
  <c r="N31" i="20" s="1"/>
  <c r="L26" i="20"/>
  <c r="P88" i="19"/>
  <c r="X85" i="19"/>
  <c r="R85" i="19"/>
  <c r="D82" i="18"/>
  <c r="L79" i="18"/>
  <c r="N79" i="18" s="1"/>
  <c r="F79" i="18"/>
  <c r="T40" i="45"/>
  <c r="P117" i="33"/>
  <c r="X113" i="33"/>
  <c r="Z113" i="33" s="1"/>
  <c r="R113" i="33"/>
  <c r="J87" i="12"/>
  <c r="P33" i="43"/>
  <c r="X33" i="43" s="1"/>
  <c r="X30" i="43"/>
  <c r="P39" i="21"/>
  <c r="X39" i="21" s="1"/>
  <c r="Z39" i="21" s="1"/>
  <c r="X36" i="21"/>
  <c r="Z36" i="21" s="1"/>
  <c r="P123" i="16"/>
  <c r="X120" i="16"/>
  <c r="Z120" i="16" s="1"/>
  <c r="R120" i="16"/>
  <c r="P43" i="55"/>
  <c r="X40" i="55"/>
  <c r="R40" i="55"/>
  <c r="H36" i="59"/>
  <c r="N36" i="59" s="1"/>
  <c r="N31" i="59"/>
  <c r="T45" i="52"/>
  <c r="P36" i="51"/>
  <c r="X36" i="51" s="1"/>
  <c r="X33" i="51"/>
  <c r="Z33" i="51" s="1"/>
  <c r="V166" i="8"/>
  <c r="P29" i="38"/>
  <c r="X25" i="38"/>
  <c r="Z25" i="38" s="1"/>
  <c r="R25" i="38"/>
  <c r="L95" i="49"/>
  <c r="N95" i="49" s="1"/>
  <c r="D98" i="49"/>
  <c r="P36" i="59"/>
  <c r="X31" i="59"/>
  <c r="D120" i="16"/>
  <c r="L116" i="16"/>
  <c r="N116" i="16" s="1"/>
  <c r="F116" i="16"/>
  <c r="D104" i="48"/>
  <c r="L101" i="48"/>
  <c r="F101" i="48"/>
  <c r="T137" i="13"/>
  <c r="V134" i="13"/>
  <c r="N84" i="24"/>
  <c r="Z36" i="51"/>
  <c r="P101" i="9"/>
  <c r="X97" i="9"/>
  <c r="Z97" i="9" s="1"/>
  <c r="R97" i="9"/>
  <c r="T98" i="54"/>
  <c r="V95" i="54"/>
  <c r="J94" i="29"/>
  <c r="J88" i="35"/>
  <c r="H104" i="5"/>
  <c r="L104" i="5" s="1"/>
  <c r="N101" i="5"/>
  <c r="N101" i="48"/>
  <c r="H104" i="48"/>
  <c r="J101" i="48"/>
  <c r="D163" i="8"/>
  <c r="L159" i="8"/>
  <c r="N159" i="8" s="1"/>
  <c r="F159" i="8"/>
  <c r="H32" i="38"/>
  <c r="J29" i="38"/>
  <c r="V158" i="7"/>
  <c r="T82" i="58"/>
  <c r="V79" i="58"/>
  <c r="H101" i="42"/>
  <c r="J98" i="42"/>
  <c r="N64" i="27"/>
  <c r="P97" i="56"/>
  <c r="X93" i="56"/>
  <c r="Z93" i="56" s="1"/>
  <c r="R93" i="56"/>
  <c r="L79" i="37"/>
  <c r="N79" i="37" s="1"/>
  <c r="D83" i="37"/>
  <c r="F79" i="37"/>
  <c r="H40" i="45"/>
  <c r="H96" i="39"/>
  <c r="J93" i="39"/>
  <c r="D84" i="12"/>
  <c r="L80" i="12"/>
  <c r="N80" i="12" s="1"/>
  <c r="F80" i="12"/>
  <c r="L59" i="30"/>
  <c r="N59" i="30" s="1"/>
  <c r="D63" i="30"/>
  <c r="H77" i="23"/>
  <c r="P66" i="30"/>
  <c r="X63" i="30"/>
  <c r="R63" i="30"/>
  <c r="D109" i="28"/>
  <c r="L106" i="28"/>
  <c r="N40" i="55"/>
  <c r="H43" i="55"/>
  <c r="N43" i="55" s="1"/>
  <c r="P97" i="31"/>
  <c r="X93" i="31"/>
  <c r="Z93" i="31" s="1"/>
  <c r="R93" i="31"/>
  <c r="P98" i="42"/>
  <c r="X94" i="42"/>
  <c r="Z94" i="42" s="1"/>
  <c r="R94" i="42"/>
  <c r="D77" i="23"/>
  <c r="L74" i="23"/>
  <c r="N74" i="23" s="1"/>
  <c r="J82" i="58"/>
  <c r="P94" i="40"/>
  <c r="X90" i="40"/>
  <c r="Z90" i="40" s="1"/>
  <c r="R90" i="40"/>
  <c r="D85" i="19"/>
  <c r="L81" i="19"/>
  <c r="N81" i="19" s="1"/>
  <c r="F81" i="19"/>
  <c r="H100" i="31"/>
  <c r="J97" i="31"/>
  <c r="D82" i="58"/>
  <c r="L79" i="58"/>
  <c r="N79" i="58" s="1"/>
  <c r="F79" i="58"/>
  <c r="H88" i="19"/>
  <c r="J85" i="19"/>
  <c r="H99" i="57"/>
  <c r="H67" i="53"/>
  <c r="L67" i="53" s="1"/>
  <c r="N64" i="53"/>
  <c r="T36" i="36"/>
  <c r="Z36" i="36" s="1"/>
  <c r="Z31" i="36"/>
  <c r="P134" i="13"/>
  <c r="X130" i="13"/>
  <c r="Z130" i="13" s="1"/>
  <c r="R130" i="13"/>
  <c r="T35" i="47"/>
  <c r="Z35" i="47" s="1"/>
  <c r="Z32" i="47"/>
  <c r="D101" i="9"/>
  <c r="L97" i="9"/>
  <c r="N97" i="9" s="1"/>
  <c r="F97" i="9"/>
  <c r="V104" i="48"/>
  <c r="J137" i="13"/>
  <c r="P163" i="8"/>
  <c r="X159" i="8"/>
  <c r="Z159" i="8" s="1"/>
  <c r="R159" i="8"/>
  <c r="Z60" i="50"/>
  <c r="D75" i="25"/>
  <c r="L72" i="25"/>
  <c r="N72" i="25" s="1"/>
  <c r="P101" i="48"/>
  <c r="X97" i="48"/>
  <c r="Z97" i="48" s="1"/>
  <c r="R97" i="48"/>
  <c r="H36" i="51"/>
  <c r="T84" i="24"/>
  <c r="T86" i="37"/>
  <c r="V83" i="37"/>
  <c r="X61" i="27"/>
  <c r="P64" i="27"/>
  <c r="P96" i="39"/>
  <c r="X93" i="39"/>
  <c r="R93" i="39"/>
  <c r="H158" i="7"/>
  <c r="J155" i="7"/>
  <c r="T100" i="56"/>
  <c r="V97" i="56"/>
  <c r="D182" i="3"/>
  <c r="L178" i="3"/>
  <c r="N178" i="3" s="1"/>
  <c r="F178" i="3"/>
  <c r="D158" i="7"/>
  <c r="L155" i="7"/>
  <c r="N155" i="7" s="1"/>
  <c r="F155" i="7"/>
  <c r="P82" i="18"/>
  <c r="X79" i="18"/>
  <c r="Z79" i="18" s="1"/>
  <c r="R79" i="18"/>
  <c r="D40" i="45"/>
  <c r="L40" i="45" s="1"/>
  <c r="L37" i="45"/>
  <c r="N37" i="45" s="1"/>
  <c r="N31" i="4"/>
  <c r="X36" i="41"/>
  <c r="Z36" i="41" s="1"/>
  <c r="P39" i="41"/>
  <c r="R36" i="41"/>
  <c r="H131" i="14"/>
  <c r="J128" i="14"/>
  <c r="F45" i="52"/>
  <c r="D167" i="6"/>
  <c r="L164" i="6"/>
  <c r="N164" i="6" s="1"/>
  <c r="F164" i="6"/>
  <c r="D32" i="38"/>
  <c r="F29" i="38"/>
  <c r="L29" i="38"/>
  <c r="N29" i="38" s="1"/>
  <c r="D84" i="34"/>
  <c r="L80" i="34"/>
  <c r="N80" i="34" s="1"/>
  <c r="F80" i="34"/>
  <c r="D36" i="51"/>
  <c r="L36" i="51" s="1"/>
  <c r="L33" i="51"/>
  <c r="N33" i="51" s="1"/>
  <c r="T97" i="40"/>
  <c r="V94" i="40"/>
  <c r="V29" i="38"/>
  <c r="T32" i="38"/>
  <c r="H123" i="16"/>
  <c r="J120" i="16"/>
  <c r="D120" i="33"/>
  <c r="L117" i="33"/>
  <c r="N117" i="33" s="1"/>
  <c r="F117" i="33"/>
  <c r="Z106" i="28"/>
  <c r="T109" i="28"/>
  <c r="X109" i="28" s="1"/>
  <c r="X32" i="47"/>
  <c r="D35" i="47"/>
  <c r="L32" i="47"/>
  <c r="H187" i="3"/>
  <c r="J182" i="3"/>
  <c r="V101" i="42"/>
  <c r="D40" i="55"/>
  <c r="L36" i="55"/>
  <c r="X79" i="37"/>
  <c r="Z79" i="37" s="1"/>
  <c r="P83" i="37"/>
  <c r="R79" i="37"/>
  <c r="P36" i="36"/>
  <c r="X31" i="36"/>
  <c r="H82" i="18"/>
  <c r="J79" i="18"/>
  <c r="J120" i="33"/>
  <c r="L32" i="46"/>
  <c r="N32" i="46" s="1"/>
  <c r="D35" i="46"/>
  <c r="L35" i="46" s="1"/>
  <c r="N35" i="46" s="1"/>
  <c r="T35" i="46"/>
  <c r="V123" i="16"/>
  <c r="N106" i="28"/>
  <c r="H109" i="28"/>
  <c r="T167" i="6"/>
  <c r="V164" i="6"/>
  <c r="X37" i="45"/>
  <c r="Z37" i="45" s="1"/>
  <c r="P40" i="45"/>
  <c r="P66" i="26"/>
  <c r="X66" i="26" s="1"/>
  <c r="Z66" i="26" s="1"/>
  <c r="X63" i="26"/>
  <c r="Z63" i="26" s="1"/>
  <c r="F97" i="40"/>
  <c r="P131" i="14"/>
  <c r="X128" i="14"/>
  <c r="Z128" i="14" s="1"/>
  <c r="R128" i="14"/>
  <c r="P97" i="10"/>
  <c r="X93" i="10"/>
  <c r="Z93" i="10" s="1"/>
  <c r="R93" i="10"/>
  <c r="X35" i="47"/>
  <c r="P84" i="34"/>
  <c r="X80" i="34"/>
  <c r="Z80" i="34" s="1"/>
  <c r="R80" i="34"/>
  <c r="P84" i="24"/>
  <c r="X81" i="24"/>
  <c r="Z81" i="24" s="1"/>
  <c r="J87" i="34"/>
  <c r="D129" i="11"/>
  <c r="L125" i="11"/>
  <c r="N125" i="11" s="1"/>
  <c r="F125" i="11"/>
  <c r="P164" i="6"/>
  <c r="X160" i="6"/>
  <c r="Z160" i="6" s="1"/>
  <c r="R160" i="6"/>
  <c r="D94" i="29"/>
  <c r="L94" i="29" s="1"/>
  <c r="N94" i="29" s="1"/>
  <c r="L91" i="29"/>
  <c r="N91" i="29" s="1"/>
  <c r="V125" i="15"/>
  <c r="Z63" i="30"/>
  <c r="T66" i="30"/>
  <c r="T31" i="20"/>
  <c r="Z26" i="20"/>
  <c r="H167" i="6"/>
  <c r="J164" i="6"/>
  <c r="L95" i="54"/>
  <c r="N95" i="54" s="1"/>
  <c r="D98" i="54"/>
  <c r="F95" i="54"/>
  <c r="D137" i="13"/>
  <c r="L134" i="13"/>
  <c r="N134" i="13" s="1"/>
  <c r="F134" i="13"/>
  <c r="P77" i="23"/>
  <c r="X77" i="23" s="1"/>
  <c r="Z77" i="23" s="1"/>
  <c r="X74" i="23"/>
  <c r="Z74" i="23" s="1"/>
  <c r="P89" i="44"/>
  <c r="X89" i="44" s="1"/>
  <c r="Z89" i="44" s="1"/>
  <c r="X86" i="44"/>
  <c r="Z86" i="44" s="1"/>
  <c r="H60" i="50"/>
  <c r="N57" i="50"/>
  <c r="V109" i="17"/>
  <c r="P122" i="15"/>
  <c r="X118" i="15"/>
  <c r="Z118" i="15" s="1"/>
  <c r="R118" i="15"/>
  <c r="H132" i="11"/>
  <c r="J129" i="11"/>
  <c r="D36" i="59"/>
  <c r="L31" i="59"/>
  <c r="X92" i="57"/>
  <c r="Z92" i="57" s="1"/>
  <c r="P96" i="57"/>
  <c r="R92" i="57"/>
  <c r="D36" i="36"/>
  <c r="L36" i="36" s="1"/>
  <c r="L31" i="36"/>
  <c r="Z61" i="27"/>
  <c r="T64" i="27"/>
  <c r="P31" i="4"/>
  <c r="X31" i="4" s="1"/>
  <c r="Z31" i="4" s="1"/>
  <c r="X26" i="4"/>
  <c r="L97" i="31"/>
  <c r="N97" i="31" s="1"/>
  <c r="D100" i="31"/>
  <c r="F97" i="31"/>
  <c r="D128" i="14"/>
  <c r="L124" i="14"/>
  <c r="N124" i="14" s="1"/>
  <c r="F124" i="14"/>
  <c r="P67" i="53"/>
  <c r="X67" i="53" s="1"/>
  <c r="X64" i="53"/>
  <c r="T100" i="10"/>
  <c r="V97" i="10"/>
  <c r="H109" i="17"/>
  <c r="N94" i="40"/>
  <c r="H97" i="40"/>
  <c r="L97" i="40" s="1"/>
  <c r="J94" i="40"/>
  <c r="H39" i="21"/>
  <c r="P84" i="22"/>
  <c r="X84" i="22" s="1"/>
  <c r="X81" i="22"/>
  <c r="Z81" i="22" s="1"/>
  <c r="Z93" i="39"/>
  <c r="T96" i="39"/>
  <c r="V93" i="39"/>
  <c r="D85" i="35"/>
  <c r="L81" i="35"/>
  <c r="N81" i="35" s="1"/>
  <c r="F81" i="35"/>
  <c r="N30" i="43"/>
  <c r="H33" i="43"/>
  <c r="N33" i="43" s="1"/>
  <c r="T98" i="49"/>
  <c r="V95" i="49"/>
  <c r="T120" i="33"/>
  <c r="V117" i="33"/>
  <c r="H104" i="9"/>
  <c r="J101" i="9"/>
  <c r="T88" i="35"/>
  <c r="V85" i="35"/>
  <c r="P95" i="49"/>
  <c r="X91" i="49"/>
  <c r="Z91" i="49" s="1"/>
  <c r="P95" i="54"/>
  <c r="X91" i="54"/>
  <c r="Z91" i="54" s="1"/>
  <c r="R91" i="54"/>
  <c r="P182" i="3"/>
  <c r="X178" i="3"/>
  <c r="Z178" i="3" s="1"/>
  <c r="R178" i="3"/>
  <c r="V100" i="31"/>
  <c r="P129" i="11"/>
  <c r="X125" i="11"/>
  <c r="Z125" i="11" s="1"/>
  <c r="R125" i="11"/>
  <c r="J125" i="15"/>
  <c r="T39" i="41"/>
  <c r="V36" i="41"/>
  <c r="T67" i="53"/>
  <c r="Z64" i="53"/>
  <c r="D106" i="17"/>
  <c r="L102" i="17"/>
  <c r="N102" i="17" s="1"/>
  <c r="F102" i="17"/>
  <c r="L84" i="22"/>
  <c r="N84" i="22" s="1"/>
  <c r="D96" i="39"/>
  <c r="L93" i="39"/>
  <c r="N93" i="39" s="1"/>
  <c r="F93" i="39"/>
  <c r="H35" i="47"/>
  <c r="N35" i="47" s="1"/>
  <c r="N32" i="47"/>
  <c r="H45" i="52"/>
  <c r="N42" i="52"/>
  <c r="V94" i="29"/>
  <c r="J86" i="37"/>
  <c r="H98" i="49"/>
  <c r="J95" i="49"/>
  <c r="P85" i="35"/>
  <c r="X81" i="35"/>
  <c r="Z81" i="35" s="1"/>
  <c r="R81" i="35"/>
  <c r="P94" i="29"/>
  <c r="X91" i="29"/>
  <c r="Z91" i="29" s="1"/>
  <c r="R91" i="29"/>
  <c r="N89" i="44"/>
  <c r="T88" i="19"/>
  <c r="Z85" i="19"/>
  <c r="V85" i="19"/>
  <c r="D96" i="57"/>
  <c r="L92" i="57"/>
  <c r="N92" i="57" s="1"/>
  <c r="T75" i="25"/>
  <c r="X75" i="25" s="1"/>
  <c r="Z72" i="25"/>
  <c r="D36" i="41"/>
  <c r="L32" i="41"/>
  <c r="N32" i="41" s="1"/>
  <c r="P45" i="52"/>
  <c r="X42" i="52"/>
  <c r="Z42" i="52" s="1"/>
  <c r="R42" i="52"/>
  <c r="H166" i="8"/>
  <c r="J163" i="8"/>
  <c r="D97" i="10"/>
  <c r="L93" i="10"/>
  <c r="N93" i="10" s="1"/>
  <c r="F93" i="10"/>
  <c r="T87" i="34"/>
  <c r="V84" i="34"/>
  <c r="H100" i="56"/>
  <c r="D98" i="42"/>
  <c r="L94" i="42"/>
  <c r="N94" i="42" s="1"/>
  <c r="F94" i="42"/>
  <c r="T87" i="12"/>
  <c r="V84" i="12"/>
  <c r="P106" i="17"/>
  <c r="X102" i="17"/>
  <c r="Z102" i="17" s="1"/>
  <c r="R102" i="17"/>
  <c r="D39" i="21"/>
  <c r="L39" i="21" s="1"/>
  <c r="L36" i="21"/>
  <c r="N36" i="21" s="1"/>
  <c r="J39" i="41"/>
  <c r="P155" i="7"/>
  <c r="X151" i="7"/>
  <c r="Z151" i="7" s="1"/>
  <c r="R151" i="7"/>
  <c r="D122" i="15"/>
  <c r="L118" i="15"/>
  <c r="N118" i="15" s="1"/>
  <c r="F118" i="15"/>
  <c r="P84" i="12"/>
  <c r="X80" i="12"/>
  <c r="Z80" i="12" s="1"/>
  <c r="R80" i="12"/>
  <c r="P35" i="46"/>
  <c r="X35" i="46" s="1"/>
  <c r="X32" i="46"/>
  <c r="Z32" i="46" s="1"/>
  <c r="X31" i="20"/>
  <c r="H66" i="30"/>
  <c r="D100" i="56"/>
  <c r="L97" i="56"/>
  <c r="N97" i="56" s="1"/>
  <c r="F97" i="56"/>
  <c r="P82" i="58"/>
  <c r="X79" i="58"/>
  <c r="Z79" i="58" s="1"/>
  <c r="R79" i="58"/>
  <c r="Z84" i="22"/>
  <c r="L66" i="26"/>
  <c r="N66" i="26" s="1"/>
  <c r="T187" i="3"/>
  <c r="V182" i="3"/>
  <c r="L75" i="25" l="1"/>
  <c r="X40" i="45"/>
  <c r="X84" i="24"/>
  <c r="L77" i="23"/>
  <c r="L33" i="43"/>
  <c r="L36" i="59"/>
  <c r="X36" i="59"/>
  <c r="X36" i="36"/>
  <c r="P87" i="12"/>
  <c r="X84" i="12"/>
  <c r="Z84" i="12" s="1"/>
  <c r="R84" i="12"/>
  <c r="J104" i="9"/>
  <c r="V32" i="38"/>
  <c r="J88" i="19"/>
  <c r="X66" i="30"/>
  <c r="Z66" i="30" s="1"/>
  <c r="R66" i="30"/>
  <c r="V39" i="41"/>
  <c r="L137" i="13"/>
  <c r="N137" i="13" s="1"/>
  <c r="F137" i="13"/>
  <c r="L167" i="6"/>
  <c r="F167" i="6"/>
  <c r="X82" i="18"/>
  <c r="Z82" i="18" s="1"/>
  <c r="R82" i="18"/>
  <c r="X64" i="27"/>
  <c r="N36" i="51"/>
  <c r="D88" i="19"/>
  <c r="L85" i="19"/>
  <c r="N85" i="19" s="1"/>
  <c r="F85" i="19"/>
  <c r="N77" i="23"/>
  <c r="J96" i="39"/>
  <c r="L98" i="49"/>
  <c r="N98" i="49" s="1"/>
  <c r="L82" i="18"/>
  <c r="N82" i="18" s="1"/>
  <c r="F82" i="18"/>
  <c r="N75" i="25"/>
  <c r="D99" i="57"/>
  <c r="L99" i="57" s="1"/>
  <c r="L96" i="57"/>
  <c r="N96" i="57" s="1"/>
  <c r="P88" i="35"/>
  <c r="X85" i="35"/>
  <c r="Z85" i="35" s="1"/>
  <c r="R85" i="35"/>
  <c r="P98" i="49"/>
  <c r="X98" i="49" s="1"/>
  <c r="Z98" i="49" s="1"/>
  <c r="X95" i="49"/>
  <c r="Z95" i="49" s="1"/>
  <c r="N39" i="21"/>
  <c r="L100" i="31"/>
  <c r="F100" i="31"/>
  <c r="Z31" i="20"/>
  <c r="P86" i="37"/>
  <c r="X83" i="37"/>
  <c r="Z83" i="37" s="1"/>
  <c r="R83" i="37"/>
  <c r="J187" i="3"/>
  <c r="V100" i="56"/>
  <c r="X163" i="8"/>
  <c r="Z163" i="8" s="1"/>
  <c r="P166" i="8"/>
  <c r="R163" i="8"/>
  <c r="L101" i="9"/>
  <c r="N101" i="9" s="1"/>
  <c r="D104" i="9"/>
  <c r="F101" i="9"/>
  <c r="P100" i="56"/>
  <c r="X97" i="56"/>
  <c r="Z97" i="56" s="1"/>
  <c r="R97" i="56"/>
  <c r="V82" i="58"/>
  <c r="D166" i="8"/>
  <c r="L163" i="8"/>
  <c r="N163" i="8" s="1"/>
  <c r="F163" i="8"/>
  <c r="P104" i="9"/>
  <c r="X101" i="9"/>
  <c r="Z101" i="9" s="1"/>
  <c r="R101" i="9"/>
  <c r="L104" i="48"/>
  <c r="N104" i="48" s="1"/>
  <c r="F104" i="48"/>
  <c r="D131" i="14"/>
  <c r="L128" i="14"/>
  <c r="N128" i="14" s="1"/>
  <c r="F128" i="14"/>
  <c r="X43" i="55"/>
  <c r="R43" i="55"/>
  <c r="D125" i="15"/>
  <c r="L122" i="15"/>
  <c r="N122" i="15" s="1"/>
  <c r="F122" i="15"/>
  <c r="L98" i="42"/>
  <c r="N98" i="42" s="1"/>
  <c r="D101" i="42"/>
  <c r="F98" i="42"/>
  <c r="D100" i="10"/>
  <c r="L97" i="10"/>
  <c r="N97" i="10" s="1"/>
  <c r="F97" i="10"/>
  <c r="D39" i="41"/>
  <c r="L39" i="41" s="1"/>
  <c r="N39" i="41" s="1"/>
  <c r="L36" i="41"/>
  <c r="N36" i="41" s="1"/>
  <c r="V88" i="19"/>
  <c r="V120" i="33"/>
  <c r="D88" i="35"/>
  <c r="L85" i="35"/>
  <c r="N85" i="35" s="1"/>
  <c r="F85" i="35"/>
  <c r="V100" i="10"/>
  <c r="X96" i="57"/>
  <c r="Z96" i="57" s="1"/>
  <c r="P99" i="57"/>
  <c r="R96" i="57"/>
  <c r="J132" i="11"/>
  <c r="P100" i="10"/>
  <c r="X97" i="10"/>
  <c r="Z97" i="10" s="1"/>
  <c r="R97" i="10"/>
  <c r="D87" i="34"/>
  <c r="L84" i="34"/>
  <c r="N84" i="34" s="1"/>
  <c r="F84" i="34"/>
  <c r="L45" i="52"/>
  <c r="N45" i="52" s="1"/>
  <c r="N67" i="53"/>
  <c r="L82" i="58"/>
  <c r="N82" i="58" s="1"/>
  <c r="F82" i="58"/>
  <c r="L63" i="30"/>
  <c r="N63" i="30" s="1"/>
  <c r="D66" i="30"/>
  <c r="L66" i="30" s="1"/>
  <c r="X123" i="16"/>
  <c r="Z123" i="16" s="1"/>
  <c r="R123" i="16"/>
  <c r="L100" i="56"/>
  <c r="N100" i="56" s="1"/>
  <c r="F100" i="56"/>
  <c r="X96" i="39"/>
  <c r="R96" i="39"/>
  <c r="N66" i="30"/>
  <c r="D109" i="17"/>
  <c r="L106" i="17"/>
  <c r="N106" i="17" s="1"/>
  <c r="F106" i="17"/>
  <c r="L98" i="54"/>
  <c r="N98" i="54" s="1"/>
  <c r="F98" i="54"/>
  <c r="P167" i="6"/>
  <c r="X164" i="6"/>
  <c r="Z164" i="6" s="1"/>
  <c r="R164" i="6"/>
  <c r="L120" i="33"/>
  <c r="N120" i="33" s="1"/>
  <c r="F120" i="33"/>
  <c r="L158" i="7"/>
  <c r="N158" i="7" s="1"/>
  <c r="F158" i="7"/>
  <c r="P104" i="48"/>
  <c r="X101" i="48"/>
  <c r="Z101" i="48" s="1"/>
  <c r="R101" i="48"/>
  <c r="N99" i="57"/>
  <c r="P101" i="42"/>
  <c r="X98" i="42"/>
  <c r="Z98" i="42" s="1"/>
  <c r="R98" i="42"/>
  <c r="N40" i="45"/>
  <c r="J104" i="48"/>
  <c r="P120" i="33"/>
  <c r="X117" i="33"/>
  <c r="Z117" i="33" s="1"/>
  <c r="R117" i="33"/>
  <c r="X88" i="19"/>
  <c r="Z88" i="19" s="1"/>
  <c r="R88" i="19"/>
  <c r="V87" i="34"/>
  <c r="X45" i="52"/>
  <c r="Z45" i="52" s="1"/>
  <c r="R45" i="52"/>
  <c r="X82" i="58"/>
  <c r="Z82" i="58" s="1"/>
  <c r="R82" i="58"/>
  <c r="P109" i="17"/>
  <c r="X106" i="17"/>
  <c r="Z106" i="17" s="1"/>
  <c r="R106" i="17"/>
  <c r="V88" i="35"/>
  <c r="V98" i="49"/>
  <c r="N97" i="40"/>
  <c r="J97" i="40"/>
  <c r="L35" i="47"/>
  <c r="V97" i="40"/>
  <c r="J131" i="14"/>
  <c r="J158" i="7"/>
  <c r="V86" i="37"/>
  <c r="P97" i="40"/>
  <c r="X94" i="40"/>
  <c r="Z94" i="40" s="1"/>
  <c r="R94" i="40"/>
  <c r="L109" i="28"/>
  <c r="N109" i="28" s="1"/>
  <c r="J101" i="42"/>
  <c r="D123" i="16"/>
  <c r="L120" i="16"/>
  <c r="N120" i="16" s="1"/>
  <c r="F120" i="16"/>
  <c r="P32" i="38"/>
  <c r="X29" i="38"/>
  <c r="Z29" i="38" s="1"/>
  <c r="R29" i="38"/>
  <c r="V87" i="12"/>
  <c r="L96" i="39"/>
  <c r="N96" i="39" s="1"/>
  <c r="F96" i="39"/>
  <c r="Z109" i="28"/>
  <c r="Z75" i="25"/>
  <c r="J98" i="49"/>
  <c r="P187" i="3"/>
  <c r="X182" i="3"/>
  <c r="Z182" i="3" s="1"/>
  <c r="R182" i="3"/>
  <c r="Z96" i="39"/>
  <c r="V96" i="39"/>
  <c r="P158" i="7"/>
  <c r="X155" i="7"/>
  <c r="Z155" i="7" s="1"/>
  <c r="R155" i="7"/>
  <c r="J166" i="8"/>
  <c r="L60" i="50"/>
  <c r="N60" i="50" s="1"/>
  <c r="Z67" i="53"/>
  <c r="Z64" i="27"/>
  <c r="P125" i="15"/>
  <c r="X122" i="15"/>
  <c r="Z122" i="15" s="1"/>
  <c r="R122" i="15"/>
  <c r="P87" i="34"/>
  <c r="X84" i="34"/>
  <c r="Z84" i="34" s="1"/>
  <c r="R84" i="34"/>
  <c r="X131" i="14"/>
  <c r="Z131" i="14" s="1"/>
  <c r="R131" i="14"/>
  <c r="Z35" i="46"/>
  <c r="J82" i="18"/>
  <c r="D43" i="55"/>
  <c r="L43" i="55" s="1"/>
  <c r="L40" i="55"/>
  <c r="L32" i="38"/>
  <c r="N32" i="38" s="1"/>
  <c r="F32" i="38"/>
  <c r="Z84" i="24"/>
  <c r="N100" i="31"/>
  <c r="J100" i="31"/>
  <c r="D86" i="37"/>
  <c r="L83" i="37"/>
  <c r="N83" i="37" s="1"/>
  <c r="F83" i="37"/>
  <c r="V98" i="54"/>
  <c r="Z40" i="45"/>
  <c r="V132" i="11"/>
  <c r="V187" i="3"/>
  <c r="P98" i="54"/>
  <c r="X95" i="54"/>
  <c r="Z95" i="54" s="1"/>
  <c r="R95" i="54"/>
  <c r="N167" i="6"/>
  <c r="J167" i="6"/>
  <c r="X39" i="41"/>
  <c r="Z39" i="41" s="1"/>
  <c r="R39" i="41"/>
  <c r="X94" i="29"/>
  <c r="Z94" i="29" s="1"/>
  <c r="R94" i="29"/>
  <c r="P132" i="11"/>
  <c r="X129" i="11"/>
  <c r="Z129" i="11" s="1"/>
  <c r="R129" i="11"/>
  <c r="D132" i="11"/>
  <c r="L129" i="11"/>
  <c r="N129" i="11" s="1"/>
  <c r="F129" i="11"/>
  <c r="V167" i="6"/>
  <c r="J123" i="16"/>
  <c r="D187" i="3"/>
  <c r="L182" i="3"/>
  <c r="N182" i="3" s="1"/>
  <c r="F182" i="3"/>
  <c r="P137" i="13"/>
  <c r="X134" i="13"/>
  <c r="Z134" i="13" s="1"/>
  <c r="R134" i="13"/>
  <c r="X97" i="31"/>
  <c r="Z97" i="31" s="1"/>
  <c r="P100" i="31"/>
  <c r="R97" i="31"/>
  <c r="D87" i="12"/>
  <c r="L84" i="12"/>
  <c r="N84" i="12" s="1"/>
  <c r="F84" i="12"/>
  <c r="J32" i="38"/>
  <c r="N104" i="5"/>
  <c r="V137" i="13"/>
  <c r="X87" i="34" l="1"/>
  <c r="Z87" i="34" s="1"/>
  <c r="R87" i="34"/>
  <c r="X187" i="3"/>
  <c r="Z187" i="3" s="1"/>
  <c r="R187" i="3"/>
  <c r="L88" i="35"/>
  <c r="N88" i="35" s="1"/>
  <c r="F88" i="35"/>
  <c r="L125" i="15"/>
  <c r="N125" i="15" s="1"/>
  <c r="F125" i="15"/>
  <c r="X98" i="54"/>
  <c r="Z98" i="54" s="1"/>
  <c r="R98" i="54"/>
  <c r="X137" i="13"/>
  <c r="Z137" i="13" s="1"/>
  <c r="R137" i="13"/>
  <c r="L86" i="37"/>
  <c r="N86" i="37" s="1"/>
  <c r="F86" i="37"/>
  <c r="X101" i="42"/>
  <c r="Z101" i="42" s="1"/>
  <c r="R101" i="42"/>
  <c r="L109" i="17"/>
  <c r="N109" i="17" s="1"/>
  <c r="F109" i="17"/>
  <c r="X88" i="35"/>
  <c r="Z88" i="35" s="1"/>
  <c r="R88" i="35"/>
  <c r="L123" i="16"/>
  <c r="N123" i="16" s="1"/>
  <c r="F123" i="16"/>
  <c r="X166" i="8"/>
  <c r="Z166" i="8" s="1"/>
  <c r="R166" i="8"/>
  <c r="X86" i="37"/>
  <c r="Z86" i="37" s="1"/>
  <c r="R86" i="37"/>
  <c r="L87" i="34"/>
  <c r="N87" i="34" s="1"/>
  <c r="F87" i="34"/>
  <c r="X99" i="57"/>
  <c r="Z99" i="57" s="1"/>
  <c r="R99" i="57"/>
  <c r="L100" i="10"/>
  <c r="N100" i="10" s="1"/>
  <c r="F100" i="10"/>
  <c r="X104" i="9"/>
  <c r="Z104" i="9" s="1"/>
  <c r="R104" i="9"/>
  <c r="X100" i="56"/>
  <c r="Z100" i="56" s="1"/>
  <c r="R100" i="56"/>
  <c r="X132" i="11"/>
  <c r="Z132" i="11" s="1"/>
  <c r="R132" i="11"/>
  <c r="L88" i="19"/>
  <c r="N88" i="19" s="1"/>
  <c r="F88" i="19"/>
  <c r="L132" i="11"/>
  <c r="N132" i="11" s="1"/>
  <c r="F132" i="11"/>
  <c r="X125" i="15"/>
  <c r="Z125" i="15" s="1"/>
  <c r="R125" i="15"/>
  <c r="X158" i="7"/>
  <c r="Z158" i="7" s="1"/>
  <c r="R158" i="7"/>
  <c r="X120" i="33"/>
  <c r="Z120" i="33" s="1"/>
  <c r="R120" i="33"/>
  <c r="L87" i="12"/>
  <c r="N87" i="12" s="1"/>
  <c r="F87" i="12"/>
  <c r="X32" i="38"/>
  <c r="Z32" i="38" s="1"/>
  <c r="R32" i="38"/>
  <c r="X167" i="6"/>
  <c r="Z167" i="6" s="1"/>
  <c r="R167" i="6"/>
  <c r="L101" i="42"/>
  <c r="N101" i="42" s="1"/>
  <c r="F101" i="42"/>
  <c r="L104" i="9"/>
  <c r="N104" i="9" s="1"/>
  <c r="F104" i="9"/>
  <c r="X109" i="17"/>
  <c r="Z109" i="17" s="1"/>
  <c r="R109" i="17"/>
  <c r="L187" i="3"/>
  <c r="N187" i="3" s="1"/>
  <c r="F187" i="3"/>
  <c r="X100" i="31"/>
  <c r="Z100" i="31" s="1"/>
  <c r="R100" i="31"/>
  <c r="X97" i="40"/>
  <c r="Z97" i="40" s="1"/>
  <c r="R97" i="40"/>
  <c r="X104" i="48"/>
  <c r="Z104" i="48" s="1"/>
  <c r="R104" i="48"/>
  <c r="X100" i="10"/>
  <c r="Z100" i="10" s="1"/>
  <c r="R100" i="10"/>
  <c r="L131" i="14"/>
  <c r="N131" i="14" s="1"/>
  <c r="F131" i="14"/>
  <c r="L166" i="8"/>
  <c r="N166" i="8" s="1"/>
  <c r="F166" i="8"/>
  <c r="X87" i="12"/>
  <c r="Z87" i="12" s="1"/>
  <c r="R87" i="1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<sst xmlns="http://schemas.openxmlformats.org/spreadsheetml/2006/main" count="1761" uniqueCount="315">
  <si>
    <t>Interface Setting Grid Number</t>
  </si>
  <si>
    <t>Active Grid Number</t>
  </si>
  <si>
    <t>Sheet Name</t>
  </si>
  <si>
    <t>Running Actual Sheet row Number</t>
  </si>
  <si>
    <t>Running Actual Grid Number</t>
  </si>
  <si>
    <t>Grid Title</t>
  </si>
  <si>
    <t>Chart Legend Location</t>
  </si>
  <si>
    <t>ChartType</t>
  </si>
  <si>
    <t>ChartDisplayLabel</t>
  </si>
  <si>
    <t>ChartXAxiesLabel</t>
  </si>
  <si>
    <t>Chart 1stData Series</t>
  </si>
  <si>
    <t>Chart 1st DataSeries Name</t>
  </si>
  <si>
    <t>Chart 2nd Data Series</t>
  </si>
  <si>
    <t>Chart 2nd Data Series Name</t>
  </si>
  <si>
    <t>Chart 3rd Data Series</t>
  </si>
  <si>
    <t>Chart 3rd Data SeriesName</t>
  </si>
  <si>
    <t>Chart 4th Data Series</t>
  </si>
  <si>
    <t>Chart 4th Data Series Name</t>
  </si>
  <si>
    <t>Chart 5th Data Series</t>
  </si>
  <si>
    <t>Chart 5th Data Series Name</t>
  </si>
  <si>
    <t>ChartHide</t>
  </si>
  <si>
    <t>DGCol Label</t>
  </si>
  <si>
    <t>DGRow Label</t>
  </si>
  <si>
    <t>DGData</t>
  </si>
  <si>
    <t>DG Display Label</t>
  </si>
  <si>
    <t>DG Decimal Digits</t>
  </si>
  <si>
    <t>DGHide</t>
  </si>
  <si>
    <t>IGColLabelRange</t>
  </si>
  <si>
    <t>IGRowLabelRange</t>
  </si>
  <si>
    <t>IGDataRange</t>
  </si>
  <si>
    <t>IGDisplayLabel</t>
  </si>
  <si>
    <t>IGDecimalDigits</t>
  </si>
  <si>
    <t>IGHide</t>
  </si>
  <si>
    <t>LIDColLabelRange</t>
  </si>
  <si>
    <t>LIDActualDataRange</t>
  </si>
  <si>
    <t>LIDDisplayLabel</t>
  </si>
  <si>
    <t>LIDRowsNumber</t>
  </si>
  <si>
    <t>LIDHide</t>
  </si>
  <si>
    <t>SliderMaxpercentage</t>
  </si>
  <si>
    <t>SliderMinMovePer</t>
  </si>
  <si>
    <t>SaveType</t>
  </si>
  <si>
    <t>FormatType</t>
  </si>
  <si>
    <t>BudgetTotal</t>
  </si>
  <si>
    <t>ActualTotal</t>
  </si>
  <si>
    <t>TotalHide</t>
  </si>
  <si>
    <t>TotalGridHeadings</t>
  </si>
  <si>
    <t>EnableLID</t>
  </si>
  <si>
    <t>Chart 6th Data Series</t>
  </si>
  <si>
    <t>Chart 6th Data Series Name</t>
  </si>
  <si>
    <t>MinChart</t>
  </si>
  <si>
    <t>MinDG</t>
  </si>
  <si>
    <t>EnableCustomSpreading</t>
  </si>
  <si>
    <t>Created Date</t>
  </si>
  <si>
    <t>Updated Date</t>
  </si>
  <si>
    <t>InfoManager Number</t>
  </si>
  <si>
    <t>Grid Cell Range</t>
  </si>
  <si>
    <t>Grid Special Rules</t>
  </si>
  <si>
    <t>Module Name</t>
  </si>
  <si>
    <t>Entity</t>
  </si>
  <si>
    <t>Entity Relate to data</t>
  </si>
  <si>
    <t>Entity Special Rules</t>
  </si>
  <si>
    <t>Entity Text</t>
  </si>
  <si>
    <t>Time</t>
  </si>
  <si>
    <t>Time  Relate to data</t>
  </si>
  <si>
    <t>Time  Special Rules</t>
  </si>
  <si>
    <t>Time Text</t>
  </si>
  <si>
    <t>Scenario</t>
  </si>
  <si>
    <t>Scenario  Relate to data</t>
  </si>
  <si>
    <t>Scenario  Special Rules</t>
  </si>
  <si>
    <t>Scenario Text</t>
  </si>
  <si>
    <t>Category</t>
  </si>
  <si>
    <t>Category  Relate to data</t>
  </si>
  <si>
    <t>Category  Special Rules</t>
  </si>
  <si>
    <t>Category Text</t>
  </si>
  <si>
    <t xml:space="preserve">FxCode </t>
  </si>
  <si>
    <t>FxCode  Relate to data</t>
  </si>
  <si>
    <t>FxCode  Special Rules</t>
  </si>
  <si>
    <t>FxCode Text</t>
  </si>
  <si>
    <t>Dim0</t>
  </si>
  <si>
    <t>Dim Label0</t>
  </si>
  <si>
    <t>Dim0Relate to data</t>
  </si>
  <si>
    <t>Dim0Special Rules</t>
  </si>
  <si>
    <t>Dim0Text</t>
  </si>
  <si>
    <t>Dim1</t>
  </si>
  <si>
    <t>Dim Label1</t>
  </si>
  <si>
    <t>Dim1Relate to data</t>
  </si>
  <si>
    <t>Dim1Special Rules</t>
  </si>
  <si>
    <t>Dim1Text</t>
  </si>
  <si>
    <t>Dim2</t>
  </si>
  <si>
    <t>Dim Label2</t>
  </si>
  <si>
    <t>Dim2Relate to data</t>
  </si>
  <si>
    <t>Dim2Special Rules</t>
  </si>
  <si>
    <t>Dim2Text</t>
  </si>
  <si>
    <t>Dim3</t>
  </si>
  <si>
    <t>Dim Label3</t>
  </si>
  <si>
    <t>Dim3Relate to data</t>
  </si>
  <si>
    <t>Dim3Special Rules</t>
  </si>
  <si>
    <t>Dim3Text</t>
  </si>
  <si>
    <t>Dim4</t>
  </si>
  <si>
    <t>Dim Label4</t>
  </si>
  <si>
    <t>Dim4Relate to data</t>
  </si>
  <si>
    <t>Dim4Special Rules</t>
  </si>
  <si>
    <t>Dim4Text</t>
  </si>
  <si>
    <t>Dim5</t>
  </si>
  <si>
    <t>Dim Label5</t>
  </si>
  <si>
    <t>Dim5Relate to data</t>
  </si>
  <si>
    <t>Dim5Special Rules</t>
  </si>
  <si>
    <t>Dim5Text</t>
  </si>
  <si>
    <t>Dim6</t>
  </si>
  <si>
    <t>Dim Label6</t>
  </si>
  <si>
    <t>Dim6Relate to data</t>
  </si>
  <si>
    <t>Dim6Special Rules</t>
  </si>
  <si>
    <t>Dim6Text</t>
  </si>
  <si>
    <t>Dim7</t>
  </si>
  <si>
    <t>Dim Label7</t>
  </si>
  <si>
    <t>Dim7Relate to data</t>
  </si>
  <si>
    <t>Dim7Special Rules</t>
  </si>
  <si>
    <t>Dim7Text</t>
  </si>
  <si>
    <t>Dim8</t>
  </si>
  <si>
    <t>Dim Label8</t>
  </si>
  <si>
    <t>Dim8Relate to data</t>
  </si>
  <si>
    <t>Dim8Special Rules</t>
  </si>
  <si>
    <t>Dim8Text</t>
  </si>
  <si>
    <t>Dim9</t>
  </si>
  <si>
    <t>Dim Label9</t>
  </si>
  <si>
    <t>Dim9Relate to data</t>
  </si>
  <si>
    <t>Dim9Special Rules</t>
  </si>
  <si>
    <t>Dim9Text</t>
  </si>
  <si>
    <t>Variable Dim Name0</t>
  </si>
  <si>
    <t>Variable Dim0</t>
  </si>
  <si>
    <t>Variable Dim0Relate to data</t>
  </si>
  <si>
    <t>Variable Dim0Special Rules</t>
  </si>
  <si>
    <t>Variable Dim0Text</t>
  </si>
  <si>
    <t>Variable Dim Name1</t>
  </si>
  <si>
    <t>Variable Dim1</t>
  </si>
  <si>
    <t>Variable Dim1Relate to data</t>
  </si>
  <si>
    <t>Variable Dim1Special Rules</t>
  </si>
  <si>
    <t>Variable Dim1Text</t>
  </si>
  <si>
    <t>Variable Dim Name2</t>
  </si>
  <si>
    <t>Variable Dim2</t>
  </si>
  <si>
    <t>Variable Dim2Relate to data</t>
  </si>
  <si>
    <t>Variable Dim2Special Rules</t>
  </si>
  <si>
    <t>Variable Dim2Text</t>
  </si>
  <si>
    <t>Variable Dim Name3</t>
  </si>
  <si>
    <t>Variable Dim3</t>
  </si>
  <si>
    <t>Variable Dim3Relate to data</t>
  </si>
  <si>
    <t>Variable Dim3Special Rules</t>
  </si>
  <si>
    <t>Variable Dim3Text</t>
  </si>
  <si>
    <t>Variable Dim Name4</t>
  </si>
  <si>
    <t>Variable Dim4</t>
  </si>
  <si>
    <t>Variable Dim4Relate to data</t>
  </si>
  <si>
    <t>Variable Dim4Special Rules</t>
  </si>
  <si>
    <t>Variable Dim4Text</t>
  </si>
  <si>
    <t>Variable Dim Name5</t>
  </si>
  <si>
    <t>Variable Dim5</t>
  </si>
  <si>
    <t>Variable Dim5Relate to data</t>
  </si>
  <si>
    <t>Variable Dim5Special Rules</t>
  </si>
  <si>
    <t>Variable Dim5Text</t>
  </si>
  <si>
    <t>Variable Dim Name6</t>
  </si>
  <si>
    <t>Variable Dim6</t>
  </si>
  <si>
    <t>Variable Dim6Relate to data</t>
  </si>
  <si>
    <t>Variable Dim6Special Rules</t>
  </si>
  <si>
    <t>Variable Dim6Text</t>
  </si>
  <si>
    <t>Variable Dim Name7</t>
  </si>
  <si>
    <t>Variable Dim7</t>
  </si>
  <si>
    <t>Variable Dim7Relate to data</t>
  </si>
  <si>
    <t>Variable Dim7Special Rules</t>
  </si>
  <si>
    <t>Variable Dim7Text</t>
  </si>
  <si>
    <t>Variable Dim Name8</t>
  </si>
  <si>
    <t>Variable Dim8</t>
  </si>
  <si>
    <t>Variable Dim8Relate to data</t>
  </si>
  <si>
    <t>Variable Dim8Special Rules</t>
  </si>
  <si>
    <t>Variable Dim8Text</t>
  </si>
  <si>
    <t>Variable Dim Name9</t>
  </si>
  <si>
    <t>Variable Dim9</t>
  </si>
  <si>
    <t>Variable Dim9Relate to data</t>
  </si>
  <si>
    <t>Variable Dim9Special Rules</t>
  </si>
  <si>
    <t>Variable Dim9Text</t>
  </si>
  <si>
    <t>Variable Dim Name10</t>
  </si>
  <si>
    <t>Variable Dim10</t>
  </si>
  <si>
    <t>Variable Dim10Relate to data</t>
  </si>
  <si>
    <t>Variable Dim10Special Rules</t>
  </si>
  <si>
    <t>Variable Dim10Text</t>
  </si>
  <si>
    <t>Variable Dim Name11</t>
  </si>
  <si>
    <t>Variable Dim11</t>
  </si>
  <si>
    <t>Variable Dim11Relate to data</t>
  </si>
  <si>
    <t>Variable Dim11Special Rules</t>
  </si>
  <si>
    <t>Variable Dim11Text</t>
  </si>
  <si>
    <t>Variable Dim Name12</t>
  </si>
  <si>
    <t>Variable Dim12</t>
  </si>
  <si>
    <t>Variable Dim12Relate to data</t>
  </si>
  <si>
    <t>Variable Dim12Special Rules</t>
  </si>
  <si>
    <t>Variable Dim12Text</t>
  </si>
  <si>
    <t>Variable Dim Name13</t>
  </si>
  <si>
    <t>Variable Dim13</t>
  </si>
  <si>
    <t>Variable Dim13Relate to data</t>
  </si>
  <si>
    <t>Variable Dim13Special Rules</t>
  </si>
  <si>
    <t>Variable Dim13Text</t>
  </si>
  <si>
    <t>Variable Dim Name14</t>
  </si>
  <si>
    <t>Variable Dim14</t>
  </si>
  <si>
    <t>Variable Dim14Relate to data</t>
  </si>
  <si>
    <t>Variable Dim14Special Rules</t>
  </si>
  <si>
    <t>Variable Dim14Text</t>
  </si>
  <si>
    <t>Variable Dim Name15</t>
  </si>
  <si>
    <t>Variable Dim15</t>
  </si>
  <si>
    <t>Variable Dim15Relate to data</t>
  </si>
  <si>
    <t>Variable Dim15Special Rules</t>
  </si>
  <si>
    <t>Variable Dim15Text</t>
  </si>
  <si>
    <t>Variable Dim Name16</t>
  </si>
  <si>
    <t>Variable Dim16</t>
  </si>
  <si>
    <t>Variable Dim16Relate to data</t>
  </si>
  <si>
    <t>Variable Dim16Special Rules</t>
  </si>
  <si>
    <t>Variable Dim16Text</t>
  </si>
  <si>
    <t>Variable Dim Name17</t>
  </si>
  <si>
    <t>Variable Dim17</t>
  </si>
  <si>
    <t>Variable Dim17Relate to data</t>
  </si>
  <si>
    <t>Variable Dim17Special Rules</t>
  </si>
  <si>
    <t>Variable Dim17Text</t>
  </si>
  <si>
    <t>Variable Dim Name18</t>
  </si>
  <si>
    <t>Variable Dim18</t>
  </si>
  <si>
    <t>Variable Dim18Relate to data</t>
  </si>
  <si>
    <t>Variable Dim18Special Rules</t>
  </si>
  <si>
    <t>Variable Dim18Text</t>
  </si>
  <si>
    <t>Variable Dim Name19</t>
  </si>
  <si>
    <t>Variable Dim19</t>
  </si>
  <si>
    <t>Variable Dim19Relate to data</t>
  </si>
  <si>
    <t>Variable Dim19Special Rules</t>
  </si>
  <si>
    <t>Variable Dim19Text</t>
  </si>
  <si>
    <t>Storage Field0</t>
  </si>
  <si>
    <t>Storage Field0 Name</t>
  </si>
  <si>
    <t>Storage Field1</t>
  </si>
  <si>
    <t>Storage Field1 Name</t>
  </si>
  <si>
    <t>Storage Field2</t>
  </si>
  <si>
    <t>Storage Field2 Name</t>
  </si>
  <si>
    <t>Storage Field3</t>
  </si>
  <si>
    <t>Storage Field3 Name</t>
  </si>
  <si>
    <t>Storage Field4</t>
  </si>
  <si>
    <t>Storage Field4 Name</t>
  </si>
  <si>
    <t>Storage Field5</t>
  </si>
  <si>
    <t>Storage Field5 Name</t>
  </si>
  <si>
    <t>Storage Field6</t>
  </si>
  <si>
    <t>Storage Field6 Name</t>
  </si>
  <si>
    <t>Storage Field7</t>
  </si>
  <si>
    <t>Storage Field7 Name</t>
  </si>
  <si>
    <t>Storage Field8</t>
  </si>
  <si>
    <t>Storage Field8 Name</t>
  </si>
  <si>
    <t>Storage Field9</t>
  </si>
  <si>
    <t>Storage Field9 Name</t>
  </si>
  <si>
    <t>Storage Field10</t>
  </si>
  <si>
    <t>Storage Field10 Name</t>
  </si>
  <si>
    <t>Storage Field11</t>
  </si>
  <si>
    <t>Storage Field11 Name</t>
  </si>
  <si>
    <t>Storage Field12</t>
  </si>
  <si>
    <t>Storage Field12 Name</t>
  </si>
  <si>
    <t>Storage Field13</t>
  </si>
  <si>
    <t>Storage Field13 Name</t>
  </si>
  <si>
    <t>Storage Field14</t>
  </si>
  <si>
    <t>Storage Field14 Name</t>
  </si>
  <si>
    <t>Storage Field15</t>
  </si>
  <si>
    <t>Storage Field15 Name</t>
  </si>
  <si>
    <t>Storage Field16</t>
  </si>
  <si>
    <t>Storage Field16 Name</t>
  </si>
  <si>
    <t>Storage Field17</t>
  </si>
  <si>
    <t>Storage Field17 Name</t>
  </si>
  <si>
    <t>Storage Field18</t>
  </si>
  <si>
    <t>Storage Field18 Name</t>
  </si>
  <si>
    <t>Storage Field19</t>
  </si>
  <si>
    <t>Storage Field19 Name</t>
  </si>
  <si>
    <t>Enable SIMWindow</t>
  </si>
  <si>
    <t>Period Type</t>
  </si>
  <si>
    <t>Storage Type</t>
  </si>
  <si>
    <t>Retain Zero Value</t>
  </si>
  <si>
    <t>DimGridName</t>
  </si>
  <si>
    <t>DimSheetName</t>
  </si>
  <si>
    <t>StorageGridName</t>
  </si>
  <si>
    <t>StorageSheetName</t>
  </si>
  <si>
    <t xml:space="preserve">Forty Niner Shops, Inc. </t>
  </si>
  <si>
    <t>Combined Operating Statement by Department</t>
  </si>
  <si>
    <t>All Departments</t>
  </si>
  <si>
    <t>CURRENT PERIOD</t>
  </si>
  <si>
    <t>YEAR TO DATE</t>
  </si>
  <si>
    <t>Actual</t>
  </si>
  <si>
    <t>% of Sales</t>
  </si>
  <si>
    <t>Budget</t>
  </si>
  <si>
    <t>% Budget Sales</t>
  </si>
  <si>
    <t>Variance</t>
  </si>
  <si>
    <t>% Variance</t>
  </si>
  <si>
    <t>Sales</t>
  </si>
  <si>
    <t>Cost of Goods Sold</t>
  </si>
  <si>
    <t>GROSS MARGIN</t>
  </si>
  <si>
    <t>Operating Expenses</t>
  </si>
  <si>
    <t>Credits &amp; Revenues</t>
  </si>
  <si>
    <t>OPERATING INCOME</t>
  </si>
  <si>
    <t>G &amp; A Allocation</t>
  </si>
  <si>
    <t>OPERATING CONTRIBUTION</t>
  </si>
  <si>
    <t>Gain/(Loss) on FMV of Investments</t>
  </si>
  <si>
    <t>Interest Income/Other</t>
  </si>
  <si>
    <t>NET CONTRIBUTION</t>
  </si>
  <si>
    <t>Tess.Monzon@csulb.edu</t>
  </si>
  <si>
    <t>Division 1 - Corporate</t>
  </si>
  <si>
    <t>Division 2 - Administration</t>
  </si>
  <si>
    <t>Division 3 - Bookstore &amp; C-Stores</t>
  </si>
  <si>
    <t>Division 300 - Bookstore</t>
  </si>
  <si>
    <t>Division 300 &amp; 317 - Bookstore &amp; Computer Store</t>
  </si>
  <si>
    <t>Division 310 - C-Stores</t>
  </si>
  <si>
    <t>Division 308 - Combined Textbooks</t>
  </si>
  <si>
    <t>Division 331 - Combined 315 &amp; 326</t>
  </si>
  <si>
    <t>Division 332 - Combined 316, 320, &amp; 323</t>
  </si>
  <si>
    <t>Division 333 - Combined 307, 315, &amp; 326</t>
  </si>
  <si>
    <t>Division 4 - Food Services</t>
  </si>
  <si>
    <t>Division 310 &amp; 491 - C-Stores &amp; Cash Food Operations</t>
  </si>
  <si>
    <t>Division 491 - Cash Food Operations</t>
  </si>
  <si>
    <t>Division 492 - Residential Dining</t>
  </si>
  <si>
    <t>Division 5 - ID Card Services</t>
  </si>
  <si>
    <t>Division 6 - Computer Store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</si>
</sst>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164" formatCode="_(* #,##0_);_(* \(#,##0\);_(* &quot;-&quot;??_);_(@_)"/>
    <numFmt numFmtId="165" formatCode="#,##0.0%;\(#,##0.0%\)"/>
    <numFmt numFmtId="166" formatCode="_(&quot;$&quot;* #,##0_);_(&quot;$&quot;* \(#,##0\);_(&quot;$&quot;* &quot;-&quot;??_);_(@_)"/>
    <numFmt numFmtId="167" formatCode="[$-409]m/d/yy\ h:mm\ AM/PM;@"/>
    <numFmt numFmtId="168" formatCode="[$-409]mmmm\ d\,\ yyyy;@"/>
  </numFmts>
  <fonts count="7" x14ac:knownFonts="1">
    <font>
      <sz val="11"/>
      <color theme="1"/>
      <name val="Calibri"/>
      <scheme val="minor"/>
    </font>
    <font>
      <sz val="11"/>
      <color indexed="0"/>
      <name val="Calibri"/>
      <family val="2"/>
    </font>
    <font>
      <b/>
      <sz val="11"/>
      <color theme="1"/>
      <name val="Calibri"/>
      <scheme val="minor"/>
    </font>
    <font>
      <i/>
      <sz val="11"/>
      <color theme="1"/>
      <name val="Calibri"/>
      <scheme val="minor"/>
    </font>
    <font>
      <sz val="8"/>
      <color theme="0" tint="-0.499984740745262"/>
      <name val="Calibri"/>
      <scheme val="minor"/>
    </font>
    <font>
      <sz val="11"/>
      <color theme="0" tint="-0.499984740745262"/>
      <name val="Calibri"/>
      <scheme val="minor"/>
    </font>
    <font>
      <b/>
      <sz val="12"/>
      <color theme="1"/>
      <name val="Calibri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324"/>
      </patternFill>
    </fill>
    <fill>
      <patternFill patternType="solid">
        <fgColor rgb="FFFFFF99"/>
      </patternFill>
    </fill>
  </fills>
  <borders count="6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/>
      <top/>
      <bottom style="double">
        <color rgb="FF000000"/>
      </bottom>
      <diagonal/>
    </border>
  </borders>
  <cellStyleXfs count="4">
    <xf numFmtId="0" fontId="0" fillId="0" borderId="0" applyFill="0" applyBorder="0"/>
    <xf numFmtId="0" fontId="1" fillId="0" borderId="0" applyFont="0" applyFill="0" applyBorder="0">
      <alignment vertical="top"/>
    </xf>
    <xf numFmtId="44" fontId="1" fillId="0" borderId="0" applyFont="0" applyFill="0" applyBorder="0">
      <alignment vertical="top"/>
    </xf>
    <xf numFmtId="9" fontId="1" fillId="0" borderId="0" applyFont="0" applyFill="0" applyBorder="0">
      <alignment vertical="top"/>
    </xf>
  </cellStyleXfs>
  <cellXfs count="72">
    <xf numFmtId="0" fontId="0" fillId="0" borderId="0" xfId="0" applyNumberFormat="1" applyFont="1"/>
    <xf numFmtId="0" fontId="0" fillId="0" borderId="0" xfId="0" applyNumberFormat="1" applyFont="1"/>
    <xf numFmtId="164" fontId="0" fillId="0" borderId="0" xfId="1" applyNumberFormat="1" applyFont="1" applyAlignment="1"/>
    <xf numFmtId="164" fontId="3" fillId="0" borderId="0" xfId="1" applyNumberFormat="1" applyFont="1" applyAlignment="1"/>
    <xf numFmtId="164" fontId="0" fillId="0" borderId="0" xfId="1" applyNumberFormat="1" applyFont="1" applyAlignment="1"/>
    <xf numFmtId="165" fontId="0" fillId="0" borderId="0" xfId="3" applyNumberFormat="1" applyFont="1" applyAlignment="1"/>
    <xf numFmtId="164" fontId="3" fillId="0" borderId="0" xfId="1" applyNumberFormat="1" applyFont="1" applyAlignment="1"/>
    <xf numFmtId="165" fontId="3" fillId="0" borderId="0" xfId="3" applyNumberFormat="1" applyFont="1" applyAlignment="1"/>
    <xf numFmtId="164" fontId="2" fillId="0" borderId="0" xfId="1" applyNumberFormat="1" applyFont="1" applyAlignment="1"/>
    <xf numFmtId="0" fontId="3" fillId="0" borderId="0" xfId="0" applyNumberFormat="1" applyFont="1"/>
    <xf numFmtId="165" fontId="0" fillId="0" borderId="0" xfId="3" applyNumberFormat="1" applyFont="1" applyAlignment="1"/>
    <xf numFmtId="0" fontId="0" fillId="0" borderId="0" xfId="0" applyNumberFormat="1" applyFont="1"/>
    <xf numFmtId="0" fontId="0" fillId="0" borderId="0" xfId="0" applyNumberFormat="1" applyFont="1"/>
    <xf numFmtId="0" fontId="2" fillId="0" borderId="0" xfId="0" applyNumberFormat="1" applyFont="1"/>
    <xf numFmtId="165" fontId="2" fillId="0" borderId="0" xfId="3" applyNumberFormat="1" applyFont="1" applyAlignment="1"/>
    <xf numFmtId="164" fontId="2" fillId="2" borderId="0" xfId="1" applyNumberFormat="1" applyFont="1" applyFill="1" applyAlignment="1"/>
    <xf numFmtId="0" fontId="2" fillId="2" borderId="1" xfId="0" applyNumberFormat="1" applyFont="1" applyFill="1" applyBorder="1" applyAlignment="1">
      <alignment horizontal="left"/>
    </xf>
    <xf numFmtId="164" fontId="2" fillId="2" borderId="0" xfId="1" applyNumberFormat="1" applyFont="1" applyFill="1" applyAlignment="1"/>
    <xf numFmtId="0" fontId="0" fillId="0" borderId="0" xfId="0" applyNumberFormat="1" applyFont="1" applyAlignment="1">
      <alignment horizontal="left"/>
    </xf>
    <xf numFmtId="164" fontId="0" fillId="0" borderId="0" xfId="1" applyNumberFormat="1" applyFont="1" applyAlignment="1"/>
    <xf numFmtId="49" fontId="0" fillId="0" borderId="0" xfId="0" applyNumberFormat="1" applyFont="1" applyAlignment="1">
      <alignment horizontal="right"/>
    </xf>
    <xf numFmtId="49" fontId="3" fillId="0" borderId="0" xfId="0" applyNumberFormat="1" applyFont="1" applyAlignment="1">
      <alignment horizontal="right"/>
    </xf>
    <xf numFmtId="165" fontId="2" fillId="2" borderId="2" xfId="3" applyNumberFormat="1" applyFont="1" applyFill="1" applyBorder="1" applyAlignment="1"/>
    <xf numFmtId="166" fontId="2" fillId="2" borderId="2" xfId="2" applyNumberFormat="1" applyFont="1" applyFill="1" applyBorder="1" applyAlignment="1"/>
    <xf numFmtId="164" fontId="2" fillId="0" borderId="0" xfId="1" applyNumberFormat="1" applyFont="1" applyAlignment="1"/>
    <xf numFmtId="0" fontId="2" fillId="0" borderId="0" xfId="0" applyNumberFormat="1" applyFont="1"/>
    <xf numFmtId="165" fontId="3" fillId="0" borderId="0" xfId="3" applyNumberFormat="1" applyFont="1" applyAlignment="1"/>
    <xf numFmtId="0" fontId="2" fillId="2" borderId="0" xfId="0" applyNumberFormat="1" applyFont="1" applyFill="1" applyAlignment="1">
      <alignment horizontal="left"/>
    </xf>
    <xf numFmtId="0" fontId="2" fillId="0" borderId="0" xfId="0" applyNumberFormat="1" applyFont="1" applyAlignment="1">
      <alignment horizontal="left"/>
    </xf>
    <xf numFmtId="0" fontId="0" fillId="3" borderId="3" xfId="0" applyNumberFormat="1" applyFont="1" applyFill="1" applyBorder="1" applyAlignment="1">
      <alignment horizontal="center" vertical="center" wrapText="1"/>
    </xf>
    <xf numFmtId="166" fontId="2" fillId="2" borderId="4" xfId="2" applyNumberFormat="1" applyFont="1" applyFill="1" applyBorder="1" applyAlignment="1"/>
    <xf numFmtId="165" fontId="2" fillId="2" borderId="5" xfId="3" applyNumberFormat="1" applyFont="1" applyFill="1" applyBorder="1" applyAlignment="1"/>
    <xf numFmtId="49" fontId="2" fillId="0" borderId="0" xfId="0" applyNumberFormat="1" applyFont="1" applyAlignment="1">
      <alignment horizontal="center"/>
    </xf>
    <xf numFmtId="166" fontId="2" fillId="2" borderId="5" xfId="2" applyNumberFormat="1" applyFont="1" applyFill="1" applyBorder="1" applyAlignment="1"/>
    <xf numFmtId="165" fontId="2" fillId="0" borderId="0" xfId="3" applyNumberFormat="1" applyFont="1" applyAlignment="1"/>
    <xf numFmtId="165" fontId="2" fillId="2" borderId="4" xfId="3" applyNumberFormat="1" applyFont="1" applyFill="1" applyBorder="1" applyAlignment="1"/>
    <xf numFmtId="0" fontId="0" fillId="0" borderId="0" xfId="0" applyNumberFormat="1" applyFont="1"/>
    <xf numFmtId="165" fontId="2" fillId="2" borderId="1" xfId="3" applyNumberFormat="1" applyFont="1" applyFill="1" applyBorder="1" applyAlignment="1">
      <alignment horizontal="left"/>
    </xf>
    <xf numFmtId="165" fontId="0" fillId="0" borderId="0" xfId="0" applyNumberFormat="1" applyFont="1" applyAlignment="1">
      <alignment horizontal="left"/>
    </xf>
    <xf numFmtId="165" fontId="2" fillId="2" borderId="1" xfId="3" applyNumberFormat="1" applyFont="1" applyFill="1" applyBorder="1" applyAlignment="1">
      <alignment horizontal="center"/>
    </xf>
    <xf numFmtId="0" fontId="2" fillId="2" borderId="1" xfId="0" applyNumberFormat="1" applyFont="1" applyFill="1" applyBorder="1" applyAlignment="1">
      <alignment horizontal="center"/>
    </xf>
    <xf numFmtId="165" fontId="0" fillId="0" borderId="0" xfId="1" applyNumberFormat="1" applyFont="1" applyAlignment="1"/>
    <xf numFmtId="165" fontId="2" fillId="2" borderId="1" xfId="0" applyNumberFormat="1" applyFont="1" applyFill="1" applyBorder="1" applyAlignment="1">
      <alignment horizontal="center"/>
    </xf>
    <xf numFmtId="165" fontId="0" fillId="0" borderId="0" xfId="0" applyNumberFormat="1" applyFont="1"/>
    <xf numFmtId="165" fontId="0" fillId="0" borderId="0" xfId="3" applyNumberFormat="1" applyFont="1" applyAlignment="1">
      <alignment horizontal="left"/>
    </xf>
    <xf numFmtId="0" fontId="2" fillId="2" borderId="1" xfId="0" applyNumberFormat="1" applyFont="1" applyFill="1" applyBorder="1" applyAlignment="1">
      <alignment horizontal="center"/>
    </xf>
    <xf numFmtId="165" fontId="2" fillId="2" borderId="1" xfId="0" applyNumberFormat="1" applyFont="1" applyFill="1" applyBorder="1" applyAlignment="1">
      <alignment horizontal="left"/>
    </xf>
    <xf numFmtId="164" fontId="2" fillId="0" borderId="0" xfId="1" applyNumberFormat="1" applyFont="1" applyAlignment="1">
      <alignment horizontal="left"/>
    </xf>
    <xf numFmtId="49" fontId="3" fillId="0" borderId="0" xfId="0" applyNumberFormat="1" applyFont="1"/>
    <xf numFmtId="49" fontId="2" fillId="0" borderId="0" xfId="0" applyNumberFormat="1" applyFont="1"/>
    <xf numFmtId="167" fontId="4" fillId="0" borderId="0" xfId="0" applyNumberFormat="1" applyFont="1" applyAlignment="1">
      <alignment horizontal="left"/>
    </xf>
    <xf numFmtId="0" fontId="5" fillId="0" borderId="0" xfId="0" applyNumberFormat="1" applyFont="1"/>
    <xf numFmtId="0" fontId="2" fillId="0" borderId="0" xfId="0" applyNumberFormat="1" applyFont="1"/>
    <xf numFmtId="0" fontId="2" fillId="0" borderId="0" xfId="0" applyNumberFormat="1" applyFont="1" applyAlignment="1">
      <alignment horizontal="left"/>
    </xf>
    <xf numFmtId="168" fontId="0" fillId="0" borderId="0" xfId="0" applyNumberFormat="1" applyFont="1"/>
    <xf numFmtId="49" fontId="2" fillId="2" borderId="1" xfId="0" applyNumberFormat="1" applyFont="1" applyFill="1" applyBorder="1" applyAlignment="1">
      <alignment horizontal="center"/>
    </xf>
    <xf numFmtId="0" fontId="0" fillId="0" borderId="0" xfId="0" applyNumberFormat="1" applyFont="1" applyAlignment="1">
      <alignment horizontal="left"/>
    </xf>
    <xf numFmtId="0" fontId="4" fillId="0" borderId="0" xfId="0" applyNumberFormat="1" applyFont="1" applyAlignment="1">
      <alignment horizontal="left"/>
    </xf>
    <xf numFmtId="0" fontId="6" fillId="0" borderId="0" xfId="0" applyNumberFormat="1" applyFont="1"/>
    <xf numFmtId="164" fontId="2" fillId="0" borderId="0" xfId="1" applyNumberFormat="1" applyFont="1" applyAlignment="1">
      <alignment horizontal="left"/>
    </xf>
    <xf numFmtId="14" fontId="2" fillId="0" borderId="0" xfId="0" applyNumberFormat="1" applyFont="1" applyAlignment="1">
      <alignment horizontal="left"/>
    </xf>
    <xf numFmtId="0" fontId="2" fillId="0" borderId="0" xfId="0" applyNumberFormat="1" applyFont="1" applyAlignment="1">
      <alignment horizontal="left"/>
    </xf>
    <xf numFmtId="49" fontId="0" fillId="3" borderId="3" xfId="0" applyNumberFormat="1" applyFont="1" applyFill="1" applyBorder="1" applyAlignment="1">
      <alignment horizontal="center" vertical="center" wrapText="1"/>
    </xf>
    <xf numFmtId="0" fontId="2" fillId="0" borderId="0" xfId="0" applyNumberFormat="1" applyFont="1"/>
    <xf numFmtId="0" fontId="0" fillId="0" borderId="0" xfId="0" applyNumberFormat="1" applyFont="1"/>
    <xf numFmtId="0" fontId="0" fillId="0" borderId="0" xfId="0" applyNumberFormat="1" applyFont="1"/>
    <xf numFmtId="0" fontId="0" fillId="0" borderId="0" xfId="0" applyNumberFormat="1" applyFont="1"/>
    <xf numFmtId="165" fontId="0" fillId="0" borderId="0" xfId="0" applyNumberFormat="1" applyFont="1"/>
    <xf numFmtId="165" fontId="0" fillId="0" borderId="0" xfId="0" applyNumberFormat="1" applyFont="1"/>
    <xf numFmtId="0" fontId="0" fillId="0" borderId="0" xfId="0" applyNumberFormat="1" applyFont="1"/>
    <xf numFmtId="0" fontId="3" fillId="0" borderId="0" xfId="0" applyNumberFormat="1" applyFont="1"/>
    <xf numFmtId="49" fontId="0" fillId="0" borderId="0" xfId="0" applyNumberFormat="1" applyFont="1"/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D83418-B4EA-B066-210A-FD3ED1FACC99}">
  <dimension ref="A1:DZ3"/>
  <sheetViews>
    <sheetView showGridLines="0" defaultGridColor="0" colorId="8" workbookViewId="0"/>
  </sheetViews>
  <sheetFormatPr defaultRowHeight="15" customHeight="1" x14ac:dyDescent="0.3"/>
  <cols>
    <col min="1" max="130" width="20.6640625" style="66" customWidth="1"/>
  </cols>
  <sheetData>
    <row r="1" spans="1:130" ht="15" customHeight="1" x14ac:dyDescent="0.3">
      <c r="B1" s="1">
        <v>4</v>
      </c>
    </row>
    <row r="3" spans="1:130" ht="30" customHeight="1" x14ac:dyDescent="0.3">
      <c r="A3" s="29" t="s">
        <v>0</v>
      </c>
      <c r="B3" s="29" t="s">
        <v>1</v>
      </c>
      <c r="C3" s="29" t="s">
        <v>2</v>
      </c>
      <c r="D3" s="29" t="s">
        <v>3</v>
      </c>
      <c r="E3" s="29" t="s">
        <v>4</v>
      </c>
      <c r="F3" s="29" t="s">
        <v>5</v>
      </c>
      <c r="G3" s="29" t="s">
        <v>6</v>
      </c>
      <c r="H3" s="29" t="s">
        <v>7</v>
      </c>
      <c r="I3" s="29" t="s">
        <v>8</v>
      </c>
      <c r="J3" s="29" t="s">
        <v>9</v>
      </c>
      <c r="K3" s="29" t="s">
        <v>10</v>
      </c>
      <c r="L3" s="29" t="s">
        <v>11</v>
      </c>
      <c r="M3" s="29" t="s">
        <v>12</v>
      </c>
      <c r="N3" s="29" t="s">
        <v>13</v>
      </c>
      <c r="O3" s="29" t="s">
        <v>14</v>
      </c>
      <c r="P3" s="29" t="s">
        <v>15</v>
      </c>
      <c r="Q3" s="29" t="s">
        <v>16</v>
      </c>
      <c r="R3" s="29" t="s">
        <v>17</v>
      </c>
      <c r="S3" s="29" t="s">
        <v>18</v>
      </c>
      <c r="T3" s="29" t="s">
        <v>19</v>
      </c>
      <c r="U3" s="29" t="s">
        <v>20</v>
      </c>
      <c r="V3" s="29" t="s">
        <v>21</v>
      </c>
      <c r="W3" s="29" t="s">
        <v>22</v>
      </c>
      <c r="X3" s="29" t="s">
        <v>23</v>
      </c>
      <c r="Y3" s="29" t="s">
        <v>24</v>
      </c>
      <c r="Z3" s="29" t="s">
        <v>25</v>
      </c>
      <c r="AA3" s="29" t="s">
        <v>26</v>
      </c>
      <c r="AB3" s="29" t="s">
        <v>27</v>
      </c>
      <c r="AC3" s="29" t="s">
        <v>28</v>
      </c>
      <c r="AD3" s="29" t="s">
        <v>29</v>
      </c>
      <c r="AE3" s="29" t="s">
        <v>30</v>
      </c>
      <c r="AF3" s="29" t="s">
        <v>31</v>
      </c>
      <c r="AG3" s="29" t="s">
        <v>32</v>
      </c>
      <c r="AH3" s="29" t="s">
        <v>33</v>
      </c>
      <c r="AI3" s="29" t="s">
        <v>34</v>
      </c>
      <c r="AJ3" s="29" t="s">
        <v>35</v>
      </c>
      <c r="AK3" s="29" t="s">
        <v>36</v>
      </c>
      <c r="AL3" s="29" t="s">
        <v>37</v>
      </c>
      <c r="AM3" s="29" t="s">
        <v>38</v>
      </c>
      <c r="AN3" s="29" t="s">
        <v>39</v>
      </c>
      <c r="AO3" s="29" t="s">
        <v>40</v>
      </c>
      <c r="AP3" s="29" t="s">
        <v>41</v>
      </c>
      <c r="AQ3" s="29" t="s">
        <v>42</v>
      </c>
      <c r="AR3" s="29" t="s">
        <v>43</v>
      </c>
      <c r="AS3" s="29" t="s">
        <v>44</v>
      </c>
      <c r="AT3" s="29" t="s">
        <v>45</v>
      </c>
      <c r="AU3" s="29" t="s">
        <v>46</v>
      </c>
      <c r="AV3" s="29" t="s">
        <v>47</v>
      </c>
      <c r="AW3" s="29" t="s">
        <v>48</v>
      </c>
      <c r="AX3" s="29" t="s">
        <v>49</v>
      </c>
      <c r="AY3" s="29" t="s">
        <v>50</v>
      </c>
      <c r="AZ3" s="29" t="s">
        <v>51</v>
      </c>
      <c r="BA3" s="29" t="s">
        <v>52</v>
      </c>
      <c r="BB3" s="29" t="s">
        <v>53</v>
      </c>
      <c r="BC3" s="29"/>
      <c r="BD3" s="29"/>
      <c r="BE3" s="29"/>
      <c r="BF3" s="29"/>
      <c r="BG3" s="29"/>
      <c r="BH3" s="29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L3" s="29"/>
      <c r="CM3" s="29"/>
      <c r="CN3" s="29"/>
      <c r="CO3" s="29"/>
      <c r="CP3" s="29"/>
      <c r="CQ3" s="29"/>
      <c r="CR3" s="29"/>
      <c r="CS3" s="29"/>
      <c r="CT3" s="29"/>
      <c r="CU3" s="29"/>
      <c r="CV3" s="29"/>
      <c r="CW3" s="29"/>
      <c r="CX3" s="29"/>
      <c r="CY3" s="29"/>
      <c r="CZ3" s="29"/>
      <c r="DA3" s="29"/>
      <c r="DB3" s="29"/>
      <c r="DC3" s="29"/>
      <c r="DD3" s="29"/>
      <c r="DE3" s="29"/>
      <c r="DF3" s="29"/>
      <c r="DG3" s="29"/>
      <c r="DH3" s="29"/>
      <c r="DI3" s="29"/>
      <c r="DJ3" s="29"/>
      <c r="DK3" s="29"/>
      <c r="DL3" s="29"/>
      <c r="DM3" s="29"/>
      <c r="DN3" s="29"/>
      <c r="DO3" s="29"/>
      <c r="DP3" s="29"/>
      <c r="DQ3" s="29"/>
      <c r="DR3" s="29"/>
      <c r="DS3" s="29"/>
      <c r="DT3" s="29"/>
      <c r="DU3" s="29"/>
      <c r="DV3" s="29"/>
      <c r="DW3" s="29"/>
      <c r="DX3" s="29"/>
      <c r="DY3" s="29"/>
      <c r="DZ3" s="29"/>
    </row>
  </sheetData>
  <pageMargins left="0.7" right="0.7" top="0.75" bottom="0.75" header="0.3" footer="0.3"/>
  <pageSetup orientation="portrait"/>
  <headerFooter>
    <oddHeader>&amp;L&amp;C&amp;R</oddHeader>
    <oddFooter>&amp;L&amp;C&amp;R</oddFooter>
    <evenHeader>&amp;L&amp;C&amp;R</evenHeader>
    <evenFooter>&amp;L&amp;C&amp;R</even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8A53F1-1E63-90D7-C8F1-9A6C70BEE6AD}">
  <sheetPr>
    <tabColor rgb="FF92D050"/>
    <outlinePr summaryBelow="0" summaryRight="0"/>
  </sheetPr>
  <dimension ref="A2:Z89"/>
  <sheetViews>
    <sheetView showGridLines="0" defaultGridColor="0" colorId="8" zoomScale="80" workbookViewId="0">
      <pane xSplit="3" ySplit="10" topLeftCell="D11" activePane="bottomRight" state="frozen"/>
      <selection activeCell="D78" sqref="D78"/>
      <selection pane="topRight" activeCell="D78" sqref="D78"/>
      <selection pane="bottomLeft" activeCell="D78" sqref="D78"/>
      <selection pane="bottomRight" activeCell="D78" sqref="D78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3" t="s">
        <v>276</v>
      </c>
    </row>
    <row r="3" spans="1:26" ht="15" customHeight="1" x14ac:dyDescent="0.3">
      <c r="D3" s="53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3" t="str">
        <f>CONCATENATE("Period ",RIGHT(202212,2),", ",2022)</f>
        <v>Period 12,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5"/>
      <c r="D5" s="60">
        <v>44742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5"/>
      <c r="B6" s="47"/>
      <c r="C6" s="47"/>
      <c r="D6" s="25" t="str">
        <f>CONCATENATE("Department ","203"," - ","Human Resources")</f>
        <v>Department 203 - Human Resources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4"/>
    </row>
    <row r="8" spans="1:26" ht="15" customHeight="1" x14ac:dyDescent="0.3">
      <c r="B8" s="54"/>
    </row>
    <row r="9" spans="1:26" ht="15" customHeight="1" x14ac:dyDescent="0.3">
      <c r="B9" s="12"/>
      <c r="C9" s="12"/>
      <c r="D9" s="16" t="s">
        <v>279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280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ht="15" customHeight="1" x14ac:dyDescent="0.3">
      <c r="A10" s="13"/>
      <c r="B10" s="52"/>
      <c r="C10" s="13"/>
      <c r="D10" s="40" t="s">
        <v>281</v>
      </c>
      <c r="E10" s="32"/>
      <c r="F10" s="39" t="s">
        <v>282</v>
      </c>
      <c r="G10" s="32"/>
      <c r="H10" s="45" t="s">
        <v>283</v>
      </c>
      <c r="I10" s="32"/>
      <c r="J10" s="42" t="s">
        <v>284</v>
      </c>
      <c r="K10" s="13"/>
      <c r="L10" s="40" t="s">
        <v>285</v>
      </c>
      <c r="M10" s="13"/>
      <c r="N10" s="39" t="s">
        <v>286</v>
      </c>
      <c r="O10" s="13"/>
      <c r="P10" s="55" t="s">
        <v>281</v>
      </c>
      <c r="Q10" s="32"/>
      <c r="R10" s="39" t="s">
        <v>282</v>
      </c>
      <c r="S10" s="32"/>
      <c r="T10" s="45" t="s">
        <v>283</v>
      </c>
      <c r="U10" s="32"/>
      <c r="V10" s="42" t="s">
        <v>284</v>
      </c>
      <c r="W10" s="13"/>
      <c r="X10" s="40" t="s">
        <v>285</v>
      </c>
      <c r="Y10" s="13"/>
      <c r="Z10" s="39" t="s">
        <v>286</v>
      </c>
    </row>
    <row r="11" spans="1:26" ht="16.5" customHeight="1" x14ac:dyDescent="0.3">
      <c r="A11" s="12"/>
      <c r="B11" s="58"/>
      <c r="C11" s="12"/>
      <c r="D11" s="12"/>
      <c r="E11" s="12"/>
      <c r="F11" s="10"/>
      <c r="G11" s="12"/>
      <c r="H11" s="12"/>
      <c r="I11" s="12"/>
      <c r="J11" s="43"/>
      <c r="K11" s="12"/>
      <c r="L11" s="12"/>
      <c r="M11" s="12"/>
      <c r="N11" s="10"/>
      <c r="P11" s="12"/>
      <c r="Q11" s="12"/>
      <c r="R11" s="10"/>
      <c r="S11" s="12"/>
      <c r="T11" s="12"/>
      <c r="U11" s="12"/>
      <c r="V11" s="43"/>
      <c r="W11" s="12"/>
      <c r="X11" s="12"/>
      <c r="Y11" s="12"/>
      <c r="Z11" s="10"/>
    </row>
    <row r="12" spans="1:26" s="63" customFormat="1" ht="15" customHeight="1" x14ac:dyDescent="0.3">
      <c r="A12" s="13"/>
      <c r="B12" s="28" t="s">
        <v>287</v>
      </c>
      <c r="C12" s="13"/>
      <c r="D12" s="8">
        <f>SUM(0)</f>
        <v>0</v>
      </c>
      <c r="E12" s="8"/>
      <c r="F12" s="14"/>
      <c r="G12" s="8"/>
      <c r="H12" s="8">
        <f>SUM(0)</f>
        <v>0</v>
      </c>
      <c r="I12" s="8"/>
      <c r="J12" s="14"/>
      <c r="K12" s="8"/>
      <c r="L12" s="8">
        <f>+D12-H12</f>
        <v>0</v>
      </c>
      <c r="M12" s="8"/>
      <c r="N12" s="14">
        <f>IF(H12=0,0,L12/H12)</f>
        <v>0</v>
      </c>
      <c r="O12" s="13"/>
      <c r="P12" s="8">
        <f>SUM(0)</f>
        <v>0</v>
      </c>
      <c r="Q12" s="8"/>
      <c r="R12" s="14"/>
      <c r="S12" s="8"/>
      <c r="T12" s="8">
        <f>SUM(0)</f>
        <v>0</v>
      </c>
      <c r="U12" s="8"/>
      <c r="V12" s="14"/>
      <c r="W12" s="8"/>
      <c r="X12" s="8">
        <f>+P12-T12</f>
        <v>0</v>
      </c>
      <c r="Y12" s="8"/>
      <c r="Z12" s="14">
        <f>IF(T12=0,0,X12/T12)</f>
        <v>0</v>
      </c>
    </row>
    <row r="13" spans="1:26" ht="15" customHeight="1" x14ac:dyDescent="0.3">
      <c r="A13" s="12"/>
      <c r="B13" s="13"/>
      <c r="C13" s="12"/>
      <c r="D13" s="4"/>
      <c r="E13" s="4"/>
      <c r="F13" s="10"/>
      <c r="G13" s="4"/>
      <c r="H13" s="4"/>
      <c r="I13" s="4"/>
      <c r="J13" s="10"/>
      <c r="K13" s="4"/>
      <c r="L13" s="4"/>
      <c r="M13" s="4"/>
      <c r="N13" s="10"/>
      <c r="P13" s="4"/>
      <c r="Q13" s="4"/>
      <c r="R13" s="10"/>
      <c r="S13" s="4"/>
      <c r="T13" s="4"/>
      <c r="U13" s="4"/>
      <c r="V13" s="10"/>
      <c r="W13" s="4"/>
      <c r="X13" s="4"/>
      <c r="Y13" s="4"/>
      <c r="Z13" s="10"/>
    </row>
    <row r="14" spans="1:26" s="63" customFormat="1" ht="15" customHeight="1" x14ac:dyDescent="0.3">
      <c r="A14" s="13"/>
      <c r="B14" s="28" t="s">
        <v>288</v>
      </c>
      <c r="C14" s="13"/>
      <c r="D14" s="8">
        <f>SUM(0)</f>
        <v>0</v>
      </c>
      <c r="E14" s="8"/>
      <c r="F14" s="14">
        <f>IF(D$12=0,0,D14/D$12)</f>
        <v>0</v>
      </c>
      <c r="G14" s="8"/>
      <c r="H14" s="8">
        <f>SUM(0)</f>
        <v>0</v>
      </c>
      <c r="I14" s="8"/>
      <c r="J14" s="14">
        <f>IF(H$12=0,0,H14/H$12)</f>
        <v>0</v>
      </c>
      <c r="K14" s="8"/>
      <c r="L14" s="8">
        <f>+D14-H14</f>
        <v>0</v>
      </c>
      <c r="M14" s="8"/>
      <c r="N14" s="14">
        <f>IF(H14=0,0,L14/H14)</f>
        <v>0</v>
      </c>
      <c r="O14" s="13"/>
      <c r="P14" s="8">
        <f>SUM(0)</f>
        <v>0</v>
      </c>
      <c r="Q14" s="8"/>
      <c r="R14" s="14">
        <f>IF(P$12=0,0,P14/P$12)</f>
        <v>0</v>
      </c>
      <c r="S14" s="8"/>
      <c r="T14" s="8">
        <f>SUM(0)</f>
        <v>0</v>
      </c>
      <c r="U14" s="8"/>
      <c r="V14" s="14">
        <f>IF(T$12=0,0,T14/T$12)</f>
        <v>0</v>
      </c>
      <c r="W14" s="8"/>
      <c r="X14" s="8">
        <f>+P14-T14</f>
        <v>0</v>
      </c>
      <c r="Y14" s="8"/>
      <c r="Z14" s="14">
        <f>IF(T14=0,0,X14/T14)</f>
        <v>0</v>
      </c>
    </row>
    <row r="15" spans="1:26" ht="15" customHeight="1" x14ac:dyDescent="0.3">
      <c r="A15" s="12"/>
      <c r="B15" s="13"/>
      <c r="C15" s="13"/>
      <c r="D15" s="4"/>
      <c r="E15" s="4"/>
      <c r="F15" s="10"/>
      <c r="G15" s="4"/>
      <c r="H15" s="4"/>
      <c r="I15" s="4"/>
      <c r="J15" s="10"/>
      <c r="K15" s="4"/>
      <c r="L15" s="4"/>
      <c r="M15" s="4"/>
      <c r="N15" s="10"/>
      <c r="O15" s="13"/>
      <c r="P15" s="4"/>
      <c r="Q15" s="4"/>
      <c r="R15" s="10"/>
      <c r="S15" s="4"/>
      <c r="T15" s="4"/>
      <c r="U15" s="4"/>
      <c r="V15" s="10"/>
      <c r="W15" s="4"/>
      <c r="X15" s="4"/>
      <c r="Y15" s="4"/>
      <c r="Z15" s="10"/>
    </row>
    <row r="16" spans="1:26" s="63" customFormat="1" ht="15" customHeight="1" x14ac:dyDescent="0.3">
      <c r="A16" s="13"/>
      <c r="B16" s="27" t="s">
        <v>289</v>
      </c>
      <c r="C16" s="27"/>
      <c r="D16" s="23">
        <f>D12-D14</f>
        <v>0</v>
      </c>
      <c r="E16" s="15"/>
      <c r="F16" s="22">
        <f>IF(D$12=0,0,D16/D$12)</f>
        <v>0</v>
      </c>
      <c r="G16" s="15"/>
      <c r="H16" s="23">
        <f>H12-H14</f>
        <v>0</v>
      </c>
      <c r="I16" s="15"/>
      <c r="J16" s="22">
        <f>IF(H$12=0,0,H16/H$12)</f>
        <v>0</v>
      </c>
      <c r="K16" s="17"/>
      <c r="L16" s="23">
        <f>+D16-H16</f>
        <v>0</v>
      </c>
      <c r="M16" s="17"/>
      <c r="N16" s="22">
        <f>IF(H16=0,0,L16/H16)</f>
        <v>0</v>
      </c>
      <c r="O16" s="28"/>
      <c r="P16" s="23">
        <f>P12-P14</f>
        <v>0</v>
      </c>
      <c r="Q16" s="15"/>
      <c r="R16" s="22">
        <f>IF(P$12=0,0,P16/P$12)</f>
        <v>0</v>
      </c>
      <c r="S16" s="15"/>
      <c r="T16" s="23">
        <f>T12-T14</f>
        <v>0</v>
      </c>
      <c r="U16" s="15"/>
      <c r="V16" s="22">
        <f>IF(T$12=0,0,T16/T$12)</f>
        <v>0</v>
      </c>
      <c r="W16" s="17"/>
      <c r="X16" s="23">
        <f>+P16-T16</f>
        <v>0</v>
      </c>
      <c r="Y16" s="17"/>
      <c r="Z16" s="22">
        <f>IF(T16=0,0,X16/T16)</f>
        <v>0</v>
      </c>
    </row>
    <row r="17" spans="1:26" ht="15" customHeight="1" x14ac:dyDescent="0.3">
      <c r="A17" s="12"/>
      <c r="B17" s="13"/>
      <c r="C17" s="12"/>
      <c r="D17" s="2"/>
      <c r="E17" s="2"/>
      <c r="F17" s="5"/>
      <c r="G17" s="2"/>
      <c r="H17" s="2"/>
      <c r="I17" s="2"/>
      <c r="J17" s="5"/>
      <c r="K17" s="2"/>
      <c r="L17" s="2"/>
      <c r="M17" s="2"/>
      <c r="N17" s="5"/>
      <c r="O17" s="36"/>
      <c r="P17" s="2"/>
      <c r="Q17" s="2"/>
      <c r="R17" s="5"/>
      <c r="S17" s="2"/>
      <c r="T17" s="2"/>
      <c r="U17" s="2"/>
      <c r="V17" s="5"/>
      <c r="W17" s="2"/>
      <c r="X17" s="2"/>
      <c r="Y17" s="2"/>
      <c r="Z17" s="5"/>
    </row>
    <row r="18" spans="1:26" s="63" customFormat="1" ht="15" customHeight="1" x14ac:dyDescent="0.3">
      <c r="A18" s="13"/>
      <c r="B18" s="28" t="s">
        <v>290</v>
      </c>
      <c r="C18" s="13"/>
      <c r="D18" s="24" cm="1">
        <f t="array" ref="D18">SUM(OSRRefD22x_0)</f>
        <v>53890.15</v>
      </c>
      <c r="E18" s="24"/>
      <c r="F18" s="34">
        <f t="shared" ref="F18:F49" si="0">IF(D$12=0,0,D18/D$12)</f>
        <v>0</v>
      </c>
      <c r="G18" s="24"/>
      <c r="H18" s="24" cm="1">
        <f t="array" ref="H18">SUM(OSRRefH22x_0)</f>
        <v>46434.26516968615</v>
      </c>
      <c r="I18" s="24"/>
      <c r="J18" s="34">
        <f t="shared" ref="J18:J49" si="1">IF(H$12=0,0,H18/H$12)</f>
        <v>0</v>
      </c>
      <c r="K18" s="8"/>
      <c r="L18" s="24">
        <f t="shared" ref="L18:L49" si="2">+D18-H18</f>
        <v>7455.8848303138511</v>
      </c>
      <c r="M18" s="8"/>
      <c r="N18" s="34">
        <f t="shared" ref="N18:N49" si="3">IF(H18=0,0,L18/H18)</f>
        <v>0.16056859741545568</v>
      </c>
      <c r="O18" s="13"/>
      <c r="P18" s="24" cm="1">
        <f t="array" ref="P18">SUM(OSRRefP22x_0)</f>
        <v>681313.66</v>
      </c>
      <c r="Q18" s="24"/>
      <c r="R18" s="34">
        <f t="shared" ref="R18:R49" si="4">IF(P$12=0,0,P18/P$12)</f>
        <v>0</v>
      </c>
      <c r="S18" s="24"/>
      <c r="T18" s="24" cm="1">
        <f t="array" ref="T18">SUM(OSRRefT22x_0)</f>
        <v>602665.44720592001</v>
      </c>
      <c r="U18" s="24"/>
      <c r="V18" s="34">
        <f t="shared" ref="V18:V49" si="5">IF(T$12=0,0,T18/T$12)</f>
        <v>0</v>
      </c>
      <c r="W18" s="8"/>
      <c r="X18" s="24">
        <f t="shared" ref="X18:X49" si="6">+P18-T18</f>
        <v>78648.212794080027</v>
      </c>
      <c r="Y18" s="8"/>
      <c r="Z18" s="34">
        <f t="shared" ref="Z18:Z49" si="7">IF(T18=0,0,X18/T18)</f>
        <v>0.13050061714788727</v>
      </c>
    </row>
    <row r="19" spans="1:26" s="69" customFormat="1" ht="15" customHeight="1" outlineLevel="1" collapsed="1" x14ac:dyDescent="0.3">
      <c r="A19" s="20"/>
      <c r="B19" s="11" t="str">
        <f>CONCATENATE("     ","*Benefits                                         ")</f>
        <v xml:space="preserve">     *Benefits                                         </v>
      </c>
      <c r="C19" s="11"/>
      <c r="D19" s="2">
        <f>SUM(OSRRefD22_0x_0)</f>
        <v>16449.239999999998</v>
      </c>
      <c r="E19" s="2"/>
      <c r="F19" s="5">
        <f t="shared" si="0"/>
        <v>0</v>
      </c>
      <c r="G19" s="2"/>
      <c r="H19" s="2">
        <f>SUM(OSRRefH22_0x_0)</f>
        <v>11214.47940968615</v>
      </c>
      <c r="I19" s="2"/>
      <c r="J19" s="5">
        <f t="shared" si="1"/>
        <v>0</v>
      </c>
      <c r="K19" s="2"/>
      <c r="L19" s="2">
        <f t="shared" si="2"/>
        <v>5234.7605903138483</v>
      </c>
      <c r="M19" s="2"/>
      <c r="N19" s="5">
        <f t="shared" si="3"/>
        <v>0.46678587557015716</v>
      </c>
      <c r="O19" s="11"/>
      <c r="P19" s="2">
        <f>SUM(OSRRefP22_0x_0)</f>
        <v>189966.93</v>
      </c>
      <c r="Q19" s="2"/>
      <c r="R19" s="5">
        <f t="shared" si="4"/>
        <v>0</v>
      </c>
      <c r="S19" s="2"/>
      <c r="T19" s="2">
        <f>SUM(OSRRefT22_0x_0)</f>
        <v>142742.23232591999</v>
      </c>
      <c r="U19" s="2"/>
      <c r="V19" s="5">
        <f t="shared" si="5"/>
        <v>0</v>
      </c>
      <c r="W19" s="2"/>
      <c r="X19" s="2">
        <f t="shared" si="6"/>
        <v>47224.697674080002</v>
      </c>
      <c r="Y19" s="2"/>
      <c r="Z19" s="5">
        <f t="shared" si="7"/>
        <v>0.33083900191677651</v>
      </c>
    </row>
    <row r="20" spans="1:26" s="70" customFormat="1" ht="15" hidden="1" customHeight="1" outlineLevel="2" x14ac:dyDescent="0.3">
      <c r="A20" s="21"/>
      <c r="B20" s="9" t="str">
        <f>CONCATENATE("          ","6111"," - ","F.I.C.A.")</f>
        <v xml:space="preserve">          6111 - F.I.C.A.</v>
      </c>
      <c r="C20" s="9"/>
      <c r="D20" s="6">
        <v>2557.15</v>
      </c>
      <c r="E20" s="3"/>
      <c r="F20" s="7">
        <f t="shared" si="0"/>
        <v>0</v>
      </c>
      <c r="G20" s="3"/>
      <c r="H20" s="6">
        <v>1560.2483342400001</v>
      </c>
      <c r="I20" s="3"/>
      <c r="J20" s="7">
        <f t="shared" si="1"/>
        <v>0</v>
      </c>
      <c r="K20" s="3"/>
      <c r="L20" s="6">
        <f t="shared" si="2"/>
        <v>996.90166576000001</v>
      </c>
      <c r="M20" s="3"/>
      <c r="N20" s="7">
        <f t="shared" si="3"/>
        <v>0.63893781770681568</v>
      </c>
      <c r="O20" s="9"/>
      <c r="P20" s="6">
        <v>29213.01</v>
      </c>
      <c r="Q20" s="3"/>
      <c r="R20" s="7">
        <f t="shared" si="4"/>
        <v>0</v>
      </c>
      <c r="S20" s="3"/>
      <c r="T20" s="6">
        <v>20283.228345119998</v>
      </c>
      <c r="U20" s="3"/>
      <c r="V20" s="7">
        <f t="shared" si="5"/>
        <v>0</v>
      </c>
      <c r="W20" s="3"/>
      <c r="X20" s="6">
        <f t="shared" si="6"/>
        <v>8929.7816548800001</v>
      </c>
      <c r="Y20" s="3"/>
      <c r="Z20" s="7">
        <f t="shared" si="7"/>
        <v>0.44025445569804683</v>
      </c>
    </row>
    <row r="21" spans="1:26" s="70" customFormat="1" ht="15" hidden="1" customHeight="1" outlineLevel="2" x14ac:dyDescent="0.3">
      <c r="A21" s="21"/>
      <c r="B21" s="9" t="str">
        <f>CONCATENATE("          ","6112"," - ","COMPENSATION INSURANCE")</f>
        <v xml:space="preserve">          6112 - COMPENSATION INSURANCE</v>
      </c>
      <c r="C21" s="9"/>
      <c r="D21" s="6">
        <v>-697.93</v>
      </c>
      <c r="E21" s="3"/>
      <c r="F21" s="7">
        <f t="shared" si="0"/>
        <v>0</v>
      </c>
      <c r="G21" s="3"/>
      <c r="H21" s="6">
        <v>81.800964800000003</v>
      </c>
      <c r="I21" s="3"/>
      <c r="J21" s="7">
        <f t="shared" si="1"/>
        <v>0</v>
      </c>
      <c r="K21" s="3"/>
      <c r="L21" s="6">
        <f t="shared" si="2"/>
        <v>-779.73096479999992</v>
      </c>
      <c r="M21" s="3"/>
      <c r="N21" s="7">
        <f t="shared" si="3"/>
        <v>-9.5320509569344338</v>
      </c>
      <c r="O21" s="9"/>
      <c r="P21" s="6">
        <v>3768.55</v>
      </c>
      <c r="Q21" s="3"/>
      <c r="R21" s="7">
        <f t="shared" si="4"/>
        <v>0</v>
      </c>
      <c r="S21" s="3"/>
      <c r="T21" s="6">
        <v>1063.4125423999999</v>
      </c>
      <c r="U21" s="3"/>
      <c r="V21" s="7">
        <f t="shared" si="5"/>
        <v>0</v>
      </c>
      <c r="W21" s="3"/>
      <c r="X21" s="6">
        <f t="shared" si="6"/>
        <v>2705.1374576000003</v>
      </c>
      <c r="Y21" s="3"/>
      <c r="Z21" s="7">
        <f t="shared" si="7"/>
        <v>2.5438269248685144</v>
      </c>
    </row>
    <row r="22" spans="1:26" s="70" customFormat="1" ht="15" hidden="1" customHeight="1" outlineLevel="2" x14ac:dyDescent="0.3">
      <c r="A22" s="21"/>
      <c r="B22" s="9" t="str">
        <f>CONCATENATE("          ","6113"," - ","GROUP INSURANCE")</f>
        <v xml:space="preserve">          6113 - GROUP INSURANCE</v>
      </c>
      <c r="C22" s="9"/>
      <c r="D22" s="6">
        <v>5574.36</v>
      </c>
      <c r="E22" s="3"/>
      <c r="F22" s="7">
        <f t="shared" si="0"/>
        <v>0</v>
      </c>
      <c r="G22" s="3"/>
      <c r="H22" s="6">
        <v>6238.8461538461497</v>
      </c>
      <c r="I22" s="3"/>
      <c r="J22" s="7">
        <f t="shared" si="1"/>
        <v>0</v>
      </c>
      <c r="K22" s="3"/>
      <c r="L22" s="6">
        <f t="shared" si="2"/>
        <v>-664.48615384615005</v>
      </c>
      <c r="M22" s="3"/>
      <c r="N22" s="7">
        <f t="shared" si="3"/>
        <v>-0.106507860181246</v>
      </c>
      <c r="O22" s="9"/>
      <c r="P22" s="6">
        <v>69773.55</v>
      </c>
      <c r="Q22" s="3"/>
      <c r="R22" s="7">
        <f t="shared" si="4"/>
        <v>0</v>
      </c>
      <c r="S22" s="3"/>
      <c r="T22" s="6">
        <v>79128</v>
      </c>
      <c r="U22" s="3"/>
      <c r="V22" s="7">
        <f t="shared" si="5"/>
        <v>0</v>
      </c>
      <c r="W22" s="3"/>
      <c r="X22" s="6">
        <f t="shared" si="6"/>
        <v>-9354.4499999999971</v>
      </c>
      <c r="Y22" s="3"/>
      <c r="Z22" s="7">
        <f t="shared" si="7"/>
        <v>-0.11821921443736727</v>
      </c>
    </row>
    <row r="23" spans="1:26" s="70" customFormat="1" ht="15" hidden="1" customHeight="1" outlineLevel="2" x14ac:dyDescent="0.3">
      <c r="A23" s="21"/>
      <c r="B23" s="9" t="str">
        <f>CONCATENATE("          ","6114"," - ","STATE UNEMPLOYMENT INSURANCE")</f>
        <v xml:space="preserve">          6114 - STATE UNEMPLOYMENT INSURANCE</v>
      </c>
      <c r="C23" s="9"/>
      <c r="D23" s="6"/>
      <c r="E23" s="3"/>
      <c r="F23" s="7">
        <f t="shared" si="0"/>
        <v>0</v>
      </c>
      <c r="G23" s="3"/>
      <c r="H23" s="6">
        <v>55.413556800000002</v>
      </c>
      <c r="I23" s="3"/>
      <c r="J23" s="7">
        <f t="shared" si="1"/>
        <v>0</v>
      </c>
      <c r="K23" s="3"/>
      <c r="L23" s="6">
        <f t="shared" si="2"/>
        <v>-55.413556800000002</v>
      </c>
      <c r="M23" s="3"/>
      <c r="N23" s="7">
        <f t="shared" si="3"/>
        <v>-1</v>
      </c>
      <c r="O23" s="9"/>
      <c r="P23" s="6">
        <v>900.22</v>
      </c>
      <c r="Q23" s="3"/>
      <c r="R23" s="7">
        <f t="shared" si="4"/>
        <v>0</v>
      </c>
      <c r="S23" s="3"/>
      <c r="T23" s="6">
        <v>720.37623840000003</v>
      </c>
      <c r="U23" s="3"/>
      <c r="V23" s="7">
        <f t="shared" si="5"/>
        <v>0</v>
      </c>
      <c r="W23" s="3"/>
      <c r="X23" s="6">
        <f t="shared" si="6"/>
        <v>179.84376159999999</v>
      </c>
      <c r="Y23" s="3"/>
      <c r="Z23" s="7">
        <f t="shared" si="7"/>
        <v>0.24965254545242088</v>
      </c>
    </row>
    <row r="24" spans="1:26" s="70" customFormat="1" ht="15" hidden="1" customHeight="1" outlineLevel="2" x14ac:dyDescent="0.3">
      <c r="A24" s="21"/>
      <c r="B24" s="9" t="str">
        <f>CONCATENATE("          ","6115"," - ","P.E.R.S.")</f>
        <v xml:space="preserve">          6115 - P.E.R.S.</v>
      </c>
      <c r="C24" s="9"/>
      <c r="D24" s="6">
        <v>1545.04</v>
      </c>
      <c r="E24" s="3"/>
      <c r="F24" s="7">
        <f t="shared" si="0"/>
        <v>0</v>
      </c>
      <c r="G24" s="3"/>
      <c r="H24" s="6">
        <v>885.8</v>
      </c>
      <c r="I24" s="3"/>
      <c r="J24" s="7">
        <f t="shared" si="1"/>
        <v>0</v>
      </c>
      <c r="K24" s="3"/>
      <c r="L24" s="6">
        <f t="shared" si="2"/>
        <v>659.24</v>
      </c>
      <c r="M24" s="3"/>
      <c r="N24" s="7">
        <f t="shared" si="3"/>
        <v>0.74423120343192595</v>
      </c>
      <c r="O24" s="9"/>
      <c r="P24" s="6">
        <v>16708.310000000001</v>
      </c>
      <c r="Q24" s="3"/>
      <c r="R24" s="7">
        <f t="shared" si="4"/>
        <v>0</v>
      </c>
      <c r="S24" s="3"/>
      <c r="T24" s="6">
        <v>11515.4</v>
      </c>
      <c r="U24" s="3"/>
      <c r="V24" s="7">
        <f t="shared" si="5"/>
        <v>0</v>
      </c>
      <c r="W24" s="3"/>
      <c r="X24" s="6">
        <f t="shared" si="6"/>
        <v>5192.9100000000017</v>
      </c>
      <c r="Y24" s="3"/>
      <c r="Z24" s="7">
        <f t="shared" si="7"/>
        <v>0.45095350574013943</v>
      </c>
    </row>
    <row r="25" spans="1:26" s="70" customFormat="1" ht="15" hidden="1" customHeight="1" outlineLevel="2" x14ac:dyDescent="0.3">
      <c r="A25" s="21"/>
      <c r="B25" s="9" t="str">
        <f>CONCATENATE("          ","6116"," - ","EDUCATIONAL BENEFITS")</f>
        <v xml:space="preserve">          6116 - EDUCATIONAL BENEFITS</v>
      </c>
      <c r="C25" s="9"/>
      <c r="D25" s="6"/>
      <c r="E25" s="3"/>
      <c r="F25" s="7">
        <f t="shared" si="0"/>
        <v>0</v>
      </c>
      <c r="G25" s="3"/>
      <c r="H25" s="6">
        <v>413</v>
      </c>
      <c r="I25" s="3"/>
      <c r="J25" s="7">
        <f t="shared" si="1"/>
        <v>0</v>
      </c>
      <c r="K25" s="3"/>
      <c r="L25" s="6">
        <f t="shared" si="2"/>
        <v>-413</v>
      </c>
      <c r="M25" s="3"/>
      <c r="N25" s="7">
        <f t="shared" si="3"/>
        <v>-1</v>
      </c>
      <c r="O25" s="9"/>
      <c r="P25" s="6">
        <v>4855</v>
      </c>
      <c r="Q25" s="3"/>
      <c r="R25" s="7">
        <f t="shared" si="4"/>
        <v>0</v>
      </c>
      <c r="S25" s="3"/>
      <c r="T25" s="6">
        <v>5000</v>
      </c>
      <c r="U25" s="3"/>
      <c r="V25" s="7">
        <f t="shared" si="5"/>
        <v>0</v>
      </c>
      <c r="W25" s="3"/>
      <c r="X25" s="6">
        <f t="shared" si="6"/>
        <v>-145</v>
      </c>
      <c r="Y25" s="3"/>
      <c r="Z25" s="7">
        <f t="shared" si="7"/>
        <v>-2.9000000000000001E-2</v>
      </c>
    </row>
    <row r="26" spans="1:26" s="70" customFormat="1" ht="15" hidden="1" customHeight="1" outlineLevel="2" x14ac:dyDescent="0.3">
      <c r="A26" s="21"/>
      <c r="B26" s="9" t="str">
        <f>CONCATENATE("          ","6117"," - ","RETIREMENT STAFF HOURLY")</f>
        <v xml:space="preserve">          6117 - RETIREMENT STAFF HOURLY</v>
      </c>
      <c r="C26" s="9"/>
      <c r="D26" s="6">
        <v>3837.38</v>
      </c>
      <c r="E26" s="3"/>
      <c r="F26" s="7">
        <f t="shared" si="0"/>
        <v>0</v>
      </c>
      <c r="G26" s="3"/>
      <c r="H26" s="6"/>
      <c r="I26" s="3"/>
      <c r="J26" s="7">
        <f t="shared" si="1"/>
        <v>0</v>
      </c>
      <c r="K26" s="3"/>
      <c r="L26" s="6">
        <f t="shared" si="2"/>
        <v>3837.38</v>
      </c>
      <c r="M26" s="3"/>
      <c r="N26" s="7">
        <f t="shared" si="3"/>
        <v>0</v>
      </c>
      <c r="O26" s="9"/>
      <c r="P26" s="6">
        <v>21336.2</v>
      </c>
      <c r="Q26" s="3"/>
      <c r="R26" s="7">
        <f t="shared" si="4"/>
        <v>0</v>
      </c>
      <c r="S26" s="3"/>
      <c r="T26" s="6"/>
      <c r="U26" s="3"/>
      <c r="V26" s="7">
        <f t="shared" si="5"/>
        <v>0</v>
      </c>
      <c r="W26" s="3"/>
      <c r="X26" s="6">
        <f t="shared" si="6"/>
        <v>21336.2</v>
      </c>
      <c r="Y26" s="3"/>
      <c r="Z26" s="7">
        <f t="shared" si="7"/>
        <v>0</v>
      </c>
    </row>
    <row r="27" spans="1:26" s="70" customFormat="1" ht="15" hidden="1" customHeight="1" outlineLevel="2" x14ac:dyDescent="0.3">
      <c r="A27" s="21"/>
      <c r="B27" s="9" t="str">
        <f>CONCATENATE("          ","6118"," - ","VACATION")</f>
        <v xml:space="preserve">          6118 - VACATION</v>
      </c>
      <c r="C27" s="9"/>
      <c r="D27" s="6">
        <v>1886.84</v>
      </c>
      <c r="E27" s="3"/>
      <c r="F27" s="7">
        <f t="shared" si="0"/>
        <v>0</v>
      </c>
      <c r="G27" s="3"/>
      <c r="H27" s="6">
        <v>731.62224000000003</v>
      </c>
      <c r="I27" s="3"/>
      <c r="J27" s="7">
        <f t="shared" si="1"/>
        <v>0</v>
      </c>
      <c r="K27" s="3"/>
      <c r="L27" s="6">
        <f t="shared" si="2"/>
        <v>1155.21776</v>
      </c>
      <c r="M27" s="3"/>
      <c r="N27" s="7">
        <f t="shared" si="3"/>
        <v>1.5789811966350285</v>
      </c>
      <c r="O27" s="9"/>
      <c r="P27" s="6">
        <v>21946.48</v>
      </c>
      <c r="Q27" s="3"/>
      <c r="R27" s="7">
        <f t="shared" si="4"/>
        <v>0</v>
      </c>
      <c r="S27" s="3"/>
      <c r="T27" s="6">
        <v>9511.0891200000005</v>
      </c>
      <c r="U27" s="3"/>
      <c r="V27" s="7">
        <f t="shared" si="5"/>
        <v>0</v>
      </c>
      <c r="W27" s="3"/>
      <c r="X27" s="6">
        <f t="shared" si="6"/>
        <v>12435.390879999999</v>
      </c>
      <c r="Y27" s="3"/>
      <c r="Z27" s="7">
        <f t="shared" si="7"/>
        <v>1.3074623445437759</v>
      </c>
    </row>
    <row r="28" spans="1:26" s="70" customFormat="1" ht="15" hidden="1" customHeight="1" outlineLevel="2" x14ac:dyDescent="0.3">
      <c r="A28" s="21"/>
      <c r="B28" s="9" t="str">
        <f>CONCATENATE("          ","6119"," - ","SICK LEAVE")</f>
        <v xml:space="preserve">          6119 - SICK LEAVE</v>
      </c>
      <c r="C28" s="9"/>
      <c r="D28" s="6">
        <v>1254.6199999999999</v>
      </c>
      <c r="E28" s="3"/>
      <c r="F28" s="7">
        <f t="shared" si="0"/>
        <v>0</v>
      </c>
      <c r="G28" s="3"/>
      <c r="H28" s="6">
        <v>547.74815999999998</v>
      </c>
      <c r="I28" s="3"/>
      <c r="J28" s="7">
        <f t="shared" si="1"/>
        <v>0</v>
      </c>
      <c r="K28" s="3"/>
      <c r="L28" s="6">
        <f t="shared" si="2"/>
        <v>706.87183999999991</v>
      </c>
      <c r="M28" s="3"/>
      <c r="N28" s="7">
        <f t="shared" si="3"/>
        <v>1.2905051839882036</v>
      </c>
      <c r="O28" s="9"/>
      <c r="P28" s="6">
        <v>17944.650000000001</v>
      </c>
      <c r="Q28" s="3"/>
      <c r="R28" s="7">
        <f t="shared" si="4"/>
        <v>0</v>
      </c>
      <c r="S28" s="3"/>
      <c r="T28" s="6">
        <v>7120.7260800000004</v>
      </c>
      <c r="U28" s="3"/>
      <c r="V28" s="7">
        <f t="shared" si="5"/>
        <v>0</v>
      </c>
      <c r="W28" s="3"/>
      <c r="X28" s="6">
        <f t="shared" si="6"/>
        <v>10823.923920000001</v>
      </c>
      <c r="Y28" s="3"/>
      <c r="Z28" s="7">
        <f t="shared" si="7"/>
        <v>1.5200590218462666</v>
      </c>
    </row>
    <row r="29" spans="1:26" s="70" customFormat="1" ht="15" hidden="1" customHeight="1" outlineLevel="2" x14ac:dyDescent="0.3">
      <c r="A29" s="21"/>
      <c r="B29" s="9" t="str">
        <f>CONCATENATE("          ","6156"," - ","EMPLOYEE MEALS")</f>
        <v xml:space="preserve">          6156 - EMPLOYEE MEALS</v>
      </c>
      <c r="C29" s="9"/>
      <c r="D29" s="6">
        <v>491.78</v>
      </c>
      <c r="E29" s="3"/>
      <c r="F29" s="7">
        <f t="shared" si="0"/>
        <v>0</v>
      </c>
      <c r="G29" s="3"/>
      <c r="H29" s="6">
        <v>700</v>
      </c>
      <c r="I29" s="3"/>
      <c r="J29" s="7">
        <f t="shared" si="1"/>
        <v>0</v>
      </c>
      <c r="K29" s="3"/>
      <c r="L29" s="6">
        <f t="shared" si="2"/>
        <v>-208.22000000000003</v>
      </c>
      <c r="M29" s="3"/>
      <c r="N29" s="7">
        <f t="shared" si="3"/>
        <v>-0.29745714285714292</v>
      </c>
      <c r="O29" s="9"/>
      <c r="P29" s="6">
        <v>3520.96</v>
      </c>
      <c r="Q29" s="3"/>
      <c r="R29" s="7">
        <f t="shared" si="4"/>
        <v>0</v>
      </c>
      <c r="S29" s="3"/>
      <c r="T29" s="6">
        <v>8400</v>
      </c>
      <c r="U29" s="3"/>
      <c r="V29" s="7">
        <f t="shared" si="5"/>
        <v>0</v>
      </c>
      <c r="W29" s="3"/>
      <c r="X29" s="6">
        <f t="shared" si="6"/>
        <v>-4879.04</v>
      </c>
      <c r="Y29" s="3"/>
      <c r="Z29" s="7">
        <f t="shared" si="7"/>
        <v>-0.58083809523809526</v>
      </c>
    </row>
    <row r="30" spans="1:26" s="69" customFormat="1" ht="15" customHeight="1" outlineLevel="1" collapsed="1" x14ac:dyDescent="0.3">
      <c r="A30" s="20"/>
      <c r="B30" s="11" t="str">
        <f>CONCATENATE("     ","*Payroll                                          ")</f>
        <v xml:space="preserve">     *Payroll                                          </v>
      </c>
      <c r="C30" s="11"/>
      <c r="D30" s="2">
        <f>SUM(OSRRefD22_1x_0)</f>
        <v>22886.82</v>
      </c>
      <c r="E30" s="2"/>
      <c r="F30" s="5">
        <f t="shared" si="0"/>
        <v>0</v>
      </c>
      <c r="G30" s="2"/>
      <c r="H30" s="2">
        <f>SUM(OSRRefH22_1x_0)</f>
        <v>23449.785759999999</v>
      </c>
      <c r="I30" s="2"/>
      <c r="J30" s="5">
        <f t="shared" si="1"/>
        <v>0</v>
      </c>
      <c r="K30" s="2"/>
      <c r="L30" s="2">
        <f t="shared" si="2"/>
        <v>-562.96575999999914</v>
      </c>
      <c r="M30" s="2"/>
      <c r="N30" s="5">
        <f t="shared" si="3"/>
        <v>-2.4007287988118454E-2</v>
      </c>
      <c r="O30" s="11"/>
      <c r="P30" s="2">
        <f>SUM(OSRRefP22_1x_0)</f>
        <v>348452.84</v>
      </c>
      <c r="Q30" s="2"/>
      <c r="R30" s="5">
        <f t="shared" si="4"/>
        <v>0</v>
      </c>
      <c r="S30" s="2"/>
      <c r="T30" s="2">
        <f>SUM(OSRRefT22_1x_0)</f>
        <v>304847.21487999998</v>
      </c>
      <c r="U30" s="2"/>
      <c r="V30" s="5">
        <f t="shared" si="5"/>
        <v>0</v>
      </c>
      <c r="W30" s="2"/>
      <c r="X30" s="2">
        <f t="shared" si="6"/>
        <v>43605.625120000041</v>
      </c>
      <c r="Y30" s="2"/>
      <c r="Z30" s="5">
        <f t="shared" si="7"/>
        <v>0.14304091686441994</v>
      </c>
    </row>
    <row r="31" spans="1:26" s="70" customFormat="1" ht="15" hidden="1" customHeight="1" outlineLevel="2" x14ac:dyDescent="0.3">
      <c r="A31" s="21"/>
      <c r="B31" s="9" t="str">
        <f>CONCATENATE("          ","6001"," - ","ADMINISTRATIVE SALARIES")</f>
        <v xml:space="preserve">          6001 - ADMINISTRATIVE SALARIES</v>
      </c>
      <c r="C31" s="9"/>
      <c r="D31" s="6">
        <v>4733.51</v>
      </c>
      <c r="E31" s="3"/>
      <c r="F31" s="7">
        <f t="shared" si="0"/>
        <v>0</v>
      </c>
      <c r="G31" s="3"/>
      <c r="H31" s="6">
        <v>9785</v>
      </c>
      <c r="I31" s="3"/>
      <c r="J31" s="7">
        <f t="shared" si="1"/>
        <v>0</v>
      </c>
      <c r="K31" s="3"/>
      <c r="L31" s="6">
        <f t="shared" si="2"/>
        <v>-5051.49</v>
      </c>
      <c r="M31" s="3"/>
      <c r="N31" s="7">
        <f t="shared" si="3"/>
        <v>-0.51624833929483904</v>
      </c>
      <c r="O31" s="9"/>
      <c r="P31" s="6">
        <v>134179.69</v>
      </c>
      <c r="Q31" s="3"/>
      <c r="R31" s="7">
        <f t="shared" si="4"/>
        <v>0</v>
      </c>
      <c r="S31" s="3"/>
      <c r="T31" s="6">
        <v>127205</v>
      </c>
      <c r="U31" s="3"/>
      <c r="V31" s="7">
        <f t="shared" si="5"/>
        <v>0</v>
      </c>
      <c r="W31" s="3"/>
      <c r="X31" s="6">
        <f t="shared" si="6"/>
        <v>6974.6900000000023</v>
      </c>
      <c r="Y31" s="3"/>
      <c r="Z31" s="7">
        <f t="shared" si="7"/>
        <v>5.4830313273849317E-2</v>
      </c>
    </row>
    <row r="32" spans="1:26" s="70" customFormat="1" ht="15" hidden="1" customHeight="1" outlineLevel="2" x14ac:dyDescent="0.3">
      <c r="A32" s="21"/>
      <c r="B32" s="9" t="str">
        <f>CONCATENATE("          ","6002"," - ","STAFF SALARIES")</f>
        <v xml:space="preserve">          6002 - STAFF SALARIES</v>
      </c>
      <c r="C32" s="9"/>
      <c r="D32" s="6"/>
      <c r="E32" s="3"/>
      <c r="F32" s="7">
        <f t="shared" si="0"/>
        <v>0</v>
      </c>
      <c r="G32" s="3"/>
      <c r="H32" s="6">
        <v>0</v>
      </c>
      <c r="I32" s="3"/>
      <c r="J32" s="7">
        <f t="shared" si="1"/>
        <v>0</v>
      </c>
      <c r="K32" s="3"/>
      <c r="L32" s="6">
        <f t="shared" si="2"/>
        <v>0</v>
      </c>
      <c r="M32" s="3"/>
      <c r="N32" s="7">
        <f t="shared" si="3"/>
        <v>0</v>
      </c>
      <c r="O32" s="9"/>
      <c r="P32" s="6">
        <v>18.5</v>
      </c>
      <c r="Q32" s="3"/>
      <c r="R32" s="7">
        <f t="shared" si="4"/>
        <v>0</v>
      </c>
      <c r="S32" s="3"/>
      <c r="T32" s="6">
        <v>0</v>
      </c>
      <c r="U32" s="3"/>
      <c r="V32" s="7">
        <f t="shared" si="5"/>
        <v>0</v>
      </c>
      <c r="W32" s="3"/>
      <c r="X32" s="6">
        <f t="shared" si="6"/>
        <v>18.5</v>
      </c>
      <c r="Y32" s="3"/>
      <c r="Z32" s="7">
        <f t="shared" si="7"/>
        <v>0</v>
      </c>
    </row>
    <row r="33" spans="1:26" s="70" customFormat="1" ht="15" hidden="1" customHeight="1" outlineLevel="2" x14ac:dyDescent="0.3">
      <c r="A33" s="21"/>
      <c r="B33" s="9" t="str">
        <f>CONCATENATE("          ","6003"," - ","STAFF HOURLY-9 MONTH")</f>
        <v xml:space="preserve">          6003 - STAFF HOURLY-9 MONTH</v>
      </c>
      <c r="C33" s="9"/>
      <c r="D33" s="6"/>
      <c r="E33" s="3"/>
      <c r="F33" s="7">
        <f t="shared" si="0"/>
        <v>0</v>
      </c>
      <c r="G33" s="3"/>
      <c r="H33" s="6">
        <v>0</v>
      </c>
      <c r="I33" s="3"/>
      <c r="J33" s="7">
        <f t="shared" si="1"/>
        <v>0</v>
      </c>
      <c r="K33" s="3"/>
      <c r="L33" s="6">
        <f t="shared" si="2"/>
        <v>0</v>
      </c>
      <c r="M33" s="3"/>
      <c r="N33" s="7">
        <f t="shared" si="3"/>
        <v>0</v>
      </c>
      <c r="O33" s="9"/>
      <c r="P33" s="6"/>
      <c r="Q33" s="3"/>
      <c r="R33" s="7">
        <f t="shared" si="4"/>
        <v>0</v>
      </c>
      <c r="S33" s="3"/>
      <c r="T33" s="6">
        <v>0</v>
      </c>
      <c r="U33" s="3"/>
      <c r="V33" s="7">
        <f t="shared" si="5"/>
        <v>0</v>
      </c>
      <c r="W33" s="3"/>
      <c r="X33" s="6">
        <f t="shared" si="6"/>
        <v>0</v>
      </c>
      <c r="Y33" s="3"/>
      <c r="Z33" s="7">
        <f t="shared" si="7"/>
        <v>0</v>
      </c>
    </row>
    <row r="34" spans="1:26" s="70" customFormat="1" ht="15" hidden="1" customHeight="1" outlineLevel="2" x14ac:dyDescent="0.3">
      <c r="A34" s="21"/>
      <c r="B34" s="9" t="str">
        <f>CONCATENATE("          ","6004"," - ","STAFF HOURLY")</f>
        <v xml:space="preserve">          6004 - STAFF HOURLY</v>
      </c>
      <c r="C34" s="9"/>
      <c r="D34" s="6">
        <v>15085.9</v>
      </c>
      <c r="E34" s="3"/>
      <c r="F34" s="7">
        <f t="shared" si="0"/>
        <v>0</v>
      </c>
      <c r="G34" s="3"/>
      <c r="H34" s="6">
        <v>9784.7857600000007</v>
      </c>
      <c r="I34" s="3"/>
      <c r="J34" s="7">
        <f t="shared" si="1"/>
        <v>0</v>
      </c>
      <c r="K34" s="3"/>
      <c r="L34" s="6">
        <f t="shared" si="2"/>
        <v>5301.114239999999</v>
      </c>
      <c r="M34" s="3"/>
      <c r="N34" s="7">
        <f t="shared" si="3"/>
        <v>0.54177110976418541</v>
      </c>
      <c r="O34" s="9"/>
      <c r="P34" s="6">
        <v>187745.56</v>
      </c>
      <c r="Q34" s="3"/>
      <c r="R34" s="7">
        <f t="shared" si="4"/>
        <v>0</v>
      </c>
      <c r="S34" s="3"/>
      <c r="T34" s="6">
        <v>127202.21488</v>
      </c>
      <c r="U34" s="3"/>
      <c r="V34" s="7">
        <f t="shared" si="5"/>
        <v>0</v>
      </c>
      <c r="W34" s="3"/>
      <c r="X34" s="6">
        <f t="shared" si="6"/>
        <v>60543.345119999998</v>
      </c>
      <c r="Y34" s="3"/>
      <c r="Z34" s="7">
        <f t="shared" si="7"/>
        <v>0.47596140662421144</v>
      </c>
    </row>
    <row r="35" spans="1:26" s="70" customFormat="1" ht="15" hidden="1" customHeight="1" outlineLevel="2" x14ac:dyDescent="0.3">
      <c r="A35" s="21"/>
      <c r="B35" s="9" t="str">
        <f>CONCATENATE("          ","6005"," - ","TEMPORARY WAGES-HOURLY")</f>
        <v xml:space="preserve">          6005 - TEMPORARY WAGES-HOURLY</v>
      </c>
      <c r="C35" s="9"/>
      <c r="D35" s="6">
        <v>3067.41</v>
      </c>
      <c r="E35" s="3"/>
      <c r="F35" s="7">
        <f t="shared" si="0"/>
        <v>0</v>
      </c>
      <c r="G35" s="3"/>
      <c r="H35" s="6">
        <v>3880</v>
      </c>
      <c r="I35" s="3"/>
      <c r="J35" s="7">
        <f t="shared" si="1"/>
        <v>0</v>
      </c>
      <c r="K35" s="3"/>
      <c r="L35" s="6">
        <f t="shared" si="2"/>
        <v>-812.59000000000015</v>
      </c>
      <c r="M35" s="3"/>
      <c r="N35" s="7">
        <f t="shared" si="3"/>
        <v>-0.20943041237113405</v>
      </c>
      <c r="O35" s="9"/>
      <c r="P35" s="6">
        <v>26509.09</v>
      </c>
      <c r="Q35" s="3"/>
      <c r="R35" s="7">
        <f t="shared" si="4"/>
        <v>0</v>
      </c>
      <c r="S35" s="3"/>
      <c r="T35" s="6">
        <v>50440</v>
      </c>
      <c r="U35" s="3"/>
      <c r="V35" s="7">
        <f t="shared" si="5"/>
        <v>0</v>
      </c>
      <c r="W35" s="3"/>
      <c r="X35" s="6">
        <f t="shared" si="6"/>
        <v>-23930.91</v>
      </c>
      <c r="Y35" s="3"/>
      <c r="Z35" s="7">
        <f t="shared" si="7"/>
        <v>-0.47444310071371926</v>
      </c>
    </row>
    <row r="36" spans="1:26" s="70" customFormat="1" ht="15" hidden="1" customHeight="1" outlineLevel="2" x14ac:dyDescent="0.3">
      <c r="A36" s="21"/>
      <c r="B36" s="9" t="str">
        <f>CONCATENATE("          ","6006"," - ","TEMPORARY PART TIME")</f>
        <v xml:space="preserve">          6006 - TEMPORARY PART TIME</v>
      </c>
      <c r="C36" s="9"/>
      <c r="D36" s="6"/>
      <c r="E36" s="3"/>
      <c r="F36" s="7">
        <f t="shared" si="0"/>
        <v>0</v>
      </c>
      <c r="G36" s="3"/>
      <c r="H36" s="6">
        <v>0</v>
      </c>
      <c r="I36" s="3"/>
      <c r="J36" s="7">
        <f t="shared" si="1"/>
        <v>0</v>
      </c>
      <c r="K36" s="3"/>
      <c r="L36" s="6">
        <f t="shared" si="2"/>
        <v>0</v>
      </c>
      <c r="M36" s="3"/>
      <c r="N36" s="7">
        <f t="shared" si="3"/>
        <v>0</v>
      </c>
      <c r="O36" s="9"/>
      <c r="P36" s="6"/>
      <c r="Q36" s="3"/>
      <c r="R36" s="7">
        <f t="shared" si="4"/>
        <v>0</v>
      </c>
      <c r="S36" s="3"/>
      <c r="T36" s="6">
        <v>0</v>
      </c>
      <c r="U36" s="3"/>
      <c r="V36" s="7">
        <f t="shared" si="5"/>
        <v>0</v>
      </c>
      <c r="W36" s="3"/>
      <c r="X36" s="6">
        <f t="shared" si="6"/>
        <v>0</v>
      </c>
      <c r="Y36" s="3"/>
      <c r="Z36" s="7">
        <f t="shared" si="7"/>
        <v>0</v>
      </c>
    </row>
    <row r="37" spans="1:26" s="70" customFormat="1" ht="15" hidden="1" customHeight="1" outlineLevel="2" x14ac:dyDescent="0.3">
      <c r="A37" s="21"/>
      <c r="B37" s="9" t="str">
        <f>CONCATENATE("          ","6007"," - ","STUDENT HOURLY")</f>
        <v xml:space="preserve">          6007 - STUDENT HOURLY</v>
      </c>
      <c r="C37" s="9"/>
      <c r="D37" s="6"/>
      <c r="E37" s="3"/>
      <c r="F37" s="7">
        <f t="shared" si="0"/>
        <v>0</v>
      </c>
      <c r="G37" s="3"/>
      <c r="H37" s="6">
        <v>0</v>
      </c>
      <c r="I37" s="3"/>
      <c r="J37" s="7">
        <f t="shared" si="1"/>
        <v>0</v>
      </c>
      <c r="K37" s="3"/>
      <c r="L37" s="6">
        <f t="shared" si="2"/>
        <v>0</v>
      </c>
      <c r="M37" s="3"/>
      <c r="N37" s="7">
        <f t="shared" si="3"/>
        <v>0</v>
      </c>
      <c r="O37" s="9"/>
      <c r="P37" s="6">
        <v>0</v>
      </c>
      <c r="Q37" s="3"/>
      <c r="R37" s="7">
        <f t="shared" si="4"/>
        <v>0</v>
      </c>
      <c r="S37" s="3"/>
      <c r="T37" s="6">
        <v>0</v>
      </c>
      <c r="U37" s="3"/>
      <c r="V37" s="7">
        <f t="shared" si="5"/>
        <v>0</v>
      </c>
      <c r="W37" s="3"/>
      <c r="X37" s="6">
        <f t="shared" si="6"/>
        <v>0</v>
      </c>
      <c r="Y37" s="3"/>
      <c r="Z37" s="7">
        <f t="shared" si="7"/>
        <v>0</v>
      </c>
    </row>
    <row r="38" spans="1:26" s="70" customFormat="1" ht="15" hidden="1" customHeight="1" outlineLevel="2" x14ac:dyDescent="0.3">
      <c r="A38" s="21"/>
      <c r="B38" s="9" t="str">
        <f>CONCATENATE("          ","6008"," - ","STUDENT HOURLY-FICA EXEMPT")</f>
        <v xml:space="preserve">          6008 - STUDENT HOURLY-FICA EXEMPT</v>
      </c>
      <c r="C38" s="9"/>
      <c r="D38" s="6"/>
      <c r="E38" s="3"/>
      <c r="F38" s="7">
        <f t="shared" si="0"/>
        <v>0</v>
      </c>
      <c r="G38" s="3"/>
      <c r="H38" s="6">
        <v>0</v>
      </c>
      <c r="I38" s="3"/>
      <c r="J38" s="7">
        <f t="shared" si="1"/>
        <v>0</v>
      </c>
      <c r="K38" s="3"/>
      <c r="L38" s="6">
        <f t="shared" si="2"/>
        <v>0</v>
      </c>
      <c r="M38" s="3"/>
      <c r="N38" s="7">
        <f t="shared" si="3"/>
        <v>0</v>
      </c>
      <c r="O38" s="9"/>
      <c r="P38" s="6"/>
      <c r="Q38" s="3"/>
      <c r="R38" s="7">
        <f t="shared" si="4"/>
        <v>0</v>
      </c>
      <c r="S38" s="3"/>
      <c r="T38" s="6">
        <v>0</v>
      </c>
      <c r="U38" s="3"/>
      <c r="V38" s="7">
        <f t="shared" si="5"/>
        <v>0</v>
      </c>
      <c r="W38" s="3"/>
      <c r="X38" s="6">
        <f t="shared" si="6"/>
        <v>0</v>
      </c>
      <c r="Y38" s="3"/>
      <c r="Z38" s="7">
        <f t="shared" si="7"/>
        <v>0</v>
      </c>
    </row>
    <row r="39" spans="1:26" s="70" customFormat="1" ht="15" hidden="1" customHeight="1" outlineLevel="2" x14ac:dyDescent="0.3">
      <c r="A39" s="21"/>
      <c r="B39" s="9" t="str">
        <f>CONCATENATE("          ","6009"," - ","TEMPORARY-SEASONAL")</f>
        <v xml:space="preserve">          6009 - TEMPORARY-SEASONAL</v>
      </c>
      <c r="C39" s="9"/>
      <c r="D39" s="6"/>
      <c r="E39" s="3"/>
      <c r="F39" s="7">
        <f t="shared" si="0"/>
        <v>0</v>
      </c>
      <c r="G39" s="3"/>
      <c r="H39" s="6">
        <v>0</v>
      </c>
      <c r="I39" s="3"/>
      <c r="J39" s="7">
        <f t="shared" si="1"/>
        <v>0</v>
      </c>
      <c r="K39" s="3"/>
      <c r="L39" s="6">
        <f t="shared" si="2"/>
        <v>0</v>
      </c>
      <c r="M39" s="3"/>
      <c r="N39" s="7">
        <f t="shared" si="3"/>
        <v>0</v>
      </c>
      <c r="O39" s="9"/>
      <c r="P39" s="6"/>
      <c r="Q39" s="3"/>
      <c r="R39" s="7">
        <f t="shared" si="4"/>
        <v>0</v>
      </c>
      <c r="S39" s="3"/>
      <c r="T39" s="6">
        <v>0</v>
      </c>
      <c r="U39" s="3"/>
      <c r="V39" s="7">
        <f t="shared" si="5"/>
        <v>0</v>
      </c>
      <c r="W39" s="3"/>
      <c r="X39" s="6">
        <f t="shared" si="6"/>
        <v>0</v>
      </c>
      <c r="Y39" s="3"/>
      <c r="Z39" s="7">
        <f t="shared" si="7"/>
        <v>0</v>
      </c>
    </row>
    <row r="40" spans="1:26" s="70" customFormat="1" ht="15" hidden="1" customHeight="1" outlineLevel="2" x14ac:dyDescent="0.3">
      <c r="A40" s="21"/>
      <c r="B40" s="9" t="str">
        <f>CONCATENATE("          ","6010"," - ","GRATUITY")</f>
        <v xml:space="preserve">          6010 - GRATUITY</v>
      </c>
      <c r="C40" s="9"/>
      <c r="D40" s="6"/>
      <c r="E40" s="3"/>
      <c r="F40" s="7">
        <f t="shared" si="0"/>
        <v>0</v>
      </c>
      <c r="G40" s="3"/>
      <c r="H40" s="6">
        <v>0</v>
      </c>
      <c r="I40" s="3"/>
      <c r="J40" s="7">
        <f t="shared" si="1"/>
        <v>0</v>
      </c>
      <c r="K40" s="3"/>
      <c r="L40" s="6">
        <f t="shared" si="2"/>
        <v>0</v>
      </c>
      <c r="M40" s="3"/>
      <c r="N40" s="7">
        <f t="shared" si="3"/>
        <v>0</v>
      </c>
      <c r="O40" s="9"/>
      <c r="P40" s="6"/>
      <c r="Q40" s="3"/>
      <c r="R40" s="7">
        <f t="shared" si="4"/>
        <v>0</v>
      </c>
      <c r="S40" s="3"/>
      <c r="T40" s="6">
        <v>0</v>
      </c>
      <c r="U40" s="3"/>
      <c r="V40" s="7">
        <f t="shared" si="5"/>
        <v>0</v>
      </c>
      <c r="W40" s="3"/>
      <c r="X40" s="6">
        <f t="shared" si="6"/>
        <v>0</v>
      </c>
      <c r="Y40" s="3"/>
      <c r="Z40" s="7">
        <f t="shared" si="7"/>
        <v>0</v>
      </c>
    </row>
    <row r="41" spans="1:26" s="69" customFormat="1" ht="15" customHeight="1" outlineLevel="1" collapsed="1" x14ac:dyDescent="0.3">
      <c r="A41" s="20"/>
      <c r="B41" s="11" t="str">
        <f>CONCATENATE("     ","Advertising/Promo                                 ")</f>
        <v xml:space="preserve">     Advertising/Promo                                 </v>
      </c>
      <c r="C41" s="11"/>
      <c r="D41" s="2">
        <f>SUM(OSRRefD22_2x_0)</f>
        <v>94.32</v>
      </c>
      <c r="E41" s="2"/>
      <c r="F41" s="5">
        <f t="shared" si="0"/>
        <v>0</v>
      </c>
      <c r="G41" s="2"/>
      <c r="H41" s="2">
        <f>SUM(OSRRefH22_2x_0)</f>
        <v>150</v>
      </c>
      <c r="I41" s="2"/>
      <c r="J41" s="5">
        <f t="shared" si="1"/>
        <v>0</v>
      </c>
      <c r="K41" s="2"/>
      <c r="L41" s="2">
        <f t="shared" si="2"/>
        <v>-55.680000000000007</v>
      </c>
      <c r="M41" s="2"/>
      <c r="N41" s="5">
        <f t="shared" si="3"/>
        <v>-0.37120000000000003</v>
      </c>
      <c r="O41" s="11"/>
      <c r="P41" s="2">
        <f>SUM(OSRRefP22_2x_0)</f>
        <v>740.78</v>
      </c>
      <c r="Q41" s="2"/>
      <c r="R41" s="5">
        <f t="shared" si="4"/>
        <v>0</v>
      </c>
      <c r="S41" s="2"/>
      <c r="T41" s="2">
        <f>SUM(OSRRefT22_2x_0)</f>
        <v>1800</v>
      </c>
      <c r="U41" s="2"/>
      <c r="V41" s="5">
        <f t="shared" si="5"/>
        <v>0</v>
      </c>
      <c r="W41" s="2"/>
      <c r="X41" s="2">
        <f t="shared" si="6"/>
        <v>-1059.22</v>
      </c>
      <c r="Y41" s="2"/>
      <c r="Z41" s="5">
        <f t="shared" si="7"/>
        <v>-0.58845555555555562</v>
      </c>
    </row>
    <row r="42" spans="1:26" s="70" customFormat="1" ht="15" hidden="1" customHeight="1" outlineLevel="2" x14ac:dyDescent="0.3">
      <c r="A42" s="21"/>
      <c r="B42" s="9" t="str">
        <f>CONCATENATE("          ","6362"," - ","ADVERTISING EXPENSE")</f>
        <v xml:space="preserve">          6362 - ADVERTISING EXPENSE</v>
      </c>
      <c r="C42" s="9"/>
      <c r="D42" s="6">
        <v>94.32</v>
      </c>
      <c r="E42" s="3"/>
      <c r="F42" s="7">
        <f t="shared" si="0"/>
        <v>0</v>
      </c>
      <c r="G42" s="3"/>
      <c r="H42" s="6">
        <v>150</v>
      </c>
      <c r="I42" s="3"/>
      <c r="J42" s="7">
        <f t="shared" si="1"/>
        <v>0</v>
      </c>
      <c r="K42" s="3"/>
      <c r="L42" s="6">
        <f t="shared" si="2"/>
        <v>-55.680000000000007</v>
      </c>
      <c r="M42" s="3"/>
      <c r="N42" s="7">
        <f t="shared" si="3"/>
        <v>-0.37120000000000003</v>
      </c>
      <c r="O42" s="9"/>
      <c r="P42" s="6">
        <v>740.78</v>
      </c>
      <c r="Q42" s="3"/>
      <c r="R42" s="7">
        <f t="shared" si="4"/>
        <v>0</v>
      </c>
      <c r="S42" s="3"/>
      <c r="T42" s="6">
        <v>1800</v>
      </c>
      <c r="U42" s="3"/>
      <c r="V42" s="7">
        <f t="shared" si="5"/>
        <v>0</v>
      </c>
      <c r="W42" s="3"/>
      <c r="X42" s="6">
        <f t="shared" si="6"/>
        <v>-1059.22</v>
      </c>
      <c r="Y42" s="3"/>
      <c r="Z42" s="7">
        <f t="shared" si="7"/>
        <v>-0.58845555555555562</v>
      </c>
    </row>
    <row r="43" spans="1:26" s="69" customFormat="1" ht="15" customHeight="1" outlineLevel="1" collapsed="1" x14ac:dyDescent="0.3">
      <c r="A43" s="20"/>
      <c r="B43" s="11" t="str">
        <f>CONCATENATE("     ","Employees' Appreciation                           ")</f>
        <v xml:space="preserve">     Employees' Appreciation                           </v>
      </c>
      <c r="C43" s="11"/>
      <c r="D43" s="2">
        <f>SUM(OSRRefD22_3x_0)</f>
        <v>0</v>
      </c>
      <c r="E43" s="2"/>
      <c r="F43" s="5">
        <f t="shared" si="0"/>
        <v>0</v>
      </c>
      <c r="G43" s="2"/>
      <c r="H43" s="2">
        <f>SUM(OSRRefH22_3x_0)</f>
        <v>250</v>
      </c>
      <c r="I43" s="2"/>
      <c r="J43" s="5">
        <f t="shared" si="1"/>
        <v>0</v>
      </c>
      <c r="K43" s="2"/>
      <c r="L43" s="2">
        <f t="shared" si="2"/>
        <v>-250</v>
      </c>
      <c r="M43" s="2"/>
      <c r="N43" s="5">
        <f t="shared" si="3"/>
        <v>-1</v>
      </c>
      <c r="O43" s="11"/>
      <c r="P43" s="2">
        <f>SUM(OSRRefP22_3x_0)</f>
        <v>114.87</v>
      </c>
      <c r="Q43" s="2"/>
      <c r="R43" s="5">
        <f t="shared" si="4"/>
        <v>0</v>
      </c>
      <c r="S43" s="2"/>
      <c r="T43" s="2">
        <f>SUM(OSRRefT22_3x_0)</f>
        <v>15500</v>
      </c>
      <c r="U43" s="2"/>
      <c r="V43" s="5">
        <f t="shared" si="5"/>
        <v>0</v>
      </c>
      <c r="W43" s="2"/>
      <c r="X43" s="2">
        <f t="shared" si="6"/>
        <v>-15385.13</v>
      </c>
      <c r="Y43" s="2"/>
      <c r="Z43" s="5">
        <f t="shared" si="7"/>
        <v>-0.9925890322580645</v>
      </c>
    </row>
    <row r="44" spans="1:26" s="70" customFormat="1" ht="15" hidden="1" customHeight="1" outlineLevel="2" x14ac:dyDescent="0.3">
      <c r="A44" s="21"/>
      <c r="B44" s="9" t="str">
        <f>CONCATENATE("          ","6277"," - ","EMPLOYEE APPRECIATION")</f>
        <v xml:space="preserve">          6277 - EMPLOYEE APPRECIATION</v>
      </c>
      <c r="C44" s="9"/>
      <c r="D44" s="6"/>
      <c r="E44" s="3"/>
      <c r="F44" s="7">
        <f t="shared" si="0"/>
        <v>0</v>
      </c>
      <c r="G44" s="3"/>
      <c r="H44" s="6">
        <v>250</v>
      </c>
      <c r="I44" s="3"/>
      <c r="J44" s="7">
        <f t="shared" si="1"/>
        <v>0</v>
      </c>
      <c r="K44" s="3"/>
      <c r="L44" s="6">
        <f t="shared" si="2"/>
        <v>-250</v>
      </c>
      <c r="M44" s="3"/>
      <c r="N44" s="7">
        <f t="shared" si="3"/>
        <v>-1</v>
      </c>
      <c r="O44" s="9"/>
      <c r="P44" s="6">
        <v>114.87</v>
      </c>
      <c r="Q44" s="3"/>
      <c r="R44" s="7">
        <f t="shared" si="4"/>
        <v>0</v>
      </c>
      <c r="S44" s="3"/>
      <c r="T44" s="6">
        <v>15500</v>
      </c>
      <c r="U44" s="3"/>
      <c r="V44" s="7">
        <f t="shared" si="5"/>
        <v>0</v>
      </c>
      <c r="W44" s="3"/>
      <c r="X44" s="6">
        <f t="shared" si="6"/>
        <v>-15385.13</v>
      </c>
      <c r="Y44" s="3"/>
      <c r="Z44" s="7">
        <f t="shared" si="7"/>
        <v>-0.9925890322580645</v>
      </c>
    </row>
    <row r="45" spans="1:26" s="69" customFormat="1" ht="15" customHeight="1" outlineLevel="1" collapsed="1" x14ac:dyDescent="0.3">
      <c r="A45" s="20"/>
      <c r="B45" s="11" t="str">
        <f>CONCATENATE("     ","Equipment Rental                                  ")</f>
        <v xml:space="preserve">     Equipment Rental                                  </v>
      </c>
      <c r="C45" s="11"/>
      <c r="D45" s="2">
        <f>SUM(OSRRefD22_4x_0)</f>
        <v>0</v>
      </c>
      <c r="E45" s="2"/>
      <c r="F45" s="5">
        <f t="shared" si="0"/>
        <v>0</v>
      </c>
      <c r="G45" s="2"/>
      <c r="H45" s="2">
        <f>SUM(OSRRefH22_4x_0)</f>
        <v>75</v>
      </c>
      <c r="I45" s="2"/>
      <c r="J45" s="5">
        <f t="shared" si="1"/>
        <v>0</v>
      </c>
      <c r="K45" s="2"/>
      <c r="L45" s="2">
        <f t="shared" si="2"/>
        <v>-75</v>
      </c>
      <c r="M45" s="2"/>
      <c r="N45" s="5">
        <f t="shared" si="3"/>
        <v>-1</v>
      </c>
      <c r="O45" s="11"/>
      <c r="P45" s="2">
        <f>SUM(OSRRefP22_4x_0)</f>
        <v>0</v>
      </c>
      <c r="Q45" s="2"/>
      <c r="R45" s="5">
        <f t="shared" si="4"/>
        <v>0</v>
      </c>
      <c r="S45" s="2"/>
      <c r="T45" s="2">
        <f>SUM(OSRRefT22_4x_0)</f>
        <v>900</v>
      </c>
      <c r="U45" s="2"/>
      <c r="V45" s="5">
        <f t="shared" si="5"/>
        <v>0</v>
      </c>
      <c r="W45" s="2"/>
      <c r="X45" s="2">
        <f t="shared" si="6"/>
        <v>-900</v>
      </c>
      <c r="Y45" s="2"/>
      <c r="Z45" s="5">
        <f t="shared" si="7"/>
        <v>-1</v>
      </c>
    </row>
    <row r="46" spans="1:26" s="70" customFormat="1" ht="15" hidden="1" customHeight="1" outlineLevel="2" x14ac:dyDescent="0.3">
      <c r="A46" s="21"/>
      <c r="B46" s="9" t="str">
        <f>CONCATENATE("          ","6351"," - ","EQUIPMENT RENTAL")</f>
        <v xml:space="preserve">          6351 - EQUIPMENT RENTAL</v>
      </c>
      <c r="C46" s="9"/>
      <c r="D46" s="6"/>
      <c r="E46" s="3"/>
      <c r="F46" s="7">
        <f t="shared" si="0"/>
        <v>0</v>
      </c>
      <c r="G46" s="3"/>
      <c r="H46" s="6">
        <v>75</v>
      </c>
      <c r="I46" s="3"/>
      <c r="J46" s="7">
        <f t="shared" si="1"/>
        <v>0</v>
      </c>
      <c r="K46" s="3"/>
      <c r="L46" s="6">
        <f t="shared" si="2"/>
        <v>-75</v>
      </c>
      <c r="M46" s="3"/>
      <c r="N46" s="7">
        <f t="shared" si="3"/>
        <v>-1</v>
      </c>
      <c r="O46" s="9"/>
      <c r="P46" s="6"/>
      <c r="Q46" s="3"/>
      <c r="R46" s="7">
        <f t="shared" si="4"/>
        <v>0</v>
      </c>
      <c r="S46" s="3"/>
      <c r="T46" s="6">
        <v>900</v>
      </c>
      <c r="U46" s="3"/>
      <c r="V46" s="7">
        <f t="shared" si="5"/>
        <v>0</v>
      </c>
      <c r="W46" s="3"/>
      <c r="X46" s="6">
        <f t="shared" si="6"/>
        <v>-900</v>
      </c>
      <c r="Y46" s="3"/>
      <c r="Z46" s="7">
        <f t="shared" si="7"/>
        <v>-1</v>
      </c>
    </row>
    <row r="47" spans="1:26" s="69" customFormat="1" ht="15" customHeight="1" outlineLevel="1" collapsed="1" x14ac:dyDescent="0.3">
      <c r="A47" s="20"/>
      <c r="B47" s="11" t="str">
        <f>CONCATENATE("     ","Freight out/Postage                               ")</f>
        <v xml:space="preserve">     Freight out/Postage                               </v>
      </c>
      <c r="C47" s="11"/>
      <c r="D47" s="2">
        <f>SUM(OSRRefD22_5x_0)</f>
        <v>2.12</v>
      </c>
      <c r="E47" s="2"/>
      <c r="F47" s="5">
        <f t="shared" si="0"/>
        <v>0</v>
      </c>
      <c r="G47" s="2"/>
      <c r="H47" s="2">
        <f>SUM(OSRRefH22_5x_0)</f>
        <v>85</v>
      </c>
      <c r="I47" s="2"/>
      <c r="J47" s="5">
        <f t="shared" si="1"/>
        <v>0</v>
      </c>
      <c r="K47" s="2"/>
      <c r="L47" s="2">
        <f t="shared" si="2"/>
        <v>-82.88</v>
      </c>
      <c r="M47" s="2"/>
      <c r="N47" s="5">
        <f t="shared" si="3"/>
        <v>-0.97505882352941176</v>
      </c>
      <c r="O47" s="11"/>
      <c r="P47" s="2">
        <f>SUM(OSRRefP22_5x_0)</f>
        <v>217.1</v>
      </c>
      <c r="Q47" s="2"/>
      <c r="R47" s="5">
        <f t="shared" si="4"/>
        <v>0</v>
      </c>
      <c r="S47" s="2"/>
      <c r="T47" s="2">
        <f>SUM(OSRRefT22_5x_0)</f>
        <v>680</v>
      </c>
      <c r="U47" s="2"/>
      <c r="V47" s="5">
        <f t="shared" si="5"/>
        <v>0</v>
      </c>
      <c r="W47" s="2"/>
      <c r="X47" s="2">
        <f t="shared" si="6"/>
        <v>-462.9</v>
      </c>
      <c r="Y47" s="2"/>
      <c r="Z47" s="5">
        <f t="shared" si="7"/>
        <v>-0.68073529411764699</v>
      </c>
    </row>
    <row r="48" spans="1:26" s="70" customFormat="1" ht="15" hidden="1" customHeight="1" outlineLevel="2" x14ac:dyDescent="0.3">
      <c r="A48" s="21"/>
      <c r="B48" s="9" t="str">
        <f>CONCATENATE("          ","6307"," - ","POSTAGE")</f>
        <v xml:space="preserve">          6307 - POSTAGE</v>
      </c>
      <c r="C48" s="9"/>
      <c r="D48" s="6">
        <v>2.12</v>
      </c>
      <c r="E48" s="3"/>
      <c r="F48" s="7">
        <f t="shared" si="0"/>
        <v>0</v>
      </c>
      <c r="G48" s="3"/>
      <c r="H48" s="6">
        <v>85</v>
      </c>
      <c r="I48" s="3"/>
      <c r="J48" s="7">
        <f t="shared" si="1"/>
        <v>0</v>
      </c>
      <c r="K48" s="3"/>
      <c r="L48" s="6">
        <f t="shared" si="2"/>
        <v>-82.88</v>
      </c>
      <c r="M48" s="3"/>
      <c r="N48" s="7">
        <f t="shared" si="3"/>
        <v>-0.97505882352941176</v>
      </c>
      <c r="O48" s="9"/>
      <c r="P48" s="6">
        <v>217.1</v>
      </c>
      <c r="Q48" s="3"/>
      <c r="R48" s="7">
        <f t="shared" si="4"/>
        <v>0</v>
      </c>
      <c r="S48" s="3"/>
      <c r="T48" s="6">
        <v>680</v>
      </c>
      <c r="U48" s="3"/>
      <c r="V48" s="7">
        <f t="shared" si="5"/>
        <v>0</v>
      </c>
      <c r="W48" s="3"/>
      <c r="X48" s="6">
        <f t="shared" si="6"/>
        <v>-462.9</v>
      </c>
      <c r="Y48" s="3"/>
      <c r="Z48" s="7">
        <f t="shared" si="7"/>
        <v>-0.68073529411764699</v>
      </c>
    </row>
    <row r="49" spans="1:26" s="69" customFormat="1" ht="15" customHeight="1" outlineLevel="1" collapsed="1" x14ac:dyDescent="0.3">
      <c r="A49" s="20"/>
      <c r="B49" s="11" t="str">
        <f>CONCATENATE("     ","General                                           ")</f>
        <v xml:space="preserve">     General                                           </v>
      </c>
      <c r="C49" s="11"/>
      <c r="D49" s="2">
        <f>SUM(OSRRefD22_6x_0)</f>
        <v>54</v>
      </c>
      <c r="E49" s="2"/>
      <c r="F49" s="5">
        <f t="shared" si="0"/>
        <v>0</v>
      </c>
      <c r="G49" s="2"/>
      <c r="H49" s="2">
        <f>SUM(OSRRefH22_6x_0)</f>
        <v>0</v>
      </c>
      <c r="I49" s="2"/>
      <c r="J49" s="5">
        <f t="shared" si="1"/>
        <v>0</v>
      </c>
      <c r="K49" s="2"/>
      <c r="L49" s="2">
        <f t="shared" si="2"/>
        <v>54</v>
      </c>
      <c r="M49" s="2"/>
      <c r="N49" s="5">
        <f t="shared" si="3"/>
        <v>0</v>
      </c>
      <c r="O49" s="11"/>
      <c r="P49" s="2">
        <f>SUM(OSRRefP22_6x_0)</f>
        <v>3000.61</v>
      </c>
      <c r="Q49" s="2"/>
      <c r="R49" s="5">
        <f t="shared" si="4"/>
        <v>0</v>
      </c>
      <c r="S49" s="2"/>
      <c r="T49" s="2">
        <f>SUM(OSRRefT22_6x_0)</f>
        <v>0</v>
      </c>
      <c r="U49" s="2"/>
      <c r="V49" s="5">
        <f t="shared" si="5"/>
        <v>0</v>
      </c>
      <c r="W49" s="2"/>
      <c r="X49" s="2">
        <f t="shared" si="6"/>
        <v>3000.61</v>
      </c>
      <c r="Y49" s="2"/>
      <c r="Z49" s="5">
        <f t="shared" si="7"/>
        <v>0</v>
      </c>
    </row>
    <row r="50" spans="1:26" s="70" customFormat="1" ht="15" hidden="1" customHeight="1" outlineLevel="2" x14ac:dyDescent="0.3">
      <c r="A50" s="21"/>
      <c r="B50" s="9" t="str">
        <f>CONCATENATE("          ","6279"," - ","GENERAL EXPENSE")</f>
        <v xml:space="preserve">          6279 - GENERAL EXPENSE</v>
      </c>
      <c r="C50" s="9"/>
      <c r="D50" s="6">
        <v>54</v>
      </c>
      <c r="E50" s="3"/>
      <c r="F50" s="7">
        <f t="shared" ref="F50:F73" si="8">IF(D$12=0,0,D50/D$12)</f>
        <v>0</v>
      </c>
      <c r="G50" s="3"/>
      <c r="H50" s="6"/>
      <c r="I50" s="3"/>
      <c r="J50" s="7">
        <f t="shared" ref="J50:J73" si="9">IF(H$12=0,0,H50/H$12)</f>
        <v>0</v>
      </c>
      <c r="K50" s="3"/>
      <c r="L50" s="6">
        <f t="shared" ref="L50:L73" si="10">+D50-H50</f>
        <v>54</v>
      </c>
      <c r="M50" s="3"/>
      <c r="N50" s="7">
        <f t="shared" ref="N50:N73" si="11">IF(H50=0,0,L50/H50)</f>
        <v>0</v>
      </c>
      <c r="O50" s="9"/>
      <c r="P50" s="6">
        <v>3000.61</v>
      </c>
      <c r="Q50" s="3"/>
      <c r="R50" s="7">
        <f t="shared" ref="R50:R73" si="12">IF(P$12=0,0,P50/P$12)</f>
        <v>0</v>
      </c>
      <c r="S50" s="3"/>
      <c r="T50" s="6"/>
      <c r="U50" s="3"/>
      <c r="V50" s="7">
        <f t="shared" ref="V50:V73" si="13">IF(T$12=0,0,T50/T$12)</f>
        <v>0</v>
      </c>
      <c r="W50" s="3"/>
      <c r="X50" s="6">
        <f t="shared" ref="X50:X73" si="14">+P50-T50</f>
        <v>3000.61</v>
      </c>
      <c r="Y50" s="3"/>
      <c r="Z50" s="7">
        <f t="shared" ref="Z50:Z73" si="15">IF(T50=0,0,X50/T50)</f>
        <v>0</v>
      </c>
    </row>
    <row r="51" spans="1:26" s="69" customFormat="1" ht="15" customHeight="1" outlineLevel="1" collapsed="1" x14ac:dyDescent="0.3">
      <c r="A51" s="20"/>
      <c r="B51" s="11" t="str">
        <f>CONCATENATE("     ","Insurance                                         ")</f>
        <v xml:space="preserve">     Insurance                                         </v>
      </c>
      <c r="C51" s="11"/>
      <c r="D51" s="2">
        <f>SUM(OSRRefD22_7x_0)</f>
        <v>-27.63</v>
      </c>
      <c r="E51" s="2"/>
      <c r="F51" s="5">
        <f t="shared" si="8"/>
        <v>0</v>
      </c>
      <c r="G51" s="2"/>
      <c r="H51" s="2">
        <f>SUM(OSRRefH22_7x_0)</f>
        <v>90</v>
      </c>
      <c r="I51" s="2"/>
      <c r="J51" s="5">
        <f t="shared" si="9"/>
        <v>0</v>
      </c>
      <c r="K51" s="2"/>
      <c r="L51" s="2">
        <f t="shared" si="10"/>
        <v>-117.63</v>
      </c>
      <c r="M51" s="2"/>
      <c r="N51" s="5">
        <f t="shared" si="11"/>
        <v>-1.3069999999999999</v>
      </c>
      <c r="O51" s="11"/>
      <c r="P51" s="2">
        <f>SUM(OSRRefP22_7x_0)</f>
        <v>951.26</v>
      </c>
      <c r="Q51" s="2"/>
      <c r="R51" s="5">
        <f t="shared" si="12"/>
        <v>0</v>
      </c>
      <c r="S51" s="2"/>
      <c r="T51" s="2">
        <f>SUM(OSRRefT22_7x_0)</f>
        <v>1080</v>
      </c>
      <c r="U51" s="2"/>
      <c r="V51" s="5">
        <f t="shared" si="13"/>
        <v>0</v>
      </c>
      <c r="W51" s="2"/>
      <c r="X51" s="2">
        <f t="shared" si="14"/>
        <v>-128.74</v>
      </c>
      <c r="Y51" s="2"/>
      <c r="Z51" s="5">
        <f t="shared" si="15"/>
        <v>-0.11920370370370371</v>
      </c>
    </row>
    <row r="52" spans="1:26" s="70" customFormat="1" ht="15" hidden="1" customHeight="1" outlineLevel="2" x14ac:dyDescent="0.3">
      <c r="A52" s="21"/>
      <c r="B52" s="9" t="str">
        <f>CONCATENATE("          ","6314"," - ","LIABILITY INSURANCE")</f>
        <v xml:space="preserve">          6314 - LIABILITY INSURANCE</v>
      </c>
      <c r="C52" s="9"/>
      <c r="D52" s="6">
        <v>-27.63</v>
      </c>
      <c r="E52" s="3"/>
      <c r="F52" s="7">
        <f t="shared" si="8"/>
        <v>0</v>
      </c>
      <c r="G52" s="3"/>
      <c r="H52" s="6">
        <v>90</v>
      </c>
      <c r="I52" s="3"/>
      <c r="J52" s="7">
        <f t="shared" si="9"/>
        <v>0</v>
      </c>
      <c r="K52" s="3"/>
      <c r="L52" s="6">
        <f t="shared" si="10"/>
        <v>-117.63</v>
      </c>
      <c r="M52" s="3"/>
      <c r="N52" s="7">
        <f t="shared" si="11"/>
        <v>-1.3069999999999999</v>
      </c>
      <c r="O52" s="9"/>
      <c r="P52" s="6">
        <v>951.26</v>
      </c>
      <c r="Q52" s="3"/>
      <c r="R52" s="7">
        <f t="shared" si="12"/>
        <v>0</v>
      </c>
      <c r="S52" s="3"/>
      <c r="T52" s="6">
        <v>1080</v>
      </c>
      <c r="U52" s="3"/>
      <c r="V52" s="7">
        <f t="shared" si="13"/>
        <v>0</v>
      </c>
      <c r="W52" s="3"/>
      <c r="X52" s="6">
        <f t="shared" si="14"/>
        <v>-128.74</v>
      </c>
      <c r="Y52" s="3"/>
      <c r="Z52" s="7">
        <f t="shared" si="15"/>
        <v>-0.11920370370370371</v>
      </c>
    </row>
    <row r="53" spans="1:26" s="69" customFormat="1" ht="15" customHeight="1" outlineLevel="1" collapsed="1" x14ac:dyDescent="0.3">
      <c r="A53" s="20"/>
      <c r="B53" s="11" t="str">
        <f>CONCATENATE("     ","Professional Services                             ")</f>
        <v xml:space="preserve">     Professional Services                             </v>
      </c>
      <c r="C53" s="11"/>
      <c r="D53" s="2">
        <f>SUM(OSRRefD22_8x_0)</f>
        <v>1245</v>
      </c>
      <c r="E53" s="2"/>
      <c r="F53" s="5">
        <f t="shared" si="8"/>
        <v>0</v>
      </c>
      <c r="G53" s="2"/>
      <c r="H53" s="2">
        <f>SUM(OSRRefH22_8x_0)</f>
        <v>1674</v>
      </c>
      <c r="I53" s="2"/>
      <c r="J53" s="5">
        <f t="shared" si="9"/>
        <v>0</v>
      </c>
      <c r="K53" s="2"/>
      <c r="L53" s="2">
        <f t="shared" si="10"/>
        <v>-429</v>
      </c>
      <c r="M53" s="2"/>
      <c r="N53" s="5">
        <f t="shared" si="11"/>
        <v>-0.25627240143369173</v>
      </c>
      <c r="O53" s="11"/>
      <c r="P53" s="2">
        <f>SUM(OSRRefP22_8x_0)</f>
        <v>21214.639999999999</v>
      </c>
      <c r="Q53" s="2"/>
      <c r="R53" s="5">
        <f t="shared" si="12"/>
        <v>0</v>
      </c>
      <c r="S53" s="2"/>
      <c r="T53" s="2">
        <f>SUM(OSRRefT22_8x_0)</f>
        <v>20000</v>
      </c>
      <c r="U53" s="2"/>
      <c r="V53" s="5">
        <f t="shared" si="13"/>
        <v>0</v>
      </c>
      <c r="W53" s="2"/>
      <c r="X53" s="2">
        <f t="shared" si="14"/>
        <v>1214.6399999999994</v>
      </c>
      <c r="Y53" s="2"/>
      <c r="Z53" s="5">
        <f t="shared" si="15"/>
        <v>6.0731999999999974E-2</v>
      </c>
    </row>
    <row r="54" spans="1:26" s="70" customFormat="1" ht="15" hidden="1" customHeight="1" outlineLevel="2" x14ac:dyDescent="0.3">
      <c r="A54" s="21"/>
      <c r="B54" s="9" t="str">
        <f>CONCATENATE("          ","6332"," - ","CONSULTANT FEES")</f>
        <v xml:space="preserve">          6332 - CONSULTANT FEES</v>
      </c>
      <c r="C54" s="9"/>
      <c r="D54" s="6"/>
      <c r="E54" s="3"/>
      <c r="F54" s="7">
        <f t="shared" si="8"/>
        <v>0</v>
      </c>
      <c r="G54" s="3"/>
      <c r="H54" s="6">
        <v>0</v>
      </c>
      <c r="I54" s="3"/>
      <c r="J54" s="7">
        <f t="shared" si="9"/>
        <v>0</v>
      </c>
      <c r="K54" s="3"/>
      <c r="L54" s="6">
        <f t="shared" si="10"/>
        <v>0</v>
      </c>
      <c r="M54" s="3"/>
      <c r="N54" s="7">
        <f t="shared" si="11"/>
        <v>0</v>
      </c>
      <c r="O54" s="9"/>
      <c r="P54" s="6"/>
      <c r="Q54" s="3"/>
      <c r="R54" s="7">
        <f t="shared" si="12"/>
        <v>0</v>
      </c>
      <c r="S54" s="3"/>
      <c r="T54" s="6">
        <v>0</v>
      </c>
      <c r="U54" s="3"/>
      <c r="V54" s="7">
        <f t="shared" si="13"/>
        <v>0</v>
      </c>
      <c r="W54" s="3"/>
      <c r="X54" s="6">
        <f t="shared" si="14"/>
        <v>0</v>
      </c>
      <c r="Y54" s="3"/>
      <c r="Z54" s="7">
        <f t="shared" si="15"/>
        <v>0</v>
      </c>
    </row>
    <row r="55" spans="1:26" s="70" customFormat="1" ht="15" hidden="1" customHeight="1" outlineLevel="2" x14ac:dyDescent="0.3">
      <c r="A55" s="21"/>
      <c r="B55" s="9" t="str">
        <f>CONCATENATE("          ","6334"," - ","LEGAL COUNCIL EXPENSE")</f>
        <v xml:space="preserve">          6334 - LEGAL COUNCIL EXPENSE</v>
      </c>
      <c r="C55" s="9"/>
      <c r="D55" s="6"/>
      <c r="E55" s="3"/>
      <c r="F55" s="7">
        <f t="shared" si="8"/>
        <v>0</v>
      </c>
      <c r="G55" s="3"/>
      <c r="H55" s="6">
        <v>837</v>
      </c>
      <c r="I55" s="3"/>
      <c r="J55" s="7">
        <f t="shared" si="9"/>
        <v>0</v>
      </c>
      <c r="K55" s="3"/>
      <c r="L55" s="6">
        <f t="shared" si="10"/>
        <v>-837</v>
      </c>
      <c r="M55" s="3"/>
      <c r="N55" s="7">
        <f t="shared" si="11"/>
        <v>-1</v>
      </c>
      <c r="O55" s="9"/>
      <c r="P55" s="6">
        <v>3255</v>
      </c>
      <c r="Q55" s="3"/>
      <c r="R55" s="7">
        <f t="shared" si="12"/>
        <v>0</v>
      </c>
      <c r="S55" s="3"/>
      <c r="T55" s="6">
        <v>10000</v>
      </c>
      <c r="U55" s="3"/>
      <c r="V55" s="7">
        <f t="shared" si="13"/>
        <v>0</v>
      </c>
      <c r="W55" s="3"/>
      <c r="X55" s="6">
        <f t="shared" si="14"/>
        <v>-6745</v>
      </c>
      <c r="Y55" s="3"/>
      <c r="Z55" s="7">
        <f t="shared" si="15"/>
        <v>-0.67449999999999999</v>
      </c>
    </row>
    <row r="56" spans="1:26" s="70" customFormat="1" ht="15" hidden="1" customHeight="1" outlineLevel="2" x14ac:dyDescent="0.3">
      <c r="A56" s="21"/>
      <c r="B56" s="9" t="str">
        <f>CONCATENATE("          ","6336"," - ","PROFESSIONAL SERVICES")</f>
        <v xml:space="preserve">          6336 - PROFESSIONAL SERVICES</v>
      </c>
      <c r="C56" s="9"/>
      <c r="D56" s="6">
        <v>1245</v>
      </c>
      <c r="E56" s="3"/>
      <c r="F56" s="7">
        <f t="shared" si="8"/>
        <v>0</v>
      </c>
      <c r="G56" s="3"/>
      <c r="H56" s="6">
        <v>837</v>
      </c>
      <c r="I56" s="3"/>
      <c r="J56" s="7">
        <f t="shared" si="9"/>
        <v>0</v>
      </c>
      <c r="K56" s="3"/>
      <c r="L56" s="6">
        <f t="shared" si="10"/>
        <v>408</v>
      </c>
      <c r="M56" s="3"/>
      <c r="N56" s="7">
        <f t="shared" si="11"/>
        <v>0.48745519713261648</v>
      </c>
      <c r="O56" s="9"/>
      <c r="P56" s="6">
        <v>17959.64</v>
      </c>
      <c r="Q56" s="3"/>
      <c r="R56" s="7">
        <f t="shared" si="12"/>
        <v>0</v>
      </c>
      <c r="S56" s="3"/>
      <c r="T56" s="6">
        <v>10000</v>
      </c>
      <c r="U56" s="3"/>
      <c r="V56" s="7">
        <f t="shared" si="13"/>
        <v>0</v>
      </c>
      <c r="W56" s="3"/>
      <c r="X56" s="6">
        <f t="shared" si="14"/>
        <v>7959.6399999999994</v>
      </c>
      <c r="Y56" s="3"/>
      <c r="Z56" s="7">
        <f t="shared" si="15"/>
        <v>0.79596399999999989</v>
      </c>
    </row>
    <row r="57" spans="1:26" s="69" customFormat="1" ht="15" customHeight="1" outlineLevel="1" collapsed="1" x14ac:dyDescent="0.3">
      <c r="A57" s="20"/>
      <c r="B57" s="11" t="str">
        <f>CONCATENATE("     ","Repair and Maintenance                            ")</f>
        <v xml:space="preserve">     Repair and Maintenance                            </v>
      </c>
      <c r="C57" s="11"/>
      <c r="D57" s="2">
        <f>SUM(OSRRefD22_9x_0)</f>
        <v>8986.7999999999993</v>
      </c>
      <c r="E57" s="2"/>
      <c r="F57" s="5">
        <f t="shared" si="8"/>
        <v>0</v>
      </c>
      <c r="G57" s="2"/>
      <c r="H57" s="2">
        <f>SUM(OSRRefH22_9x_0)</f>
        <v>7000</v>
      </c>
      <c r="I57" s="2"/>
      <c r="J57" s="5">
        <f t="shared" si="9"/>
        <v>0</v>
      </c>
      <c r="K57" s="2"/>
      <c r="L57" s="2">
        <f t="shared" si="10"/>
        <v>1986.7999999999993</v>
      </c>
      <c r="M57" s="2"/>
      <c r="N57" s="5">
        <f t="shared" si="11"/>
        <v>0.28382857142857132</v>
      </c>
      <c r="O57" s="11"/>
      <c r="P57" s="2">
        <f>SUM(OSRRefP22_9x_0)</f>
        <v>84842.71</v>
      </c>
      <c r="Q57" s="2"/>
      <c r="R57" s="5">
        <f t="shared" si="12"/>
        <v>0</v>
      </c>
      <c r="S57" s="2"/>
      <c r="T57" s="2">
        <f>SUM(OSRRefT22_9x_0)</f>
        <v>84000</v>
      </c>
      <c r="U57" s="2"/>
      <c r="V57" s="5">
        <f t="shared" si="13"/>
        <v>0</v>
      </c>
      <c r="W57" s="2"/>
      <c r="X57" s="2">
        <f t="shared" si="14"/>
        <v>842.7100000000064</v>
      </c>
      <c r="Y57" s="2"/>
      <c r="Z57" s="5">
        <f t="shared" si="15"/>
        <v>1.0032261904761981E-2</v>
      </c>
    </row>
    <row r="58" spans="1:26" s="70" customFormat="1" ht="15" hidden="1" customHeight="1" outlineLevel="2" x14ac:dyDescent="0.3">
      <c r="A58" s="21"/>
      <c r="B58" s="9" t="str">
        <f>CONCATENATE("          ","6371"," - ","COMPUTER SOFTWARE MAINTENANCE")</f>
        <v xml:space="preserve">          6371 - COMPUTER SOFTWARE MAINTENANCE</v>
      </c>
      <c r="C58" s="9"/>
      <c r="D58" s="6">
        <v>8986.7999999999993</v>
      </c>
      <c r="E58" s="3"/>
      <c r="F58" s="7">
        <f t="shared" si="8"/>
        <v>0</v>
      </c>
      <c r="G58" s="3"/>
      <c r="H58" s="6">
        <v>7000</v>
      </c>
      <c r="I58" s="3"/>
      <c r="J58" s="7">
        <f t="shared" si="9"/>
        <v>0</v>
      </c>
      <c r="K58" s="3"/>
      <c r="L58" s="6">
        <f t="shared" si="10"/>
        <v>1986.7999999999993</v>
      </c>
      <c r="M58" s="3"/>
      <c r="N58" s="7">
        <f t="shared" si="11"/>
        <v>0.28382857142857132</v>
      </c>
      <c r="O58" s="9"/>
      <c r="P58" s="6">
        <v>84303.39</v>
      </c>
      <c r="Q58" s="3"/>
      <c r="R58" s="7">
        <f t="shared" si="12"/>
        <v>0</v>
      </c>
      <c r="S58" s="3"/>
      <c r="T58" s="6">
        <v>84000</v>
      </c>
      <c r="U58" s="3"/>
      <c r="V58" s="7">
        <f t="shared" si="13"/>
        <v>0</v>
      </c>
      <c r="W58" s="3"/>
      <c r="X58" s="6">
        <f t="shared" si="14"/>
        <v>303.38999999999942</v>
      </c>
      <c r="Y58" s="3"/>
      <c r="Z58" s="7">
        <f t="shared" si="15"/>
        <v>3.6117857142857071E-3</v>
      </c>
    </row>
    <row r="59" spans="1:26" s="70" customFormat="1" ht="15" hidden="1" customHeight="1" outlineLevel="2" x14ac:dyDescent="0.3">
      <c r="A59" s="21"/>
      <c r="B59" s="9" t="str">
        <f>CONCATENATE("          ","6373"," - ","MAINTENANCE CONTRACTS")</f>
        <v xml:space="preserve">          6373 - MAINTENANCE CONTRACTS</v>
      </c>
      <c r="C59" s="9"/>
      <c r="D59" s="6"/>
      <c r="E59" s="3"/>
      <c r="F59" s="7">
        <f t="shared" si="8"/>
        <v>0</v>
      </c>
      <c r="G59" s="3"/>
      <c r="H59" s="6"/>
      <c r="I59" s="3"/>
      <c r="J59" s="7">
        <f t="shared" si="9"/>
        <v>0</v>
      </c>
      <c r="K59" s="3"/>
      <c r="L59" s="6">
        <f t="shared" si="10"/>
        <v>0</v>
      </c>
      <c r="M59" s="3"/>
      <c r="N59" s="7">
        <f t="shared" si="11"/>
        <v>0</v>
      </c>
      <c r="O59" s="9"/>
      <c r="P59" s="6">
        <v>539.32000000000005</v>
      </c>
      <c r="Q59" s="3"/>
      <c r="R59" s="7">
        <f t="shared" si="12"/>
        <v>0</v>
      </c>
      <c r="S59" s="3"/>
      <c r="T59" s="6"/>
      <c r="U59" s="3"/>
      <c r="V59" s="7">
        <f t="shared" si="13"/>
        <v>0</v>
      </c>
      <c r="W59" s="3"/>
      <c r="X59" s="6">
        <f t="shared" si="14"/>
        <v>539.32000000000005</v>
      </c>
      <c r="Y59" s="3"/>
      <c r="Z59" s="7">
        <f t="shared" si="15"/>
        <v>0</v>
      </c>
    </row>
    <row r="60" spans="1:26" s="69" customFormat="1" ht="15" customHeight="1" outlineLevel="1" collapsed="1" x14ac:dyDescent="0.3">
      <c r="A60" s="20"/>
      <c r="B60" s="11" t="str">
        <f>CONCATENATE("     ","Subscriptions &amp; Dues                              ")</f>
        <v xml:space="preserve">     Subscriptions &amp; Dues                              </v>
      </c>
      <c r="C60" s="11"/>
      <c r="D60" s="2">
        <f>SUM(OSRRefD22_10x_0)</f>
        <v>0</v>
      </c>
      <c r="E60" s="2"/>
      <c r="F60" s="5">
        <f t="shared" si="8"/>
        <v>0</v>
      </c>
      <c r="G60" s="2"/>
      <c r="H60" s="2">
        <f>SUM(OSRRefH22_10x_0)</f>
        <v>0</v>
      </c>
      <c r="I60" s="2"/>
      <c r="J60" s="5">
        <f t="shared" si="9"/>
        <v>0</v>
      </c>
      <c r="K60" s="2"/>
      <c r="L60" s="2">
        <f t="shared" si="10"/>
        <v>0</v>
      </c>
      <c r="M60" s="2"/>
      <c r="N60" s="5">
        <f t="shared" si="11"/>
        <v>0</v>
      </c>
      <c r="O60" s="11"/>
      <c r="P60" s="2">
        <f>SUM(OSRRefP22_10x_0)</f>
        <v>2730.9</v>
      </c>
      <c r="Q60" s="2"/>
      <c r="R60" s="5">
        <f t="shared" si="12"/>
        <v>0</v>
      </c>
      <c r="S60" s="2"/>
      <c r="T60" s="2">
        <f>SUM(OSRRefT22_10x_0)</f>
        <v>1000</v>
      </c>
      <c r="U60" s="2"/>
      <c r="V60" s="5">
        <f t="shared" si="13"/>
        <v>0</v>
      </c>
      <c r="W60" s="2"/>
      <c r="X60" s="2">
        <f t="shared" si="14"/>
        <v>1730.9</v>
      </c>
      <c r="Y60" s="2"/>
      <c r="Z60" s="5">
        <f t="shared" si="15"/>
        <v>1.7309000000000001</v>
      </c>
    </row>
    <row r="61" spans="1:26" s="70" customFormat="1" ht="15" hidden="1" customHeight="1" outlineLevel="2" x14ac:dyDescent="0.3">
      <c r="A61" s="21"/>
      <c r="B61" s="9" t="str">
        <f>CONCATENATE("          ","6258"," - ","MEMBERSHIP DUES")</f>
        <v xml:space="preserve">          6258 - MEMBERSHIP DUES</v>
      </c>
      <c r="C61" s="9"/>
      <c r="D61" s="6"/>
      <c r="E61" s="3"/>
      <c r="F61" s="7">
        <f t="shared" si="8"/>
        <v>0</v>
      </c>
      <c r="G61" s="3"/>
      <c r="H61" s="6"/>
      <c r="I61" s="3"/>
      <c r="J61" s="7">
        <f t="shared" si="9"/>
        <v>0</v>
      </c>
      <c r="K61" s="3"/>
      <c r="L61" s="6">
        <f t="shared" si="10"/>
        <v>0</v>
      </c>
      <c r="M61" s="3"/>
      <c r="N61" s="7">
        <f t="shared" si="11"/>
        <v>0</v>
      </c>
      <c r="O61" s="9"/>
      <c r="P61" s="6">
        <v>1452</v>
      </c>
      <c r="Q61" s="3"/>
      <c r="R61" s="7">
        <f t="shared" si="12"/>
        <v>0</v>
      </c>
      <c r="S61" s="3"/>
      <c r="T61" s="6">
        <v>1000</v>
      </c>
      <c r="U61" s="3"/>
      <c r="V61" s="7">
        <f t="shared" si="13"/>
        <v>0</v>
      </c>
      <c r="W61" s="3"/>
      <c r="X61" s="6">
        <f t="shared" si="14"/>
        <v>452</v>
      </c>
      <c r="Y61" s="3"/>
      <c r="Z61" s="7">
        <f t="shared" si="15"/>
        <v>0.45200000000000001</v>
      </c>
    </row>
    <row r="62" spans="1:26" s="70" customFormat="1" ht="15" hidden="1" customHeight="1" outlineLevel="2" x14ac:dyDescent="0.3">
      <c r="A62" s="21"/>
      <c r="B62" s="9" t="str">
        <f>CONCATENATE("          ","6275"," - ","SUBSCRIPTIONS")</f>
        <v xml:space="preserve">          6275 - SUBSCRIPTIONS</v>
      </c>
      <c r="C62" s="9"/>
      <c r="D62" s="6"/>
      <c r="E62" s="3"/>
      <c r="F62" s="7">
        <f t="shared" si="8"/>
        <v>0</v>
      </c>
      <c r="G62" s="3"/>
      <c r="H62" s="6"/>
      <c r="I62" s="3"/>
      <c r="J62" s="7">
        <f t="shared" si="9"/>
        <v>0</v>
      </c>
      <c r="K62" s="3"/>
      <c r="L62" s="6">
        <f t="shared" si="10"/>
        <v>0</v>
      </c>
      <c r="M62" s="3"/>
      <c r="N62" s="7">
        <f t="shared" si="11"/>
        <v>0</v>
      </c>
      <c r="O62" s="9"/>
      <c r="P62" s="6">
        <v>1278.9000000000001</v>
      </c>
      <c r="Q62" s="3"/>
      <c r="R62" s="7">
        <f t="shared" si="12"/>
        <v>0</v>
      </c>
      <c r="S62" s="3"/>
      <c r="T62" s="6"/>
      <c r="U62" s="3"/>
      <c r="V62" s="7">
        <f t="shared" si="13"/>
        <v>0</v>
      </c>
      <c r="W62" s="3"/>
      <c r="X62" s="6">
        <f t="shared" si="14"/>
        <v>1278.9000000000001</v>
      </c>
      <c r="Y62" s="3"/>
      <c r="Z62" s="7">
        <f t="shared" si="15"/>
        <v>0</v>
      </c>
    </row>
    <row r="63" spans="1:26" s="69" customFormat="1" ht="15" customHeight="1" outlineLevel="1" collapsed="1" x14ac:dyDescent="0.3">
      <c r="A63" s="20"/>
      <c r="B63" s="11" t="str">
        <f>CONCATENATE("     ","Supplies                                          ")</f>
        <v xml:space="preserve">     Supplies                                          </v>
      </c>
      <c r="C63" s="11"/>
      <c r="D63" s="2">
        <f>SUM(OSRRefD22_11x_0)</f>
        <v>1865.73</v>
      </c>
      <c r="E63" s="2"/>
      <c r="F63" s="5">
        <f t="shared" si="8"/>
        <v>0</v>
      </c>
      <c r="G63" s="2"/>
      <c r="H63" s="2">
        <f>SUM(OSRRefH22_11x_0)</f>
        <v>1826</v>
      </c>
      <c r="I63" s="2"/>
      <c r="J63" s="5">
        <f t="shared" si="9"/>
        <v>0</v>
      </c>
      <c r="K63" s="2"/>
      <c r="L63" s="2">
        <f t="shared" si="10"/>
        <v>39.730000000000018</v>
      </c>
      <c r="M63" s="2"/>
      <c r="N63" s="5">
        <f t="shared" si="11"/>
        <v>2.1757940854326408E-2</v>
      </c>
      <c r="O63" s="11"/>
      <c r="P63" s="2">
        <f>SUM(OSRRefP22_11x_0)</f>
        <v>20260.52</v>
      </c>
      <c r="Q63" s="2"/>
      <c r="R63" s="5">
        <f t="shared" si="12"/>
        <v>0</v>
      </c>
      <c r="S63" s="2"/>
      <c r="T63" s="2">
        <f>SUM(OSRRefT22_11x_0)</f>
        <v>22000</v>
      </c>
      <c r="U63" s="2"/>
      <c r="V63" s="5">
        <f t="shared" si="13"/>
        <v>0</v>
      </c>
      <c r="W63" s="2"/>
      <c r="X63" s="2">
        <f t="shared" si="14"/>
        <v>-1739.4799999999996</v>
      </c>
      <c r="Y63" s="2"/>
      <c r="Z63" s="5">
        <f t="shared" si="15"/>
        <v>-7.9067272727272708E-2</v>
      </c>
    </row>
    <row r="64" spans="1:26" s="70" customFormat="1" ht="15" hidden="1" customHeight="1" outlineLevel="2" x14ac:dyDescent="0.3">
      <c r="A64" s="21"/>
      <c r="B64" s="9" t="str">
        <f>CONCATENATE("          ","6235"," - ","COVID-19 EXPENSES")</f>
        <v xml:space="preserve">          6235 - COVID-19 EXPENSES</v>
      </c>
      <c r="C64" s="9"/>
      <c r="D64" s="6"/>
      <c r="E64" s="3"/>
      <c r="F64" s="7">
        <f t="shared" si="8"/>
        <v>0</v>
      </c>
      <c r="G64" s="3"/>
      <c r="H64" s="6"/>
      <c r="I64" s="3"/>
      <c r="J64" s="7">
        <f t="shared" si="9"/>
        <v>0</v>
      </c>
      <c r="K64" s="3"/>
      <c r="L64" s="6">
        <f t="shared" si="10"/>
        <v>0</v>
      </c>
      <c r="M64" s="3"/>
      <c r="N64" s="7">
        <f t="shared" si="11"/>
        <v>0</v>
      </c>
      <c r="O64" s="9"/>
      <c r="P64" s="6">
        <v>2636.13</v>
      </c>
      <c r="Q64" s="3"/>
      <c r="R64" s="7">
        <f t="shared" si="12"/>
        <v>0</v>
      </c>
      <c r="S64" s="3"/>
      <c r="T64" s="6"/>
      <c r="U64" s="3"/>
      <c r="V64" s="7">
        <f t="shared" si="13"/>
        <v>0</v>
      </c>
      <c r="W64" s="3"/>
      <c r="X64" s="6">
        <f t="shared" si="14"/>
        <v>2636.13</v>
      </c>
      <c r="Y64" s="3"/>
      <c r="Z64" s="7">
        <f t="shared" si="15"/>
        <v>0</v>
      </c>
    </row>
    <row r="65" spans="1:26" s="70" customFormat="1" ht="15" hidden="1" customHeight="1" outlineLevel="2" x14ac:dyDescent="0.3">
      <c r="A65" s="21"/>
      <c r="B65" s="9" t="str">
        <f>CONCATENATE("          ","6241"," - ","OFFICE EXPENSE")</f>
        <v xml:space="preserve">          6241 - OFFICE EXPENSE</v>
      </c>
      <c r="C65" s="9"/>
      <c r="D65" s="6">
        <v>1840.73</v>
      </c>
      <c r="E65" s="3"/>
      <c r="F65" s="7">
        <f t="shared" si="8"/>
        <v>0</v>
      </c>
      <c r="G65" s="3"/>
      <c r="H65" s="6">
        <v>1413</v>
      </c>
      <c r="I65" s="3"/>
      <c r="J65" s="7">
        <f t="shared" si="9"/>
        <v>0</v>
      </c>
      <c r="K65" s="3"/>
      <c r="L65" s="6">
        <f t="shared" si="10"/>
        <v>427.73</v>
      </c>
      <c r="M65" s="3"/>
      <c r="N65" s="7">
        <f t="shared" si="11"/>
        <v>0.30271054493984434</v>
      </c>
      <c r="O65" s="9"/>
      <c r="P65" s="6">
        <v>4499.6000000000004</v>
      </c>
      <c r="Q65" s="3"/>
      <c r="R65" s="7">
        <f t="shared" si="12"/>
        <v>0</v>
      </c>
      <c r="S65" s="3"/>
      <c r="T65" s="6">
        <v>17000</v>
      </c>
      <c r="U65" s="3"/>
      <c r="V65" s="7">
        <f t="shared" si="13"/>
        <v>0</v>
      </c>
      <c r="W65" s="3"/>
      <c r="X65" s="6">
        <f t="shared" si="14"/>
        <v>-12500.4</v>
      </c>
      <c r="Y65" s="3"/>
      <c r="Z65" s="7">
        <f t="shared" si="15"/>
        <v>-0.73531764705882352</v>
      </c>
    </row>
    <row r="66" spans="1:26" s="70" customFormat="1" ht="15" hidden="1" customHeight="1" outlineLevel="2" x14ac:dyDescent="0.3">
      <c r="A66" s="21"/>
      <c r="B66" s="9" t="str">
        <f>CONCATENATE("          ","6244"," - ","SAFETY SUPPLY EXPENSE")</f>
        <v xml:space="preserve">          6244 - SAFETY SUPPLY EXPENSE</v>
      </c>
      <c r="C66" s="9"/>
      <c r="D66" s="6">
        <v>25</v>
      </c>
      <c r="E66" s="3"/>
      <c r="F66" s="7">
        <f t="shared" si="8"/>
        <v>0</v>
      </c>
      <c r="G66" s="3"/>
      <c r="H66" s="6">
        <v>413</v>
      </c>
      <c r="I66" s="3"/>
      <c r="J66" s="7">
        <f t="shared" si="9"/>
        <v>0</v>
      </c>
      <c r="K66" s="3"/>
      <c r="L66" s="6">
        <f t="shared" si="10"/>
        <v>-388</v>
      </c>
      <c r="M66" s="3"/>
      <c r="N66" s="7">
        <f t="shared" si="11"/>
        <v>-0.93946731234866832</v>
      </c>
      <c r="O66" s="9"/>
      <c r="P66" s="6">
        <v>1278.6300000000001</v>
      </c>
      <c r="Q66" s="3"/>
      <c r="R66" s="7">
        <f t="shared" si="12"/>
        <v>0</v>
      </c>
      <c r="S66" s="3"/>
      <c r="T66" s="6">
        <v>5000</v>
      </c>
      <c r="U66" s="3"/>
      <c r="V66" s="7">
        <f t="shared" si="13"/>
        <v>0</v>
      </c>
      <c r="W66" s="3"/>
      <c r="X66" s="6">
        <f t="shared" si="14"/>
        <v>-3721.37</v>
      </c>
      <c r="Y66" s="3"/>
      <c r="Z66" s="7">
        <f t="shared" si="15"/>
        <v>-0.74427399999999999</v>
      </c>
    </row>
    <row r="67" spans="1:26" s="70" customFormat="1" ht="15" hidden="1" customHeight="1" outlineLevel="2" x14ac:dyDescent="0.3">
      <c r="A67" s="21"/>
      <c r="B67" s="9" t="str">
        <f>CONCATENATE("          ","6248"," - ","UNIFORMS")</f>
        <v xml:space="preserve">          6248 - UNIFORMS</v>
      </c>
      <c r="C67" s="9"/>
      <c r="D67" s="6"/>
      <c r="E67" s="3"/>
      <c r="F67" s="7">
        <f t="shared" si="8"/>
        <v>0</v>
      </c>
      <c r="G67" s="3"/>
      <c r="H67" s="6"/>
      <c r="I67" s="3"/>
      <c r="J67" s="7">
        <f t="shared" si="9"/>
        <v>0</v>
      </c>
      <c r="K67" s="3"/>
      <c r="L67" s="6">
        <f t="shared" si="10"/>
        <v>0</v>
      </c>
      <c r="M67" s="3"/>
      <c r="N67" s="7">
        <f t="shared" si="11"/>
        <v>0</v>
      </c>
      <c r="O67" s="9"/>
      <c r="P67" s="6">
        <v>11846.16</v>
      </c>
      <c r="Q67" s="3"/>
      <c r="R67" s="7">
        <f t="shared" si="12"/>
        <v>0</v>
      </c>
      <c r="S67" s="3"/>
      <c r="T67" s="6"/>
      <c r="U67" s="3"/>
      <c r="V67" s="7">
        <f t="shared" si="13"/>
        <v>0</v>
      </c>
      <c r="W67" s="3"/>
      <c r="X67" s="6">
        <f t="shared" si="14"/>
        <v>11846.16</v>
      </c>
      <c r="Y67" s="3"/>
      <c r="Z67" s="7">
        <f t="shared" si="15"/>
        <v>0</v>
      </c>
    </row>
    <row r="68" spans="1:26" s="69" customFormat="1" ht="15" customHeight="1" outlineLevel="1" collapsed="1" x14ac:dyDescent="0.3">
      <c r="A68" s="20"/>
      <c r="B68" s="11" t="str">
        <f>CONCATENATE("     ","Telephone/Data Lines                              ")</f>
        <v xml:space="preserve">     Telephone/Data Lines                              </v>
      </c>
      <c r="C68" s="11"/>
      <c r="D68" s="2">
        <f>SUM(OSRRefD22_12x_0)</f>
        <v>279.75</v>
      </c>
      <c r="E68" s="2"/>
      <c r="F68" s="5">
        <f t="shared" si="8"/>
        <v>0</v>
      </c>
      <c r="G68" s="2"/>
      <c r="H68" s="2">
        <f>SUM(OSRRefH22_12x_0)</f>
        <v>283</v>
      </c>
      <c r="I68" s="2"/>
      <c r="J68" s="5">
        <f t="shared" si="9"/>
        <v>0</v>
      </c>
      <c r="K68" s="2"/>
      <c r="L68" s="2">
        <f t="shared" si="10"/>
        <v>-3.25</v>
      </c>
      <c r="M68" s="2"/>
      <c r="N68" s="5">
        <f t="shared" si="11"/>
        <v>-1.1484098939929329E-2</v>
      </c>
      <c r="O68" s="11"/>
      <c r="P68" s="2">
        <f>SUM(OSRRefP22_12x_0)</f>
        <v>6291.5</v>
      </c>
      <c r="Q68" s="2"/>
      <c r="R68" s="5">
        <f t="shared" si="12"/>
        <v>0</v>
      </c>
      <c r="S68" s="2"/>
      <c r="T68" s="2">
        <f>SUM(OSRRefT22_12x_0)</f>
        <v>3396</v>
      </c>
      <c r="U68" s="2"/>
      <c r="V68" s="5">
        <f t="shared" si="13"/>
        <v>0</v>
      </c>
      <c r="W68" s="2"/>
      <c r="X68" s="2">
        <f t="shared" si="14"/>
        <v>2895.5</v>
      </c>
      <c r="Y68" s="2"/>
      <c r="Z68" s="5">
        <f t="shared" si="15"/>
        <v>0.8526207302709069</v>
      </c>
    </row>
    <row r="69" spans="1:26" s="70" customFormat="1" ht="15" hidden="1" customHeight="1" outlineLevel="2" x14ac:dyDescent="0.3">
      <c r="A69" s="21"/>
      <c r="B69" s="9" t="str">
        <f>CONCATENATE("          ","6309"," - ","TELEPHONE")</f>
        <v xml:space="preserve">          6309 - TELEPHONE</v>
      </c>
      <c r="C69" s="9"/>
      <c r="D69" s="6">
        <v>279.75</v>
      </c>
      <c r="E69" s="3"/>
      <c r="F69" s="7">
        <f t="shared" si="8"/>
        <v>0</v>
      </c>
      <c r="G69" s="3"/>
      <c r="H69" s="6">
        <v>283</v>
      </c>
      <c r="I69" s="3"/>
      <c r="J69" s="7">
        <f t="shared" si="9"/>
        <v>0</v>
      </c>
      <c r="K69" s="3"/>
      <c r="L69" s="6">
        <f t="shared" si="10"/>
        <v>-3.25</v>
      </c>
      <c r="M69" s="3"/>
      <c r="N69" s="7">
        <f t="shared" si="11"/>
        <v>-1.1484098939929329E-2</v>
      </c>
      <c r="O69" s="9"/>
      <c r="P69" s="6">
        <v>6291.5</v>
      </c>
      <c r="Q69" s="3"/>
      <c r="R69" s="7">
        <f t="shared" si="12"/>
        <v>0</v>
      </c>
      <c r="S69" s="3"/>
      <c r="T69" s="6">
        <v>3396</v>
      </c>
      <c r="U69" s="3"/>
      <c r="V69" s="7">
        <f t="shared" si="13"/>
        <v>0</v>
      </c>
      <c r="W69" s="3"/>
      <c r="X69" s="6">
        <f t="shared" si="14"/>
        <v>2895.5</v>
      </c>
      <c r="Y69" s="3"/>
      <c r="Z69" s="7">
        <f t="shared" si="15"/>
        <v>0.8526207302709069</v>
      </c>
    </row>
    <row r="70" spans="1:26" s="69" customFormat="1" ht="15" customHeight="1" outlineLevel="1" collapsed="1" x14ac:dyDescent="0.3">
      <c r="A70" s="20"/>
      <c r="B70" s="11" t="str">
        <f>CONCATENATE("     ","Training                                          ")</f>
        <v xml:space="preserve">     Training                                          </v>
      </c>
      <c r="C70" s="11"/>
      <c r="D70" s="2">
        <f>SUM(OSRRefD22_13x_0)</f>
        <v>2054</v>
      </c>
      <c r="E70" s="2"/>
      <c r="F70" s="5">
        <f t="shared" si="8"/>
        <v>0</v>
      </c>
      <c r="G70" s="2"/>
      <c r="H70" s="2">
        <f>SUM(OSRRefH22_13x_0)</f>
        <v>337</v>
      </c>
      <c r="I70" s="2"/>
      <c r="J70" s="5">
        <f t="shared" si="9"/>
        <v>0</v>
      </c>
      <c r="K70" s="2"/>
      <c r="L70" s="2">
        <f t="shared" si="10"/>
        <v>1717</v>
      </c>
      <c r="M70" s="2"/>
      <c r="N70" s="5">
        <f t="shared" si="11"/>
        <v>5.094955489614243</v>
      </c>
      <c r="O70" s="11"/>
      <c r="P70" s="2">
        <f>SUM(OSRRefP22_13x_0)</f>
        <v>2529</v>
      </c>
      <c r="Q70" s="2"/>
      <c r="R70" s="5">
        <f t="shared" si="12"/>
        <v>0</v>
      </c>
      <c r="S70" s="2"/>
      <c r="T70" s="2">
        <f>SUM(OSRRefT22_13x_0)</f>
        <v>4000</v>
      </c>
      <c r="U70" s="2"/>
      <c r="V70" s="5">
        <f t="shared" si="13"/>
        <v>0</v>
      </c>
      <c r="W70" s="2"/>
      <c r="X70" s="2">
        <f t="shared" si="14"/>
        <v>-1471</v>
      </c>
      <c r="Y70" s="2"/>
      <c r="Z70" s="5">
        <f t="shared" si="15"/>
        <v>-0.36775000000000002</v>
      </c>
    </row>
    <row r="71" spans="1:26" s="70" customFormat="1" ht="15" hidden="1" customHeight="1" outlineLevel="2" x14ac:dyDescent="0.3">
      <c r="A71" s="21"/>
      <c r="B71" s="9" t="str">
        <f>CONCATENATE("          ","6376"," - ","TRAINING")</f>
        <v xml:space="preserve">          6376 - TRAINING</v>
      </c>
      <c r="C71" s="9"/>
      <c r="D71" s="6">
        <v>2054</v>
      </c>
      <c r="E71" s="3"/>
      <c r="F71" s="7">
        <f t="shared" si="8"/>
        <v>0</v>
      </c>
      <c r="G71" s="3"/>
      <c r="H71" s="6">
        <v>337</v>
      </c>
      <c r="I71" s="3"/>
      <c r="J71" s="7">
        <f t="shared" si="9"/>
        <v>0</v>
      </c>
      <c r="K71" s="3"/>
      <c r="L71" s="6">
        <f t="shared" si="10"/>
        <v>1717</v>
      </c>
      <c r="M71" s="3"/>
      <c r="N71" s="7">
        <f t="shared" si="11"/>
        <v>5.094955489614243</v>
      </c>
      <c r="O71" s="9"/>
      <c r="P71" s="6">
        <v>2529</v>
      </c>
      <c r="Q71" s="3"/>
      <c r="R71" s="7">
        <f t="shared" si="12"/>
        <v>0</v>
      </c>
      <c r="S71" s="3"/>
      <c r="T71" s="6">
        <v>4000</v>
      </c>
      <c r="U71" s="3"/>
      <c r="V71" s="7">
        <f t="shared" si="13"/>
        <v>0</v>
      </c>
      <c r="W71" s="3"/>
      <c r="X71" s="6">
        <f t="shared" si="14"/>
        <v>-1471</v>
      </c>
      <c r="Y71" s="3"/>
      <c r="Z71" s="7">
        <f t="shared" si="15"/>
        <v>-0.36775000000000002</v>
      </c>
    </row>
    <row r="72" spans="1:26" s="69" customFormat="1" ht="15" customHeight="1" outlineLevel="1" collapsed="1" x14ac:dyDescent="0.3">
      <c r="A72" s="20"/>
      <c r="B72" s="11" t="str">
        <f>CONCATENATE("     ","Travel                                            ")</f>
        <v xml:space="preserve">     Travel                                            </v>
      </c>
      <c r="C72" s="11"/>
      <c r="D72" s="2">
        <f>SUM(OSRRefD22_14x_0)</f>
        <v>0</v>
      </c>
      <c r="E72" s="2"/>
      <c r="F72" s="5">
        <f t="shared" si="8"/>
        <v>0</v>
      </c>
      <c r="G72" s="2"/>
      <c r="H72" s="2">
        <f>SUM(OSRRefH22_14x_0)</f>
        <v>0</v>
      </c>
      <c r="I72" s="2"/>
      <c r="J72" s="5">
        <f t="shared" si="9"/>
        <v>0</v>
      </c>
      <c r="K72" s="2"/>
      <c r="L72" s="2">
        <f t="shared" si="10"/>
        <v>0</v>
      </c>
      <c r="M72" s="2"/>
      <c r="N72" s="5">
        <f t="shared" si="11"/>
        <v>0</v>
      </c>
      <c r="O72" s="11"/>
      <c r="P72" s="2">
        <f>SUM(OSRRefP22_14x_0)</f>
        <v>0</v>
      </c>
      <c r="Q72" s="2"/>
      <c r="R72" s="5">
        <f t="shared" si="12"/>
        <v>0</v>
      </c>
      <c r="S72" s="2"/>
      <c r="T72" s="2">
        <f>SUM(OSRRefT22_14x_0)</f>
        <v>720</v>
      </c>
      <c r="U72" s="2"/>
      <c r="V72" s="5">
        <f t="shared" si="13"/>
        <v>0</v>
      </c>
      <c r="W72" s="2"/>
      <c r="X72" s="2">
        <f t="shared" si="14"/>
        <v>-720</v>
      </c>
      <c r="Y72" s="2"/>
      <c r="Z72" s="5">
        <f t="shared" si="15"/>
        <v>-1</v>
      </c>
    </row>
    <row r="73" spans="1:26" s="70" customFormat="1" ht="15" hidden="1" customHeight="1" outlineLevel="2" x14ac:dyDescent="0.3">
      <c r="A73" s="21"/>
      <c r="B73" s="9" t="str">
        <f>CONCATENATE("          ","6292"," - ","TRAVEL/CONFERENCE")</f>
        <v xml:space="preserve">          6292 - TRAVEL/CONFERENCE</v>
      </c>
      <c r="C73" s="9"/>
      <c r="D73" s="6"/>
      <c r="E73" s="3"/>
      <c r="F73" s="7">
        <f t="shared" si="8"/>
        <v>0</v>
      </c>
      <c r="G73" s="3"/>
      <c r="H73" s="6"/>
      <c r="I73" s="3"/>
      <c r="J73" s="7">
        <f t="shared" si="9"/>
        <v>0</v>
      </c>
      <c r="K73" s="3"/>
      <c r="L73" s="6">
        <f t="shared" si="10"/>
        <v>0</v>
      </c>
      <c r="M73" s="3"/>
      <c r="N73" s="7">
        <f t="shared" si="11"/>
        <v>0</v>
      </c>
      <c r="O73" s="9"/>
      <c r="P73" s="6"/>
      <c r="Q73" s="3"/>
      <c r="R73" s="7">
        <f t="shared" si="12"/>
        <v>0</v>
      </c>
      <c r="S73" s="3"/>
      <c r="T73" s="6">
        <v>720</v>
      </c>
      <c r="U73" s="3"/>
      <c r="V73" s="7">
        <f t="shared" si="13"/>
        <v>0</v>
      </c>
      <c r="W73" s="3"/>
      <c r="X73" s="6">
        <f t="shared" si="14"/>
        <v>-720</v>
      </c>
      <c r="Y73" s="3"/>
      <c r="Z73" s="7">
        <f t="shared" si="15"/>
        <v>-1</v>
      </c>
    </row>
    <row r="74" spans="1:26" s="65" customFormat="1" ht="15" customHeight="1" x14ac:dyDescent="0.3">
      <c r="A74" s="36"/>
      <c r="B74" s="36"/>
      <c r="C74" s="36"/>
      <c r="D74" s="2"/>
      <c r="E74" s="2"/>
      <c r="F74" s="5"/>
      <c r="G74" s="2"/>
      <c r="H74" s="2"/>
      <c r="I74" s="2"/>
      <c r="J74" s="5"/>
      <c r="K74" s="2"/>
      <c r="L74" s="2"/>
      <c r="M74" s="2"/>
      <c r="N74" s="5"/>
      <c r="O74" s="36"/>
      <c r="P74" s="2"/>
      <c r="Q74" s="2"/>
      <c r="R74" s="5"/>
      <c r="S74" s="2"/>
      <c r="T74" s="2"/>
      <c r="U74" s="2"/>
      <c r="V74" s="5"/>
      <c r="W74" s="2"/>
      <c r="X74" s="2"/>
      <c r="Y74" s="2"/>
      <c r="Z74" s="5"/>
    </row>
    <row r="75" spans="1:26" s="63" customFormat="1" ht="15" customHeight="1" x14ac:dyDescent="0.3">
      <c r="A75" s="13"/>
      <c r="B75" s="28" t="s">
        <v>291</v>
      </c>
      <c r="C75" s="13"/>
      <c r="D75" s="8">
        <f>SUM(0)</f>
        <v>0</v>
      </c>
      <c r="E75" s="8"/>
      <c r="F75" s="14">
        <f>IF(D$12=0,0,D75/D$12)</f>
        <v>0</v>
      </c>
      <c r="G75" s="8"/>
      <c r="H75" s="8">
        <f>SUM(0)</f>
        <v>0</v>
      </c>
      <c r="I75" s="8"/>
      <c r="J75" s="14">
        <f>IF(H$12=0,0,H75/H$12)</f>
        <v>0</v>
      </c>
      <c r="K75" s="8"/>
      <c r="L75" s="8">
        <f>+D75-H75</f>
        <v>0</v>
      </c>
      <c r="M75" s="8"/>
      <c r="N75" s="14">
        <f>IF(H75=0,0,L75/H75)</f>
        <v>0</v>
      </c>
      <c r="O75" s="13"/>
      <c r="P75" s="8">
        <f>SUM(0)</f>
        <v>0</v>
      </c>
      <c r="Q75" s="8"/>
      <c r="R75" s="14">
        <f>IF(P$12=0,0,P75/P$12)</f>
        <v>0</v>
      </c>
      <c r="S75" s="8"/>
      <c r="T75" s="8">
        <f>SUM(0)</f>
        <v>0</v>
      </c>
      <c r="U75" s="8"/>
      <c r="V75" s="14">
        <f>IF(T$12=0,0,T75/T$12)</f>
        <v>0</v>
      </c>
      <c r="W75" s="8"/>
      <c r="X75" s="8">
        <f>+P75-T75</f>
        <v>0</v>
      </c>
      <c r="Y75" s="8"/>
      <c r="Z75" s="14">
        <f>IF(T75=0,0,X75/T75)</f>
        <v>0</v>
      </c>
    </row>
    <row r="76" spans="1:26" ht="15" customHeight="1" x14ac:dyDescent="0.3">
      <c r="A76" s="12"/>
      <c r="B76" s="13"/>
      <c r="C76" s="13"/>
      <c r="D76" s="4"/>
      <c r="E76" s="4"/>
      <c r="F76" s="10"/>
      <c r="G76" s="4"/>
      <c r="H76" s="4"/>
      <c r="I76" s="4"/>
      <c r="J76" s="10"/>
      <c r="K76" s="4"/>
      <c r="L76" s="4"/>
      <c r="M76" s="4"/>
      <c r="N76" s="10"/>
      <c r="O76" s="13"/>
      <c r="P76" s="4"/>
      <c r="Q76" s="4"/>
      <c r="R76" s="10"/>
      <c r="S76" s="4"/>
      <c r="T76" s="4"/>
      <c r="U76" s="4"/>
      <c r="V76" s="10"/>
      <c r="W76" s="4"/>
      <c r="X76" s="4"/>
      <c r="Y76" s="4"/>
      <c r="Z76" s="10"/>
    </row>
    <row r="77" spans="1:26" s="63" customFormat="1" ht="15" customHeight="1" x14ac:dyDescent="0.3">
      <c r="A77" s="13"/>
      <c r="B77" s="27" t="s">
        <v>292</v>
      </c>
      <c r="C77" s="27"/>
      <c r="D77" s="23">
        <f>+D16-D18+D75</f>
        <v>-53890.15</v>
      </c>
      <c r="E77" s="15"/>
      <c r="F77" s="22">
        <f>IF(D$12=0,0,D77/D$12)</f>
        <v>0</v>
      </c>
      <c r="G77" s="15"/>
      <c r="H77" s="23">
        <f>+H16-H18+H75</f>
        <v>-46434.26516968615</v>
      </c>
      <c r="I77" s="15"/>
      <c r="J77" s="22">
        <f>IF(H$12=0,0,H77/H$12)</f>
        <v>0</v>
      </c>
      <c r="K77" s="17"/>
      <c r="L77" s="23">
        <f>+D77-H77</f>
        <v>-7455.8848303138511</v>
      </c>
      <c r="M77" s="17"/>
      <c r="N77" s="22">
        <f>IF(H77=0,0,L77/H77)</f>
        <v>0.16056859741545568</v>
      </c>
      <c r="O77" s="28"/>
      <c r="P77" s="23">
        <f>+P16-P18+P75</f>
        <v>-681313.66</v>
      </c>
      <c r="Q77" s="15"/>
      <c r="R77" s="22">
        <f>IF(P$12=0,0,P77/P$12)</f>
        <v>0</v>
      </c>
      <c r="S77" s="15"/>
      <c r="T77" s="23">
        <f>+T16-T18+T75</f>
        <v>-602665.44720592001</v>
      </c>
      <c r="U77" s="15"/>
      <c r="V77" s="22">
        <f>IF(T$12=0,0,T77/T$12)</f>
        <v>0</v>
      </c>
      <c r="W77" s="17"/>
      <c r="X77" s="23">
        <f>+P77-T77</f>
        <v>-78648.212794080027</v>
      </c>
      <c r="Y77" s="17"/>
      <c r="Z77" s="22">
        <f>IF(T77=0,0,X77/T77)</f>
        <v>0.13050061714788727</v>
      </c>
    </row>
    <row r="78" spans="1:26" ht="15" customHeight="1" x14ac:dyDescent="0.3">
      <c r="A78" s="12"/>
      <c r="B78" s="13"/>
      <c r="C78" s="12"/>
      <c r="D78" s="4"/>
      <c r="E78" s="4"/>
      <c r="F78" s="10"/>
      <c r="G78" s="4"/>
      <c r="H78" s="4"/>
      <c r="I78" s="4"/>
      <c r="J78" s="10"/>
      <c r="K78" s="4"/>
      <c r="L78" s="4"/>
      <c r="M78" s="4"/>
      <c r="N78" s="10"/>
      <c r="P78" s="4"/>
      <c r="Q78" s="4"/>
      <c r="R78" s="10"/>
      <c r="S78" s="4"/>
      <c r="T78" s="4"/>
      <c r="U78" s="4"/>
      <c r="V78" s="10"/>
      <c r="W78" s="4"/>
      <c r="X78" s="4"/>
      <c r="Y78" s="4"/>
      <c r="Z78" s="10"/>
    </row>
    <row r="79" spans="1:26" s="63" customFormat="1" ht="15" customHeight="1" x14ac:dyDescent="0.3">
      <c r="A79" s="49"/>
      <c r="B79" s="13" t="s">
        <v>293</v>
      </c>
      <c r="C79" s="13"/>
      <c r="D79" s="8"/>
      <c r="E79" s="8"/>
      <c r="F79" s="14">
        <f>IF(D$12=0,0,D79/D$12)</f>
        <v>0</v>
      </c>
      <c r="G79" s="8"/>
      <c r="H79" s="8"/>
      <c r="I79" s="8"/>
      <c r="J79" s="14">
        <f>IF(H$12=0,0,H79/H$12)</f>
        <v>0</v>
      </c>
      <c r="K79" s="8"/>
      <c r="L79" s="8">
        <f>+D79-H79</f>
        <v>0</v>
      </c>
      <c r="M79" s="8"/>
      <c r="N79" s="14">
        <f>IF(H79=0,0,L79/H79)</f>
        <v>0</v>
      </c>
      <c r="O79" s="13"/>
      <c r="P79" s="8"/>
      <c r="Q79" s="8"/>
      <c r="R79" s="14">
        <f>IF(P$12=0,0,P79/P$12)</f>
        <v>0</v>
      </c>
      <c r="S79" s="8"/>
      <c r="T79" s="8"/>
      <c r="U79" s="8"/>
      <c r="V79" s="14">
        <f>IF(T$12=0,0,T79/T$12)</f>
        <v>0</v>
      </c>
      <c r="W79" s="8"/>
      <c r="X79" s="8">
        <f>+P79-T79</f>
        <v>0</v>
      </c>
      <c r="Y79" s="8"/>
      <c r="Z79" s="14">
        <f>IF(T79=0,0,X79/T79)</f>
        <v>0</v>
      </c>
    </row>
    <row r="80" spans="1:26" ht="15" customHeight="1" x14ac:dyDescent="0.3">
      <c r="A80" s="12"/>
      <c r="B80" s="13"/>
      <c r="C80" s="13"/>
      <c r="D80" s="4"/>
      <c r="E80" s="4"/>
      <c r="F80" s="10"/>
      <c r="G80" s="4"/>
      <c r="H80" s="4"/>
      <c r="I80" s="4"/>
      <c r="J80" s="10"/>
      <c r="K80" s="4"/>
      <c r="L80" s="4"/>
      <c r="M80" s="4"/>
      <c r="N80" s="10"/>
      <c r="O80" s="13"/>
      <c r="P80" s="4"/>
      <c r="Q80" s="4"/>
      <c r="R80" s="10"/>
      <c r="S80" s="4"/>
      <c r="T80" s="4"/>
      <c r="U80" s="4"/>
      <c r="V80" s="10"/>
      <c r="W80" s="4"/>
      <c r="X80" s="4"/>
      <c r="Y80" s="4"/>
      <c r="Z80" s="10"/>
    </row>
    <row r="81" spans="1:26" s="63" customFormat="1" ht="15" customHeight="1" x14ac:dyDescent="0.3">
      <c r="A81" s="13"/>
      <c r="B81" s="27" t="s">
        <v>294</v>
      </c>
      <c r="C81" s="27"/>
      <c r="D81" s="30">
        <f>+D77-D79</f>
        <v>-53890.15</v>
      </c>
      <c r="E81" s="15"/>
      <c r="F81" s="35">
        <f>IF(D$12=0,0,D81/D$12)</f>
        <v>0</v>
      </c>
      <c r="G81" s="15"/>
      <c r="H81" s="30">
        <f>+H77-H79</f>
        <v>-46434.26516968615</v>
      </c>
      <c r="I81" s="15"/>
      <c r="J81" s="35">
        <f>IF(H$12=0,0,H81/H$12)</f>
        <v>0</v>
      </c>
      <c r="K81" s="17"/>
      <c r="L81" s="30">
        <f>D81-H81</f>
        <v>-7455.8848303138511</v>
      </c>
      <c r="M81" s="17"/>
      <c r="N81" s="35">
        <f>IF(H81=0,0,L81/H81)</f>
        <v>0.16056859741545568</v>
      </c>
      <c r="O81" s="28"/>
      <c r="P81" s="30">
        <f>+P77-P79</f>
        <v>-681313.66</v>
      </c>
      <c r="Q81" s="15"/>
      <c r="R81" s="35">
        <f>IF(P$12=0,0,P81/P$12)</f>
        <v>0</v>
      </c>
      <c r="S81" s="15"/>
      <c r="T81" s="30">
        <f>+T77-T79</f>
        <v>-602665.44720592001</v>
      </c>
      <c r="U81" s="15"/>
      <c r="V81" s="35">
        <f>IF(T$12=0,0,T81/T$12)</f>
        <v>0</v>
      </c>
      <c r="W81" s="17"/>
      <c r="X81" s="30">
        <f>P81-T81</f>
        <v>-78648.212794080027</v>
      </c>
      <c r="Y81" s="17"/>
      <c r="Z81" s="35">
        <f>IF(T81=0,0,X81/T81)</f>
        <v>0.13050061714788727</v>
      </c>
    </row>
    <row r="82" spans="1:26" ht="15" customHeight="1" x14ac:dyDescent="0.3">
      <c r="A82" s="12"/>
      <c r="B82" s="12"/>
      <c r="C82" s="12"/>
      <c r="D82" s="4"/>
      <c r="E82" s="4"/>
      <c r="F82" s="10"/>
      <c r="G82" s="4"/>
      <c r="H82" s="4"/>
      <c r="I82" s="4"/>
      <c r="J82" s="10"/>
      <c r="K82" s="4"/>
      <c r="L82" s="4"/>
      <c r="M82" s="4"/>
      <c r="N82" s="10"/>
      <c r="P82" s="4"/>
      <c r="Q82" s="4"/>
      <c r="R82" s="10"/>
      <c r="S82" s="4"/>
      <c r="T82" s="4"/>
      <c r="U82" s="4"/>
      <c r="V82" s="10"/>
      <c r="W82" s="4"/>
      <c r="X82" s="4"/>
      <c r="Y82" s="4"/>
      <c r="Z82" s="10"/>
    </row>
    <row r="83" spans="1:26" ht="15" customHeight="1" x14ac:dyDescent="0.3">
      <c r="A83" s="12"/>
      <c r="B83" s="12"/>
      <c r="C83" s="12"/>
      <c r="D83" s="4"/>
      <c r="E83" s="4"/>
      <c r="F83" s="10"/>
      <c r="G83" s="4"/>
      <c r="H83" s="4"/>
      <c r="I83" s="4"/>
      <c r="J83" s="10"/>
      <c r="K83" s="4"/>
      <c r="L83" s="4"/>
      <c r="M83" s="4"/>
      <c r="N83" s="10"/>
      <c r="P83" s="4"/>
      <c r="Q83" s="4"/>
      <c r="R83" s="10"/>
      <c r="S83" s="4"/>
      <c r="T83" s="4"/>
      <c r="U83" s="4"/>
      <c r="V83" s="10"/>
      <c r="W83" s="4"/>
      <c r="X83" s="4"/>
      <c r="Y83" s="4"/>
      <c r="Z83" s="10"/>
    </row>
    <row r="84" spans="1:26" s="63" customFormat="1" ht="15" customHeight="1" x14ac:dyDescent="0.3">
      <c r="A84" s="13"/>
      <c r="B84" s="27" t="s">
        <v>297</v>
      </c>
      <c r="C84" s="27"/>
      <c r="D84" s="33">
        <f>SUM(D81:D83)</f>
        <v>-53890.15</v>
      </c>
      <c r="E84" s="15"/>
      <c r="F84" s="31">
        <f>IF(D$12=0,0,D84/D$12)</f>
        <v>0</v>
      </c>
      <c r="G84" s="15"/>
      <c r="H84" s="33">
        <f>SUM(H81:H83)</f>
        <v>-46434.26516968615</v>
      </c>
      <c r="I84" s="15"/>
      <c r="J84" s="31">
        <f>IF(H$12=0,0,H84/H$12)</f>
        <v>0</v>
      </c>
      <c r="K84" s="17"/>
      <c r="L84" s="33">
        <f>+D84-H84</f>
        <v>-7455.8848303138511</v>
      </c>
      <c r="M84" s="17"/>
      <c r="N84" s="31">
        <f>IF(H84=0,0,L84/H84)</f>
        <v>0.16056859741545568</v>
      </c>
      <c r="O84" s="28"/>
      <c r="P84" s="33">
        <f>SUM(P81:P83)</f>
        <v>-681313.66</v>
      </c>
      <c r="Q84" s="15"/>
      <c r="R84" s="31">
        <f>IF(P$12=0,0,P84/P$12)</f>
        <v>0</v>
      </c>
      <c r="S84" s="15"/>
      <c r="T84" s="33">
        <f>SUM(T81:T83)</f>
        <v>-602665.44720592001</v>
      </c>
      <c r="U84" s="15"/>
      <c r="V84" s="31">
        <f>IF(T$12=0,0,T84/T$12)</f>
        <v>0</v>
      </c>
      <c r="W84" s="17"/>
      <c r="X84" s="33">
        <f>+P84-T84</f>
        <v>-78648.212794080027</v>
      </c>
      <c r="Y84" s="17"/>
      <c r="Z84" s="31">
        <f>IF(T84=0,0,X84/T84)</f>
        <v>0.13050061714788727</v>
      </c>
    </row>
    <row r="85" spans="1:26" ht="15" customHeight="1" x14ac:dyDescent="0.3">
      <c r="A85" s="12"/>
      <c r="C85" s="12"/>
      <c r="D85" s="19"/>
      <c r="E85" s="19"/>
      <c r="G85" s="19"/>
      <c r="H85" s="19"/>
      <c r="I85" s="19"/>
      <c r="J85" s="41"/>
      <c r="K85" s="19"/>
      <c r="L85" s="19"/>
      <c r="M85" s="19"/>
      <c r="P85" s="19"/>
      <c r="Q85" s="19"/>
      <c r="R85" s="41"/>
      <c r="S85" s="19"/>
      <c r="T85" s="19"/>
      <c r="U85" s="19"/>
      <c r="V85" s="41"/>
      <c r="W85" s="19"/>
      <c r="X85" s="19"/>
    </row>
    <row r="86" spans="1:26" ht="15" customHeight="1" x14ac:dyDescent="0.3">
      <c r="A86" s="12"/>
      <c r="B86" s="50">
        <v>44767.799547766204</v>
      </c>
      <c r="D86" s="19"/>
      <c r="E86" s="19"/>
      <c r="G86" s="19"/>
      <c r="H86" s="19"/>
      <c r="I86" s="19"/>
      <c r="J86" s="41"/>
      <c r="K86" s="19"/>
      <c r="L86" s="19"/>
      <c r="M86" s="19"/>
      <c r="P86" s="19"/>
      <c r="Q86" s="19"/>
      <c r="R86" s="41"/>
      <c r="S86" s="19"/>
      <c r="T86" s="19"/>
      <c r="U86" s="19"/>
      <c r="V86" s="41"/>
      <c r="W86" s="19"/>
      <c r="X86" s="19"/>
    </row>
    <row r="87" spans="1:26" ht="15" customHeight="1" x14ac:dyDescent="0.3">
      <c r="A87" s="12"/>
      <c r="B87" s="57" t="s">
        <v>298</v>
      </c>
      <c r="D87" s="19"/>
      <c r="E87" s="19"/>
      <c r="G87" s="19"/>
      <c r="H87" s="19"/>
      <c r="I87" s="19"/>
      <c r="J87" s="41"/>
      <c r="K87" s="19"/>
      <c r="L87" s="19"/>
      <c r="M87" s="19"/>
      <c r="P87" s="19"/>
      <c r="Q87" s="19"/>
      <c r="R87" s="41"/>
      <c r="S87" s="19"/>
      <c r="T87" s="19"/>
      <c r="U87" s="19"/>
      <c r="V87" s="41"/>
      <c r="W87" s="19"/>
      <c r="X87" s="19"/>
    </row>
    <row r="88" spans="1:26" ht="15" customHeight="1" x14ac:dyDescent="0.3">
      <c r="A88" s="12"/>
      <c r="B88" s="51"/>
      <c r="D88" s="19"/>
      <c r="E88" s="19"/>
      <c r="G88" s="19"/>
      <c r="H88" s="19"/>
      <c r="I88" s="19"/>
      <c r="J88" s="41"/>
      <c r="K88" s="19"/>
      <c r="L88" s="19"/>
      <c r="M88" s="19"/>
      <c r="P88" s="19"/>
      <c r="Q88" s="19"/>
      <c r="R88" s="41"/>
      <c r="S88" s="19"/>
      <c r="T88" s="19"/>
      <c r="U88" s="19"/>
      <c r="V88" s="41"/>
      <c r="W88" s="19"/>
      <c r="X88" s="19"/>
    </row>
    <row r="89" spans="1:26" ht="15" customHeight="1" x14ac:dyDescent="0.3">
      <c r="D89" s="19"/>
      <c r="E89" s="19"/>
      <c r="G89" s="19"/>
      <c r="H89" s="19"/>
      <c r="I89" s="19"/>
      <c r="J89" s="41"/>
      <c r="K89" s="19"/>
      <c r="L89" s="19"/>
      <c r="M89" s="19"/>
      <c r="P89" s="19"/>
      <c r="Q89" s="19"/>
      <c r="R89" s="41"/>
      <c r="S89" s="19"/>
      <c r="T89" s="19"/>
      <c r="U89" s="19"/>
      <c r="V89" s="41"/>
      <c r="W89" s="19"/>
      <c r="X89" s="19"/>
    </row>
  </sheetData>
  <pageMargins left="0.25" right="0.25" top="0.75" bottom="0.75" header="0.3" footer="0.3"/>
  <pageSetup scale="55" orientation="landscape" r:id="rId1"/>
  <headerFooter>
    <oddHeader>&amp;RPre-Audit</oddHeader>
    <oddFooter>&amp;L&amp;C&amp;R</oddFooter>
    <evenHeader>&amp;L&amp;C&amp;R</evenHeader>
    <evenFooter>&amp;L&amp;C&amp;R</even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C148D5-AEFD-303A-2F67-2022E07FDA1D}">
  <sheetPr>
    <tabColor rgb="FF92D050"/>
    <outlinePr summaryBelow="0" summaryRight="0"/>
  </sheetPr>
  <dimension ref="A2:Z80"/>
  <sheetViews>
    <sheetView showGridLines="0" defaultGridColor="0" colorId="8" zoomScale="80" workbookViewId="0">
      <pane xSplit="3" ySplit="10" topLeftCell="D11" activePane="bottomRight" state="frozen"/>
      <selection activeCell="D78" sqref="D78"/>
      <selection pane="topRight" activeCell="D78" sqref="D78"/>
      <selection pane="bottomLeft" activeCell="D78" sqref="D78"/>
      <selection pane="bottomRight" activeCell="D78" sqref="D78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3" t="s">
        <v>276</v>
      </c>
    </row>
    <row r="3" spans="1:26" ht="15" customHeight="1" x14ac:dyDescent="0.3">
      <c r="D3" s="53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3" t="str">
        <f>CONCATENATE("Period ",RIGHT(202212,2),", ",2022)</f>
        <v>Period 12,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5"/>
      <c r="D5" s="60">
        <v>44742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5"/>
      <c r="B6" s="47"/>
      <c r="C6" s="47"/>
      <c r="D6" s="25" t="str">
        <f>CONCATENATE("Department ","204"," - ","Information Technology")</f>
        <v>Department 204 - Information Technology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4"/>
    </row>
    <row r="8" spans="1:26" ht="15" customHeight="1" x14ac:dyDescent="0.3">
      <c r="B8" s="54"/>
    </row>
    <row r="9" spans="1:26" ht="15" customHeight="1" x14ac:dyDescent="0.3">
      <c r="B9" s="12"/>
      <c r="C9" s="12"/>
      <c r="D9" s="16" t="s">
        <v>279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280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ht="15" customHeight="1" x14ac:dyDescent="0.3">
      <c r="A10" s="13"/>
      <c r="B10" s="52"/>
      <c r="C10" s="13"/>
      <c r="D10" s="40" t="s">
        <v>281</v>
      </c>
      <c r="E10" s="32"/>
      <c r="F10" s="39" t="s">
        <v>282</v>
      </c>
      <c r="G10" s="32"/>
      <c r="H10" s="45" t="s">
        <v>283</v>
      </c>
      <c r="I10" s="32"/>
      <c r="J10" s="42" t="s">
        <v>284</v>
      </c>
      <c r="K10" s="13"/>
      <c r="L10" s="40" t="s">
        <v>285</v>
      </c>
      <c r="M10" s="13"/>
      <c r="N10" s="39" t="s">
        <v>286</v>
      </c>
      <c r="O10" s="13"/>
      <c r="P10" s="55" t="s">
        <v>281</v>
      </c>
      <c r="Q10" s="32"/>
      <c r="R10" s="39" t="s">
        <v>282</v>
      </c>
      <c r="S10" s="32"/>
      <c r="T10" s="45" t="s">
        <v>283</v>
      </c>
      <c r="U10" s="32"/>
      <c r="V10" s="42" t="s">
        <v>284</v>
      </c>
      <c r="W10" s="13"/>
      <c r="X10" s="40" t="s">
        <v>285</v>
      </c>
      <c r="Y10" s="13"/>
      <c r="Z10" s="39" t="s">
        <v>286</v>
      </c>
    </row>
    <row r="11" spans="1:26" ht="16.5" customHeight="1" x14ac:dyDescent="0.3">
      <c r="A11" s="12"/>
      <c r="B11" s="58"/>
      <c r="C11" s="12"/>
      <c r="D11" s="12"/>
      <c r="E11" s="12"/>
      <c r="F11" s="10"/>
      <c r="G11" s="12"/>
      <c r="H11" s="12"/>
      <c r="I11" s="12"/>
      <c r="J11" s="43"/>
      <c r="K11" s="12"/>
      <c r="L11" s="12"/>
      <c r="M11" s="12"/>
      <c r="N11" s="10"/>
      <c r="P11" s="12"/>
      <c r="Q11" s="12"/>
      <c r="R11" s="10"/>
      <c r="S11" s="12"/>
      <c r="T11" s="12"/>
      <c r="U11" s="12"/>
      <c r="V11" s="43"/>
      <c r="W11" s="12"/>
      <c r="X11" s="12"/>
      <c r="Y11" s="12"/>
      <c r="Z11" s="10"/>
    </row>
    <row r="12" spans="1:26" s="63" customFormat="1" ht="15" customHeight="1" x14ac:dyDescent="0.3">
      <c r="A12" s="13"/>
      <c r="B12" s="28" t="s">
        <v>287</v>
      </c>
      <c r="C12" s="13"/>
      <c r="D12" s="8">
        <f>SUM(0)</f>
        <v>0</v>
      </c>
      <c r="E12" s="8"/>
      <c r="F12" s="14"/>
      <c r="G12" s="8"/>
      <c r="H12" s="8">
        <f>SUM(0)</f>
        <v>0</v>
      </c>
      <c r="I12" s="8"/>
      <c r="J12" s="14"/>
      <c r="K12" s="8"/>
      <c r="L12" s="8">
        <f>+D12-H12</f>
        <v>0</v>
      </c>
      <c r="M12" s="8"/>
      <c r="N12" s="14">
        <f>IF(H12=0,0,L12/H12)</f>
        <v>0</v>
      </c>
      <c r="O12" s="13"/>
      <c r="P12" s="8">
        <f>SUM(0)</f>
        <v>0</v>
      </c>
      <c r="Q12" s="8"/>
      <c r="R12" s="14"/>
      <c r="S12" s="8"/>
      <c r="T12" s="8">
        <f>SUM(0)</f>
        <v>0</v>
      </c>
      <c r="U12" s="8"/>
      <c r="V12" s="14"/>
      <c r="W12" s="8"/>
      <c r="X12" s="8">
        <f>+P12-T12</f>
        <v>0</v>
      </c>
      <c r="Y12" s="8"/>
      <c r="Z12" s="14">
        <f>IF(T12=0,0,X12/T12)</f>
        <v>0</v>
      </c>
    </row>
    <row r="13" spans="1:26" ht="15" customHeight="1" x14ac:dyDescent="0.3">
      <c r="A13" s="12"/>
      <c r="B13" s="13"/>
      <c r="C13" s="12"/>
      <c r="D13" s="4"/>
      <c r="E13" s="4"/>
      <c r="F13" s="10"/>
      <c r="G13" s="4"/>
      <c r="H13" s="4"/>
      <c r="I13" s="4"/>
      <c r="J13" s="10"/>
      <c r="K13" s="4"/>
      <c r="L13" s="4"/>
      <c r="M13" s="4"/>
      <c r="N13" s="10"/>
      <c r="P13" s="4"/>
      <c r="Q13" s="4"/>
      <c r="R13" s="10"/>
      <c r="S13" s="4"/>
      <c r="T13" s="4"/>
      <c r="U13" s="4"/>
      <c r="V13" s="10"/>
      <c r="W13" s="4"/>
      <c r="X13" s="4"/>
      <c r="Y13" s="4"/>
      <c r="Z13" s="10"/>
    </row>
    <row r="14" spans="1:26" s="63" customFormat="1" ht="15" customHeight="1" x14ac:dyDescent="0.3">
      <c r="A14" s="13"/>
      <c r="B14" s="28" t="s">
        <v>288</v>
      </c>
      <c r="C14" s="13"/>
      <c r="D14" s="8">
        <f>SUM(0)</f>
        <v>0</v>
      </c>
      <c r="E14" s="8"/>
      <c r="F14" s="14">
        <f>IF(D$12=0,0,D14/D$12)</f>
        <v>0</v>
      </c>
      <c r="G14" s="8"/>
      <c r="H14" s="8">
        <f>SUM(0)</f>
        <v>0</v>
      </c>
      <c r="I14" s="8"/>
      <c r="J14" s="14">
        <f>IF(H$12=0,0,H14/H$12)</f>
        <v>0</v>
      </c>
      <c r="K14" s="8"/>
      <c r="L14" s="8">
        <f>+D14-H14</f>
        <v>0</v>
      </c>
      <c r="M14" s="8"/>
      <c r="N14" s="14">
        <f>IF(H14=0,0,L14/H14)</f>
        <v>0</v>
      </c>
      <c r="O14" s="13"/>
      <c r="P14" s="8">
        <f>SUM(0)</f>
        <v>0</v>
      </c>
      <c r="Q14" s="8"/>
      <c r="R14" s="14">
        <f>IF(P$12=0,0,P14/P$12)</f>
        <v>0</v>
      </c>
      <c r="S14" s="8"/>
      <c r="T14" s="8">
        <f>SUM(0)</f>
        <v>0</v>
      </c>
      <c r="U14" s="8"/>
      <c r="V14" s="14">
        <f>IF(T$12=0,0,T14/T$12)</f>
        <v>0</v>
      </c>
      <c r="W14" s="8"/>
      <c r="X14" s="8">
        <f>+P14-T14</f>
        <v>0</v>
      </c>
      <c r="Y14" s="8"/>
      <c r="Z14" s="14">
        <f>IF(T14=0,0,X14/T14)</f>
        <v>0</v>
      </c>
    </row>
    <row r="15" spans="1:26" ht="15" customHeight="1" x14ac:dyDescent="0.3">
      <c r="A15" s="12"/>
      <c r="B15" s="13"/>
      <c r="C15" s="13"/>
      <c r="D15" s="4"/>
      <c r="E15" s="4"/>
      <c r="F15" s="10"/>
      <c r="G15" s="4"/>
      <c r="H15" s="4"/>
      <c r="I15" s="4"/>
      <c r="J15" s="10"/>
      <c r="K15" s="4"/>
      <c r="L15" s="4"/>
      <c r="M15" s="4"/>
      <c r="N15" s="10"/>
      <c r="O15" s="13"/>
      <c r="P15" s="4"/>
      <c r="Q15" s="4"/>
      <c r="R15" s="10"/>
      <c r="S15" s="4"/>
      <c r="T15" s="4"/>
      <c r="U15" s="4"/>
      <c r="V15" s="10"/>
      <c r="W15" s="4"/>
      <c r="X15" s="4"/>
      <c r="Y15" s="4"/>
      <c r="Z15" s="10"/>
    </row>
    <row r="16" spans="1:26" s="63" customFormat="1" ht="15" customHeight="1" x14ac:dyDescent="0.3">
      <c r="A16" s="13"/>
      <c r="B16" s="27" t="s">
        <v>289</v>
      </c>
      <c r="C16" s="27"/>
      <c r="D16" s="23">
        <f>D12-D14</f>
        <v>0</v>
      </c>
      <c r="E16" s="15"/>
      <c r="F16" s="22">
        <f>IF(D$12=0,0,D16/D$12)</f>
        <v>0</v>
      </c>
      <c r="G16" s="15"/>
      <c r="H16" s="23">
        <f>H12-H14</f>
        <v>0</v>
      </c>
      <c r="I16" s="15"/>
      <c r="J16" s="22">
        <f>IF(H$12=0,0,H16/H$12)</f>
        <v>0</v>
      </c>
      <c r="K16" s="17"/>
      <c r="L16" s="23">
        <f>+D16-H16</f>
        <v>0</v>
      </c>
      <c r="M16" s="17"/>
      <c r="N16" s="22">
        <f>IF(H16=0,0,L16/H16)</f>
        <v>0</v>
      </c>
      <c r="O16" s="28"/>
      <c r="P16" s="23">
        <f>P12-P14</f>
        <v>0</v>
      </c>
      <c r="Q16" s="15"/>
      <c r="R16" s="22">
        <f>IF(P$12=0,0,P16/P$12)</f>
        <v>0</v>
      </c>
      <c r="S16" s="15"/>
      <c r="T16" s="23">
        <f>T12-T14</f>
        <v>0</v>
      </c>
      <c r="U16" s="15"/>
      <c r="V16" s="22">
        <f>IF(T$12=0,0,T16/T$12)</f>
        <v>0</v>
      </c>
      <c r="W16" s="17"/>
      <c r="X16" s="23">
        <f>+P16-T16</f>
        <v>0</v>
      </c>
      <c r="Y16" s="17"/>
      <c r="Z16" s="22">
        <f>IF(T16=0,0,X16/T16)</f>
        <v>0</v>
      </c>
    </row>
    <row r="17" spans="1:26" ht="15" customHeight="1" x14ac:dyDescent="0.3">
      <c r="A17" s="12"/>
      <c r="B17" s="13"/>
      <c r="C17" s="12"/>
      <c r="D17" s="2"/>
      <c r="E17" s="2"/>
      <c r="F17" s="5"/>
      <c r="G17" s="2"/>
      <c r="H17" s="2"/>
      <c r="I17" s="2"/>
      <c r="J17" s="5"/>
      <c r="K17" s="2"/>
      <c r="L17" s="2"/>
      <c r="M17" s="2"/>
      <c r="N17" s="5"/>
      <c r="O17" s="36"/>
      <c r="P17" s="2"/>
      <c r="Q17" s="2"/>
      <c r="R17" s="5"/>
      <c r="S17" s="2"/>
      <c r="T17" s="2"/>
      <c r="U17" s="2"/>
      <c r="V17" s="5"/>
      <c r="W17" s="2"/>
      <c r="X17" s="2"/>
      <c r="Y17" s="2"/>
      <c r="Z17" s="5"/>
    </row>
    <row r="18" spans="1:26" s="63" customFormat="1" ht="15" customHeight="1" x14ac:dyDescent="0.3">
      <c r="A18" s="13"/>
      <c r="B18" s="28" t="s">
        <v>290</v>
      </c>
      <c r="C18" s="13"/>
      <c r="D18" s="24" cm="1">
        <f t="array" ref="D18">SUM(OSRRefD22x_0)</f>
        <v>37710.15</v>
      </c>
      <c r="E18" s="24"/>
      <c r="F18" s="34">
        <f t="shared" ref="F18:F64" si="0">IF(D$12=0,0,D18/D$12)</f>
        <v>0</v>
      </c>
      <c r="G18" s="24"/>
      <c r="H18" s="24" cm="1">
        <f t="array" ref="H18">SUM(OSRRefH22x_0)</f>
        <v>45828.666047384599</v>
      </c>
      <c r="I18" s="24"/>
      <c r="J18" s="34">
        <f t="shared" ref="J18:J64" si="1">IF(H$12=0,0,H18/H$12)</f>
        <v>0</v>
      </c>
      <c r="K18" s="8"/>
      <c r="L18" s="24">
        <f t="shared" ref="L18:L64" si="2">+D18-H18</f>
        <v>-8118.5160473845972</v>
      </c>
      <c r="M18" s="8"/>
      <c r="N18" s="34">
        <f t="shared" ref="N18:N64" si="3">IF(H18=0,0,L18/H18)</f>
        <v>-0.17714929862873269</v>
      </c>
      <c r="O18" s="13"/>
      <c r="P18" s="24" cm="1">
        <f t="array" ref="P18">SUM(OSRRefP22x_0)</f>
        <v>535601.5199999999</v>
      </c>
      <c r="Q18" s="24"/>
      <c r="R18" s="34">
        <f t="shared" ref="R18:R64" si="4">IF(P$12=0,0,P18/P$12)</f>
        <v>0</v>
      </c>
      <c r="S18" s="24"/>
      <c r="T18" s="24" cm="1">
        <f t="array" ref="T18">SUM(OSRRefT22x_0)</f>
        <v>599704.65861600009</v>
      </c>
      <c r="U18" s="24"/>
      <c r="V18" s="34">
        <f t="shared" ref="V18:V64" si="5">IF(T$12=0,0,T18/T$12)</f>
        <v>0</v>
      </c>
      <c r="W18" s="8"/>
      <c r="X18" s="24">
        <f t="shared" ref="X18:X64" si="6">+P18-T18</f>
        <v>-64103.138616000186</v>
      </c>
      <c r="Y18" s="8"/>
      <c r="Z18" s="34">
        <f t="shared" ref="Z18:Z64" si="7">IF(T18=0,0,X18/T18)</f>
        <v>-0.10689118000840209</v>
      </c>
    </row>
    <row r="19" spans="1:26" s="69" customFormat="1" ht="15" customHeight="1" outlineLevel="1" collapsed="1" x14ac:dyDescent="0.3">
      <c r="A19" s="20"/>
      <c r="B19" s="11" t="str">
        <f>CONCATENATE("     ","*Benefits                                         ")</f>
        <v xml:space="preserve">     *Benefits                                         </v>
      </c>
      <c r="C19" s="11"/>
      <c r="D19" s="2">
        <f>SUM(OSRRefD22_0x_0)</f>
        <v>9655.1299999999992</v>
      </c>
      <c r="E19" s="2"/>
      <c r="F19" s="5">
        <f t="shared" si="0"/>
        <v>0</v>
      </c>
      <c r="G19" s="2"/>
      <c r="H19" s="2">
        <f>SUM(OSRRefH22_0x_0)</f>
        <v>11122.496816615394</v>
      </c>
      <c r="I19" s="2"/>
      <c r="J19" s="5">
        <f t="shared" si="1"/>
        <v>0</v>
      </c>
      <c r="K19" s="2"/>
      <c r="L19" s="2">
        <f t="shared" si="2"/>
        <v>-1467.3668166153948</v>
      </c>
      <c r="M19" s="2"/>
      <c r="N19" s="5">
        <f t="shared" si="3"/>
        <v>-0.13192782527241204</v>
      </c>
      <c r="O19" s="11"/>
      <c r="P19" s="2">
        <f>SUM(OSRRefP22_0x_0)</f>
        <v>136081.47000000003</v>
      </c>
      <c r="Q19" s="2"/>
      <c r="R19" s="5">
        <f t="shared" si="4"/>
        <v>0</v>
      </c>
      <c r="S19" s="2"/>
      <c r="T19" s="2">
        <f>SUM(OSRRefT22_0x_0)</f>
        <v>138956.45861599999</v>
      </c>
      <c r="U19" s="2"/>
      <c r="V19" s="5">
        <f t="shared" si="5"/>
        <v>0</v>
      </c>
      <c r="W19" s="2"/>
      <c r="X19" s="2">
        <f t="shared" si="6"/>
        <v>-2874.9886159999587</v>
      </c>
      <c r="Y19" s="2"/>
      <c r="Z19" s="5">
        <f t="shared" si="7"/>
        <v>-2.0689852379908891E-2</v>
      </c>
    </row>
    <row r="20" spans="1:26" s="70" customFormat="1" ht="15" hidden="1" customHeight="1" outlineLevel="2" x14ac:dyDescent="0.3">
      <c r="A20" s="21"/>
      <c r="B20" s="9" t="str">
        <f>CONCATENATE("          ","6111"," - ","F.I.C.A.")</f>
        <v xml:space="preserve">          6111 - F.I.C.A.</v>
      </c>
      <c r="C20" s="9"/>
      <c r="D20" s="6">
        <v>1455.92</v>
      </c>
      <c r="E20" s="3"/>
      <c r="F20" s="7">
        <f t="shared" si="0"/>
        <v>0</v>
      </c>
      <c r="G20" s="3"/>
      <c r="H20" s="6">
        <v>1810.8128289230799</v>
      </c>
      <c r="I20" s="3"/>
      <c r="J20" s="7">
        <f t="shared" si="1"/>
        <v>0</v>
      </c>
      <c r="K20" s="3"/>
      <c r="L20" s="6">
        <f t="shared" si="2"/>
        <v>-354.89282892307983</v>
      </c>
      <c r="M20" s="3"/>
      <c r="N20" s="7">
        <f t="shared" si="3"/>
        <v>-0.19598537367008848</v>
      </c>
      <c r="O20" s="9"/>
      <c r="P20" s="6">
        <v>18918.580000000002</v>
      </c>
      <c r="Q20" s="3"/>
      <c r="R20" s="7">
        <f t="shared" si="4"/>
        <v>0</v>
      </c>
      <c r="S20" s="3"/>
      <c r="T20" s="6">
        <v>23540.566776</v>
      </c>
      <c r="U20" s="3"/>
      <c r="V20" s="7">
        <f t="shared" si="5"/>
        <v>0</v>
      </c>
      <c r="W20" s="3"/>
      <c r="X20" s="6">
        <f t="shared" si="6"/>
        <v>-4621.9867759999979</v>
      </c>
      <c r="Y20" s="3"/>
      <c r="Z20" s="7">
        <f t="shared" si="7"/>
        <v>-0.19634135490366317</v>
      </c>
    </row>
    <row r="21" spans="1:26" s="70" customFormat="1" ht="15" hidden="1" customHeight="1" outlineLevel="2" x14ac:dyDescent="0.3">
      <c r="A21" s="21"/>
      <c r="B21" s="9" t="str">
        <f>CONCATENATE("          ","6112"," - ","COMPENSATION INSURANCE")</f>
        <v xml:space="preserve">          6112 - COMPENSATION INSURANCE</v>
      </c>
      <c r="C21" s="9"/>
      <c r="D21" s="6">
        <v>-589.86</v>
      </c>
      <c r="E21" s="3"/>
      <c r="F21" s="7">
        <f t="shared" si="0"/>
        <v>0</v>
      </c>
      <c r="G21" s="3"/>
      <c r="H21" s="6">
        <v>73.350578461538504</v>
      </c>
      <c r="I21" s="3"/>
      <c r="J21" s="7">
        <f t="shared" si="1"/>
        <v>0</v>
      </c>
      <c r="K21" s="3"/>
      <c r="L21" s="6">
        <f t="shared" si="2"/>
        <v>-663.21057846153849</v>
      </c>
      <c r="M21" s="3"/>
      <c r="N21" s="7">
        <f t="shared" si="3"/>
        <v>-9.0416543723550049</v>
      </c>
      <c r="O21" s="9"/>
      <c r="P21" s="6">
        <v>2347.6</v>
      </c>
      <c r="Q21" s="3"/>
      <c r="R21" s="7">
        <f t="shared" si="4"/>
        <v>0</v>
      </c>
      <c r="S21" s="3"/>
      <c r="T21" s="6">
        <v>953.55751999999995</v>
      </c>
      <c r="U21" s="3"/>
      <c r="V21" s="7">
        <f t="shared" si="5"/>
        <v>0</v>
      </c>
      <c r="W21" s="3"/>
      <c r="X21" s="6">
        <f t="shared" si="6"/>
        <v>1394.0424800000001</v>
      </c>
      <c r="Y21" s="3"/>
      <c r="Z21" s="7">
        <f t="shared" si="7"/>
        <v>1.4619385309865736</v>
      </c>
    </row>
    <row r="22" spans="1:26" s="70" customFormat="1" ht="15" hidden="1" customHeight="1" outlineLevel="2" x14ac:dyDescent="0.3">
      <c r="A22" s="21"/>
      <c r="B22" s="9" t="str">
        <f>CONCATENATE("          ","6113"," - ","GROUP INSURANCE")</f>
        <v xml:space="preserve">          6113 - GROUP INSURANCE</v>
      </c>
      <c r="C22" s="9"/>
      <c r="D22" s="6">
        <v>4446.67</v>
      </c>
      <c r="E22" s="3"/>
      <c r="F22" s="7">
        <f t="shared" si="0"/>
        <v>0</v>
      </c>
      <c r="G22" s="3"/>
      <c r="H22" s="6">
        <v>5336</v>
      </c>
      <c r="I22" s="3"/>
      <c r="J22" s="7">
        <f t="shared" si="1"/>
        <v>0</v>
      </c>
      <c r="K22" s="3"/>
      <c r="L22" s="6">
        <f t="shared" si="2"/>
        <v>-889.32999999999993</v>
      </c>
      <c r="M22" s="3"/>
      <c r="N22" s="7">
        <f t="shared" si="3"/>
        <v>-0.16666604197901047</v>
      </c>
      <c r="O22" s="9"/>
      <c r="P22" s="6">
        <v>55713.39</v>
      </c>
      <c r="Q22" s="3"/>
      <c r="R22" s="7">
        <f t="shared" si="4"/>
        <v>0</v>
      </c>
      <c r="S22" s="3"/>
      <c r="T22" s="6">
        <v>64032</v>
      </c>
      <c r="U22" s="3"/>
      <c r="V22" s="7">
        <f t="shared" si="5"/>
        <v>0</v>
      </c>
      <c r="W22" s="3"/>
      <c r="X22" s="6">
        <f t="shared" si="6"/>
        <v>-8318.61</v>
      </c>
      <c r="Y22" s="3"/>
      <c r="Z22" s="7">
        <f t="shared" si="7"/>
        <v>-0.12991332458770616</v>
      </c>
    </row>
    <row r="23" spans="1:26" s="70" customFormat="1" ht="15" hidden="1" customHeight="1" outlineLevel="2" x14ac:dyDescent="0.3">
      <c r="A23" s="21"/>
      <c r="B23" s="9" t="str">
        <f>CONCATENATE("          ","6114"," - ","STATE UNEMPLOYMENT INSURANCE")</f>
        <v xml:space="preserve">          6114 - STATE UNEMPLOYMENT INSURANCE</v>
      </c>
      <c r="C23" s="9"/>
      <c r="D23" s="6"/>
      <c r="E23" s="3"/>
      <c r="F23" s="7">
        <f t="shared" si="0"/>
        <v>0</v>
      </c>
      <c r="G23" s="3"/>
      <c r="H23" s="6">
        <v>49.6891015384615</v>
      </c>
      <c r="I23" s="3"/>
      <c r="J23" s="7">
        <f t="shared" si="1"/>
        <v>0</v>
      </c>
      <c r="K23" s="3"/>
      <c r="L23" s="6">
        <f t="shared" si="2"/>
        <v>-49.6891015384615</v>
      </c>
      <c r="M23" s="3"/>
      <c r="N23" s="7">
        <f t="shared" si="3"/>
        <v>-1</v>
      </c>
      <c r="O23" s="9"/>
      <c r="P23" s="6">
        <v>592.04999999999995</v>
      </c>
      <c r="Q23" s="3"/>
      <c r="R23" s="7">
        <f t="shared" si="4"/>
        <v>0</v>
      </c>
      <c r="S23" s="3"/>
      <c r="T23" s="6">
        <v>645.95831999999996</v>
      </c>
      <c r="U23" s="3"/>
      <c r="V23" s="7">
        <f t="shared" si="5"/>
        <v>0</v>
      </c>
      <c r="W23" s="3"/>
      <c r="X23" s="6">
        <f t="shared" si="6"/>
        <v>-53.908320000000003</v>
      </c>
      <c r="Y23" s="3"/>
      <c r="Z23" s="7">
        <f t="shared" si="7"/>
        <v>-8.3454796278496737E-2</v>
      </c>
    </row>
    <row r="24" spans="1:26" s="70" customFormat="1" ht="15" hidden="1" customHeight="1" outlineLevel="2" x14ac:dyDescent="0.3">
      <c r="A24" s="21"/>
      <c r="B24" s="9" t="str">
        <f>CONCATENATE("          ","6115"," - ","P.E.R.S.")</f>
        <v xml:space="preserve">          6115 - P.E.R.S.</v>
      </c>
      <c r="C24" s="9"/>
      <c r="D24" s="6">
        <v>1602.72</v>
      </c>
      <c r="E24" s="3"/>
      <c r="F24" s="7">
        <f t="shared" si="0"/>
        <v>0</v>
      </c>
      <c r="G24" s="3"/>
      <c r="H24" s="6">
        <v>1567.18461538462</v>
      </c>
      <c r="I24" s="3"/>
      <c r="J24" s="7">
        <f t="shared" si="1"/>
        <v>0</v>
      </c>
      <c r="K24" s="3"/>
      <c r="L24" s="6">
        <f t="shared" si="2"/>
        <v>35.535384615380053</v>
      </c>
      <c r="M24" s="3"/>
      <c r="N24" s="7">
        <f t="shared" si="3"/>
        <v>2.2674664022693282E-2</v>
      </c>
      <c r="O24" s="9"/>
      <c r="P24" s="6">
        <v>23562.21</v>
      </c>
      <c r="Q24" s="3"/>
      <c r="R24" s="7">
        <f t="shared" si="4"/>
        <v>0</v>
      </c>
      <c r="S24" s="3"/>
      <c r="T24" s="6">
        <v>20373.400000000001</v>
      </c>
      <c r="U24" s="3"/>
      <c r="V24" s="7">
        <f t="shared" si="5"/>
        <v>0</v>
      </c>
      <c r="W24" s="3"/>
      <c r="X24" s="6">
        <f t="shared" si="6"/>
        <v>3188.8099999999977</v>
      </c>
      <c r="Y24" s="3"/>
      <c r="Z24" s="7">
        <f t="shared" si="7"/>
        <v>0.15651830327780328</v>
      </c>
    </row>
    <row r="25" spans="1:26" s="70" customFormat="1" ht="15" hidden="1" customHeight="1" outlineLevel="2" x14ac:dyDescent="0.3">
      <c r="A25" s="21"/>
      <c r="B25" s="9" t="str">
        <f>CONCATENATE("          ","6116"," - ","EDUCATIONAL BENEFITS")</f>
        <v xml:space="preserve">          6116 - EDUCATIONAL BENEFITS</v>
      </c>
      <c r="C25" s="9"/>
      <c r="D25" s="6"/>
      <c r="E25" s="3"/>
      <c r="F25" s="7">
        <f t="shared" si="0"/>
        <v>0</v>
      </c>
      <c r="G25" s="3"/>
      <c r="H25" s="6">
        <v>0</v>
      </c>
      <c r="I25" s="3"/>
      <c r="J25" s="7">
        <f t="shared" si="1"/>
        <v>0</v>
      </c>
      <c r="K25" s="3"/>
      <c r="L25" s="6">
        <f t="shared" si="2"/>
        <v>0</v>
      </c>
      <c r="M25" s="3"/>
      <c r="N25" s="7">
        <f t="shared" si="3"/>
        <v>0</v>
      </c>
      <c r="O25" s="9"/>
      <c r="P25" s="6"/>
      <c r="Q25" s="3"/>
      <c r="R25" s="7">
        <f t="shared" si="4"/>
        <v>0</v>
      </c>
      <c r="S25" s="3"/>
      <c r="T25" s="6">
        <v>0</v>
      </c>
      <c r="U25" s="3"/>
      <c r="V25" s="7">
        <f t="shared" si="5"/>
        <v>0</v>
      </c>
      <c r="W25" s="3"/>
      <c r="X25" s="6">
        <f t="shared" si="6"/>
        <v>0</v>
      </c>
      <c r="Y25" s="3"/>
      <c r="Z25" s="7">
        <f t="shared" si="7"/>
        <v>0</v>
      </c>
    </row>
    <row r="26" spans="1:26" s="70" customFormat="1" ht="15" hidden="1" customHeight="1" outlineLevel="2" x14ac:dyDescent="0.3">
      <c r="A26" s="21"/>
      <c r="B26" s="9" t="str">
        <f>CONCATENATE("          ","6117"," - ","RETIREMENT STAFF HOURLY")</f>
        <v xml:space="preserve">          6117 - RETIREMENT STAFF HOURLY</v>
      </c>
      <c r="C26" s="9"/>
      <c r="D26" s="6"/>
      <c r="E26" s="3"/>
      <c r="F26" s="7">
        <f t="shared" si="0"/>
        <v>0</v>
      </c>
      <c r="G26" s="3"/>
      <c r="H26" s="6"/>
      <c r="I26" s="3"/>
      <c r="J26" s="7">
        <f t="shared" si="1"/>
        <v>0</v>
      </c>
      <c r="K26" s="3"/>
      <c r="L26" s="6">
        <f t="shared" si="2"/>
        <v>0</v>
      </c>
      <c r="M26" s="3"/>
      <c r="N26" s="7">
        <f t="shared" si="3"/>
        <v>0</v>
      </c>
      <c r="O26" s="9"/>
      <c r="P26" s="6">
        <v>93.23</v>
      </c>
      <c r="Q26" s="3"/>
      <c r="R26" s="7">
        <f t="shared" si="4"/>
        <v>0</v>
      </c>
      <c r="S26" s="3"/>
      <c r="T26" s="6"/>
      <c r="U26" s="3"/>
      <c r="V26" s="7">
        <f t="shared" si="5"/>
        <v>0</v>
      </c>
      <c r="W26" s="3"/>
      <c r="X26" s="6">
        <f t="shared" si="6"/>
        <v>93.23</v>
      </c>
      <c r="Y26" s="3"/>
      <c r="Z26" s="7">
        <f t="shared" si="7"/>
        <v>0</v>
      </c>
    </row>
    <row r="27" spans="1:26" s="70" customFormat="1" ht="15" hidden="1" customHeight="1" outlineLevel="2" x14ac:dyDescent="0.3">
      <c r="A27" s="21"/>
      <c r="B27" s="9" t="str">
        <f>CONCATENATE("          ","6118"," - ","VACATION")</f>
        <v xml:space="preserve">          6118 - VACATION</v>
      </c>
      <c r="C27" s="9"/>
      <c r="D27" s="6">
        <v>1493.96</v>
      </c>
      <c r="E27" s="3"/>
      <c r="F27" s="7">
        <f t="shared" si="0"/>
        <v>0</v>
      </c>
      <c r="G27" s="3"/>
      <c r="H27" s="6">
        <v>911.15384615384596</v>
      </c>
      <c r="I27" s="3"/>
      <c r="J27" s="7">
        <f t="shared" si="1"/>
        <v>0</v>
      </c>
      <c r="K27" s="3"/>
      <c r="L27" s="6">
        <f t="shared" si="2"/>
        <v>582.80615384615407</v>
      </c>
      <c r="M27" s="3"/>
      <c r="N27" s="7">
        <f t="shared" si="3"/>
        <v>0.63963528915154111</v>
      </c>
      <c r="O27" s="9"/>
      <c r="P27" s="6">
        <v>19423.13</v>
      </c>
      <c r="Q27" s="3"/>
      <c r="R27" s="7">
        <f t="shared" si="4"/>
        <v>0</v>
      </c>
      <c r="S27" s="3"/>
      <c r="T27" s="6">
        <v>11845</v>
      </c>
      <c r="U27" s="3"/>
      <c r="V27" s="7">
        <f t="shared" si="5"/>
        <v>0</v>
      </c>
      <c r="W27" s="3"/>
      <c r="X27" s="6">
        <f t="shared" si="6"/>
        <v>7578.130000000001</v>
      </c>
      <c r="Y27" s="3"/>
      <c r="Z27" s="7">
        <f t="shared" si="7"/>
        <v>0.63977458843393842</v>
      </c>
    </row>
    <row r="28" spans="1:26" s="70" customFormat="1" ht="15" hidden="1" customHeight="1" outlineLevel="2" x14ac:dyDescent="0.3">
      <c r="A28" s="21"/>
      <c r="B28" s="9" t="str">
        <f>CONCATENATE("          ","6119"," - ","SICK LEAVE")</f>
        <v xml:space="preserve">          6119 - SICK LEAVE</v>
      </c>
      <c r="C28" s="9"/>
      <c r="D28" s="6">
        <v>877.84</v>
      </c>
      <c r="E28" s="3"/>
      <c r="F28" s="7">
        <f t="shared" si="0"/>
        <v>0</v>
      </c>
      <c r="G28" s="3"/>
      <c r="H28" s="6">
        <v>1074.3058461538501</v>
      </c>
      <c r="I28" s="3"/>
      <c r="J28" s="7">
        <f t="shared" si="1"/>
        <v>0</v>
      </c>
      <c r="K28" s="3"/>
      <c r="L28" s="6">
        <f t="shared" si="2"/>
        <v>-196.46584615385007</v>
      </c>
      <c r="M28" s="3"/>
      <c r="N28" s="7">
        <f t="shared" si="3"/>
        <v>-0.18287701482517524</v>
      </c>
      <c r="O28" s="9"/>
      <c r="P28" s="6">
        <v>12155.27</v>
      </c>
      <c r="Q28" s="3"/>
      <c r="R28" s="7">
        <f t="shared" si="4"/>
        <v>0</v>
      </c>
      <c r="S28" s="3"/>
      <c r="T28" s="6">
        <v>13965.976000000001</v>
      </c>
      <c r="U28" s="3"/>
      <c r="V28" s="7">
        <f t="shared" si="5"/>
        <v>0</v>
      </c>
      <c r="W28" s="3"/>
      <c r="X28" s="6">
        <f t="shared" si="6"/>
        <v>-1810.7060000000001</v>
      </c>
      <c r="Y28" s="3"/>
      <c r="Z28" s="7">
        <f t="shared" si="7"/>
        <v>-0.12965123239507215</v>
      </c>
    </row>
    <row r="29" spans="1:26" s="70" customFormat="1" ht="15" hidden="1" customHeight="1" outlineLevel="2" x14ac:dyDescent="0.3">
      <c r="A29" s="21"/>
      <c r="B29" s="9" t="str">
        <f>CONCATENATE("          ","6156"," - ","EMPLOYEE MEALS")</f>
        <v xml:space="preserve">          6156 - EMPLOYEE MEALS</v>
      </c>
      <c r="C29" s="9"/>
      <c r="D29" s="6">
        <v>367.88</v>
      </c>
      <c r="E29" s="3"/>
      <c r="F29" s="7">
        <f t="shared" si="0"/>
        <v>0</v>
      </c>
      <c r="G29" s="3"/>
      <c r="H29" s="6">
        <v>300</v>
      </c>
      <c r="I29" s="3"/>
      <c r="J29" s="7">
        <f t="shared" si="1"/>
        <v>0</v>
      </c>
      <c r="K29" s="3"/>
      <c r="L29" s="6">
        <f t="shared" si="2"/>
        <v>67.88</v>
      </c>
      <c r="M29" s="3"/>
      <c r="N29" s="7">
        <f t="shared" si="3"/>
        <v>0.22626666666666664</v>
      </c>
      <c r="O29" s="9"/>
      <c r="P29" s="6">
        <v>3276.01</v>
      </c>
      <c r="Q29" s="3"/>
      <c r="R29" s="7">
        <f t="shared" si="4"/>
        <v>0</v>
      </c>
      <c r="S29" s="3"/>
      <c r="T29" s="6">
        <v>3600</v>
      </c>
      <c r="U29" s="3"/>
      <c r="V29" s="7">
        <f t="shared" si="5"/>
        <v>0</v>
      </c>
      <c r="W29" s="3"/>
      <c r="X29" s="6">
        <f t="shared" si="6"/>
        <v>-323.98999999999978</v>
      </c>
      <c r="Y29" s="3"/>
      <c r="Z29" s="7">
        <f t="shared" si="7"/>
        <v>-8.9997222222222159E-2</v>
      </c>
    </row>
    <row r="30" spans="1:26" s="69" customFormat="1" ht="15" customHeight="1" outlineLevel="1" collapsed="1" x14ac:dyDescent="0.3">
      <c r="A30" s="20"/>
      <c r="B30" s="11" t="str">
        <f>CONCATENATE("     ","*Payroll                                          ")</f>
        <v xml:space="preserve">     *Payroll                                          </v>
      </c>
      <c r="C30" s="11"/>
      <c r="D30" s="2">
        <f>SUM(OSRRefD22_1x_0)</f>
        <v>16424.93</v>
      </c>
      <c r="E30" s="2"/>
      <c r="F30" s="5">
        <f t="shared" si="0"/>
        <v>0</v>
      </c>
      <c r="G30" s="2"/>
      <c r="H30" s="2">
        <f>SUM(OSRRefH22_1x_0)</f>
        <v>21839.169230769199</v>
      </c>
      <c r="I30" s="2"/>
      <c r="J30" s="5">
        <f t="shared" si="1"/>
        <v>0</v>
      </c>
      <c r="K30" s="2"/>
      <c r="L30" s="2">
        <f t="shared" si="2"/>
        <v>-5414.2392307691989</v>
      </c>
      <c r="M30" s="2"/>
      <c r="N30" s="5">
        <f t="shared" si="3"/>
        <v>-0.24791415706148193</v>
      </c>
      <c r="O30" s="11"/>
      <c r="P30" s="2">
        <f>SUM(OSRRefP22_1x_0)</f>
        <v>222925.17</v>
      </c>
      <c r="Q30" s="2"/>
      <c r="R30" s="5">
        <f t="shared" si="4"/>
        <v>0</v>
      </c>
      <c r="S30" s="2"/>
      <c r="T30" s="2">
        <f>SUM(OSRRefT22_1x_0)</f>
        <v>283909.2</v>
      </c>
      <c r="U30" s="2"/>
      <c r="V30" s="5">
        <f t="shared" si="5"/>
        <v>0</v>
      </c>
      <c r="W30" s="2"/>
      <c r="X30" s="2">
        <f t="shared" si="6"/>
        <v>-60984.03</v>
      </c>
      <c r="Y30" s="2"/>
      <c r="Z30" s="5">
        <f t="shared" si="7"/>
        <v>-0.21480117586890454</v>
      </c>
    </row>
    <row r="31" spans="1:26" s="70" customFormat="1" ht="15" hidden="1" customHeight="1" outlineLevel="2" x14ac:dyDescent="0.3">
      <c r="A31" s="21"/>
      <c r="B31" s="9" t="str">
        <f>CONCATENATE("          ","6001"," - ","ADMINISTRATIVE SALARIES")</f>
        <v xml:space="preserve">          6001 - ADMINISTRATIVE SALARIES</v>
      </c>
      <c r="C31" s="9"/>
      <c r="D31" s="6"/>
      <c r="E31" s="3"/>
      <c r="F31" s="7">
        <f t="shared" si="0"/>
        <v>0</v>
      </c>
      <c r="G31" s="3"/>
      <c r="H31" s="6">
        <v>0</v>
      </c>
      <c r="I31" s="3"/>
      <c r="J31" s="7">
        <f t="shared" si="1"/>
        <v>0</v>
      </c>
      <c r="K31" s="3"/>
      <c r="L31" s="6">
        <f t="shared" si="2"/>
        <v>0</v>
      </c>
      <c r="M31" s="3"/>
      <c r="N31" s="7">
        <f t="shared" si="3"/>
        <v>0</v>
      </c>
      <c r="O31" s="9"/>
      <c r="P31" s="6"/>
      <c r="Q31" s="3"/>
      <c r="R31" s="7">
        <f t="shared" si="4"/>
        <v>0</v>
      </c>
      <c r="S31" s="3"/>
      <c r="T31" s="6">
        <v>0</v>
      </c>
      <c r="U31" s="3"/>
      <c r="V31" s="7">
        <f t="shared" si="5"/>
        <v>0</v>
      </c>
      <c r="W31" s="3"/>
      <c r="X31" s="6">
        <f t="shared" si="6"/>
        <v>0</v>
      </c>
      <c r="Y31" s="3"/>
      <c r="Z31" s="7">
        <f t="shared" si="7"/>
        <v>0</v>
      </c>
    </row>
    <row r="32" spans="1:26" s="70" customFormat="1" ht="15" hidden="1" customHeight="1" outlineLevel="2" x14ac:dyDescent="0.3">
      <c r="A32" s="21"/>
      <c r="B32" s="9" t="str">
        <f>CONCATENATE("          ","6002"," - ","STAFF SALARIES")</f>
        <v xml:space="preserve">          6002 - STAFF SALARIES</v>
      </c>
      <c r="C32" s="9"/>
      <c r="D32" s="6">
        <v>16424.93</v>
      </c>
      <c r="E32" s="3"/>
      <c r="F32" s="7">
        <f t="shared" si="0"/>
        <v>0</v>
      </c>
      <c r="G32" s="3"/>
      <c r="H32" s="6">
        <v>16400.769230769201</v>
      </c>
      <c r="I32" s="3"/>
      <c r="J32" s="7">
        <f t="shared" si="1"/>
        <v>0</v>
      </c>
      <c r="K32" s="3"/>
      <c r="L32" s="6">
        <f t="shared" si="2"/>
        <v>24.160769230798905</v>
      </c>
      <c r="M32" s="3"/>
      <c r="N32" s="7">
        <f t="shared" si="3"/>
        <v>1.4731485390009208E-3</v>
      </c>
      <c r="O32" s="9"/>
      <c r="P32" s="6">
        <v>222925.17</v>
      </c>
      <c r="Q32" s="3"/>
      <c r="R32" s="7">
        <f t="shared" si="4"/>
        <v>0</v>
      </c>
      <c r="S32" s="3"/>
      <c r="T32" s="6">
        <v>213210</v>
      </c>
      <c r="U32" s="3"/>
      <c r="V32" s="7">
        <f t="shared" si="5"/>
        <v>0</v>
      </c>
      <c r="W32" s="3"/>
      <c r="X32" s="6">
        <f t="shared" si="6"/>
        <v>9715.1700000000128</v>
      </c>
      <c r="Y32" s="3"/>
      <c r="Z32" s="7">
        <f t="shared" si="7"/>
        <v>4.5566202335725399E-2</v>
      </c>
    </row>
    <row r="33" spans="1:26" s="70" customFormat="1" ht="15" hidden="1" customHeight="1" outlineLevel="2" x14ac:dyDescent="0.3">
      <c r="A33" s="21"/>
      <c r="B33" s="9" t="str">
        <f>CONCATENATE("          ","6003"," - ","STAFF HOURLY-9 MONTH")</f>
        <v xml:space="preserve">          6003 - STAFF HOURLY-9 MONTH</v>
      </c>
      <c r="C33" s="9"/>
      <c r="D33" s="6"/>
      <c r="E33" s="3"/>
      <c r="F33" s="7">
        <f t="shared" si="0"/>
        <v>0</v>
      </c>
      <c r="G33" s="3"/>
      <c r="H33" s="6">
        <v>0</v>
      </c>
      <c r="I33" s="3"/>
      <c r="J33" s="7">
        <f t="shared" si="1"/>
        <v>0</v>
      </c>
      <c r="K33" s="3"/>
      <c r="L33" s="6">
        <f t="shared" si="2"/>
        <v>0</v>
      </c>
      <c r="M33" s="3"/>
      <c r="N33" s="7">
        <f t="shared" si="3"/>
        <v>0</v>
      </c>
      <c r="O33" s="9"/>
      <c r="P33" s="6"/>
      <c r="Q33" s="3"/>
      <c r="R33" s="7">
        <f t="shared" si="4"/>
        <v>0</v>
      </c>
      <c r="S33" s="3"/>
      <c r="T33" s="6">
        <v>0</v>
      </c>
      <c r="U33" s="3"/>
      <c r="V33" s="7">
        <f t="shared" si="5"/>
        <v>0</v>
      </c>
      <c r="W33" s="3"/>
      <c r="X33" s="6">
        <f t="shared" si="6"/>
        <v>0</v>
      </c>
      <c r="Y33" s="3"/>
      <c r="Z33" s="7">
        <f t="shared" si="7"/>
        <v>0</v>
      </c>
    </row>
    <row r="34" spans="1:26" s="70" customFormat="1" ht="15" hidden="1" customHeight="1" outlineLevel="2" x14ac:dyDescent="0.3">
      <c r="A34" s="21"/>
      <c r="B34" s="9" t="str">
        <f>CONCATENATE("          ","6004"," - ","STAFF HOURLY")</f>
        <v xml:space="preserve">          6004 - STAFF HOURLY</v>
      </c>
      <c r="C34" s="9"/>
      <c r="D34" s="6"/>
      <c r="E34" s="3"/>
      <c r="F34" s="7">
        <f t="shared" si="0"/>
        <v>0</v>
      </c>
      <c r="G34" s="3"/>
      <c r="H34" s="6">
        <v>5438.4</v>
      </c>
      <c r="I34" s="3"/>
      <c r="J34" s="7">
        <f t="shared" si="1"/>
        <v>0</v>
      </c>
      <c r="K34" s="3"/>
      <c r="L34" s="6">
        <f t="shared" si="2"/>
        <v>-5438.4</v>
      </c>
      <c r="M34" s="3"/>
      <c r="N34" s="7">
        <f t="shared" si="3"/>
        <v>-1</v>
      </c>
      <c r="O34" s="9"/>
      <c r="P34" s="6"/>
      <c r="Q34" s="3"/>
      <c r="R34" s="7">
        <f t="shared" si="4"/>
        <v>0</v>
      </c>
      <c r="S34" s="3"/>
      <c r="T34" s="6">
        <v>70699.199999999997</v>
      </c>
      <c r="U34" s="3"/>
      <c r="V34" s="7">
        <f t="shared" si="5"/>
        <v>0</v>
      </c>
      <c r="W34" s="3"/>
      <c r="X34" s="6">
        <f t="shared" si="6"/>
        <v>-70699.199999999997</v>
      </c>
      <c r="Y34" s="3"/>
      <c r="Z34" s="7">
        <f t="shared" si="7"/>
        <v>-1</v>
      </c>
    </row>
    <row r="35" spans="1:26" s="70" customFormat="1" ht="15" hidden="1" customHeight="1" outlineLevel="2" x14ac:dyDescent="0.3">
      <c r="A35" s="21"/>
      <c r="B35" s="9" t="str">
        <f>CONCATENATE("          ","6005"," - ","TEMPORARY WAGES-HOURLY")</f>
        <v xml:space="preserve">          6005 - TEMPORARY WAGES-HOURLY</v>
      </c>
      <c r="C35" s="9"/>
      <c r="D35" s="6"/>
      <c r="E35" s="3"/>
      <c r="F35" s="7">
        <f t="shared" si="0"/>
        <v>0</v>
      </c>
      <c r="G35" s="3"/>
      <c r="H35" s="6">
        <v>0</v>
      </c>
      <c r="I35" s="3"/>
      <c r="J35" s="7">
        <f t="shared" si="1"/>
        <v>0</v>
      </c>
      <c r="K35" s="3"/>
      <c r="L35" s="6">
        <f t="shared" si="2"/>
        <v>0</v>
      </c>
      <c r="M35" s="3"/>
      <c r="N35" s="7">
        <f t="shared" si="3"/>
        <v>0</v>
      </c>
      <c r="O35" s="9"/>
      <c r="P35" s="6"/>
      <c r="Q35" s="3"/>
      <c r="R35" s="7">
        <f t="shared" si="4"/>
        <v>0</v>
      </c>
      <c r="S35" s="3"/>
      <c r="T35" s="6">
        <v>0</v>
      </c>
      <c r="U35" s="3"/>
      <c r="V35" s="7">
        <f t="shared" si="5"/>
        <v>0</v>
      </c>
      <c r="W35" s="3"/>
      <c r="X35" s="6">
        <f t="shared" si="6"/>
        <v>0</v>
      </c>
      <c r="Y35" s="3"/>
      <c r="Z35" s="7">
        <f t="shared" si="7"/>
        <v>0</v>
      </c>
    </row>
    <row r="36" spans="1:26" s="70" customFormat="1" ht="15" hidden="1" customHeight="1" outlineLevel="2" x14ac:dyDescent="0.3">
      <c r="A36" s="21"/>
      <c r="B36" s="9" t="str">
        <f>CONCATENATE("          ","6006"," - ","TEMPORARY PART TIME")</f>
        <v xml:space="preserve">          6006 - TEMPORARY PART TIME</v>
      </c>
      <c r="C36" s="9"/>
      <c r="D36" s="6"/>
      <c r="E36" s="3"/>
      <c r="F36" s="7">
        <f t="shared" si="0"/>
        <v>0</v>
      </c>
      <c r="G36" s="3"/>
      <c r="H36" s="6">
        <v>0</v>
      </c>
      <c r="I36" s="3"/>
      <c r="J36" s="7">
        <f t="shared" si="1"/>
        <v>0</v>
      </c>
      <c r="K36" s="3"/>
      <c r="L36" s="6">
        <f t="shared" si="2"/>
        <v>0</v>
      </c>
      <c r="M36" s="3"/>
      <c r="N36" s="7">
        <f t="shared" si="3"/>
        <v>0</v>
      </c>
      <c r="O36" s="9"/>
      <c r="P36" s="6"/>
      <c r="Q36" s="3"/>
      <c r="R36" s="7">
        <f t="shared" si="4"/>
        <v>0</v>
      </c>
      <c r="S36" s="3"/>
      <c r="T36" s="6">
        <v>0</v>
      </c>
      <c r="U36" s="3"/>
      <c r="V36" s="7">
        <f t="shared" si="5"/>
        <v>0</v>
      </c>
      <c r="W36" s="3"/>
      <c r="X36" s="6">
        <f t="shared" si="6"/>
        <v>0</v>
      </c>
      <c r="Y36" s="3"/>
      <c r="Z36" s="7">
        <f t="shared" si="7"/>
        <v>0</v>
      </c>
    </row>
    <row r="37" spans="1:26" s="70" customFormat="1" ht="15" hidden="1" customHeight="1" outlineLevel="2" x14ac:dyDescent="0.3">
      <c r="A37" s="21"/>
      <c r="B37" s="9" t="str">
        <f>CONCATENATE("          ","6007"," - ","STUDENT HOURLY")</f>
        <v xml:space="preserve">          6007 - STUDENT HOURLY</v>
      </c>
      <c r="C37" s="9"/>
      <c r="D37" s="6"/>
      <c r="E37" s="3"/>
      <c r="F37" s="7">
        <f t="shared" si="0"/>
        <v>0</v>
      </c>
      <c r="G37" s="3"/>
      <c r="H37" s="6">
        <v>0</v>
      </c>
      <c r="I37" s="3"/>
      <c r="J37" s="7">
        <f t="shared" si="1"/>
        <v>0</v>
      </c>
      <c r="K37" s="3"/>
      <c r="L37" s="6">
        <f t="shared" si="2"/>
        <v>0</v>
      </c>
      <c r="M37" s="3"/>
      <c r="N37" s="7">
        <f t="shared" si="3"/>
        <v>0</v>
      </c>
      <c r="O37" s="9"/>
      <c r="P37" s="6">
        <v>0</v>
      </c>
      <c r="Q37" s="3"/>
      <c r="R37" s="7">
        <f t="shared" si="4"/>
        <v>0</v>
      </c>
      <c r="S37" s="3"/>
      <c r="T37" s="6">
        <v>0</v>
      </c>
      <c r="U37" s="3"/>
      <c r="V37" s="7">
        <f t="shared" si="5"/>
        <v>0</v>
      </c>
      <c r="W37" s="3"/>
      <c r="X37" s="6">
        <f t="shared" si="6"/>
        <v>0</v>
      </c>
      <c r="Y37" s="3"/>
      <c r="Z37" s="7">
        <f t="shared" si="7"/>
        <v>0</v>
      </c>
    </row>
    <row r="38" spans="1:26" s="70" customFormat="1" ht="15" hidden="1" customHeight="1" outlineLevel="2" x14ac:dyDescent="0.3">
      <c r="A38" s="21"/>
      <c r="B38" s="9" t="str">
        <f>CONCATENATE("          ","6008"," - ","STUDENT HOURLY-FICA EXEMPT")</f>
        <v xml:space="preserve">          6008 - STUDENT HOURLY-FICA EXEMPT</v>
      </c>
      <c r="C38" s="9"/>
      <c r="D38" s="6"/>
      <c r="E38" s="3"/>
      <c r="F38" s="7">
        <f t="shared" si="0"/>
        <v>0</v>
      </c>
      <c r="G38" s="3"/>
      <c r="H38" s="6">
        <v>0</v>
      </c>
      <c r="I38" s="3"/>
      <c r="J38" s="7">
        <f t="shared" si="1"/>
        <v>0</v>
      </c>
      <c r="K38" s="3"/>
      <c r="L38" s="6">
        <f t="shared" si="2"/>
        <v>0</v>
      </c>
      <c r="M38" s="3"/>
      <c r="N38" s="7">
        <f t="shared" si="3"/>
        <v>0</v>
      </c>
      <c r="O38" s="9"/>
      <c r="P38" s="6"/>
      <c r="Q38" s="3"/>
      <c r="R38" s="7">
        <f t="shared" si="4"/>
        <v>0</v>
      </c>
      <c r="S38" s="3"/>
      <c r="T38" s="6">
        <v>0</v>
      </c>
      <c r="U38" s="3"/>
      <c r="V38" s="7">
        <f t="shared" si="5"/>
        <v>0</v>
      </c>
      <c r="W38" s="3"/>
      <c r="X38" s="6">
        <f t="shared" si="6"/>
        <v>0</v>
      </c>
      <c r="Y38" s="3"/>
      <c r="Z38" s="7">
        <f t="shared" si="7"/>
        <v>0</v>
      </c>
    </row>
    <row r="39" spans="1:26" s="70" customFormat="1" ht="15" hidden="1" customHeight="1" outlineLevel="2" x14ac:dyDescent="0.3">
      <c r="A39" s="21"/>
      <c r="B39" s="9" t="str">
        <f>CONCATENATE("          ","6009"," - ","TEMPORARY-SEASONAL")</f>
        <v xml:space="preserve">          6009 - TEMPORARY-SEASONAL</v>
      </c>
      <c r="C39" s="9"/>
      <c r="D39" s="6"/>
      <c r="E39" s="3"/>
      <c r="F39" s="7">
        <f t="shared" si="0"/>
        <v>0</v>
      </c>
      <c r="G39" s="3"/>
      <c r="H39" s="6">
        <v>0</v>
      </c>
      <c r="I39" s="3"/>
      <c r="J39" s="7">
        <f t="shared" si="1"/>
        <v>0</v>
      </c>
      <c r="K39" s="3"/>
      <c r="L39" s="6">
        <f t="shared" si="2"/>
        <v>0</v>
      </c>
      <c r="M39" s="3"/>
      <c r="N39" s="7">
        <f t="shared" si="3"/>
        <v>0</v>
      </c>
      <c r="O39" s="9"/>
      <c r="P39" s="6"/>
      <c r="Q39" s="3"/>
      <c r="R39" s="7">
        <f t="shared" si="4"/>
        <v>0</v>
      </c>
      <c r="S39" s="3"/>
      <c r="T39" s="6">
        <v>0</v>
      </c>
      <c r="U39" s="3"/>
      <c r="V39" s="7">
        <f t="shared" si="5"/>
        <v>0</v>
      </c>
      <c r="W39" s="3"/>
      <c r="X39" s="6">
        <f t="shared" si="6"/>
        <v>0</v>
      </c>
      <c r="Y39" s="3"/>
      <c r="Z39" s="7">
        <f t="shared" si="7"/>
        <v>0</v>
      </c>
    </row>
    <row r="40" spans="1:26" s="70" customFormat="1" ht="15" hidden="1" customHeight="1" outlineLevel="2" x14ac:dyDescent="0.3">
      <c r="A40" s="21"/>
      <c r="B40" s="9" t="str">
        <f>CONCATENATE("          ","6010"," - ","GRATUITY")</f>
        <v xml:space="preserve">          6010 - GRATUITY</v>
      </c>
      <c r="C40" s="9"/>
      <c r="D40" s="6"/>
      <c r="E40" s="3"/>
      <c r="F40" s="7">
        <f t="shared" si="0"/>
        <v>0</v>
      </c>
      <c r="G40" s="3"/>
      <c r="H40" s="6">
        <v>0</v>
      </c>
      <c r="I40" s="3"/>
      <c r="J40" s="7">
        <f t="shared" si="1"/>
        <v>0</v>
      </c>
      <c r="K40" s="3"/>
      <c r="L40" s="6">
        <f t="shared" si="2"/>
        <v>0</v>
      </c>
      <c r="M40" s="3"/>
      <c r="N40" s="7">
        <f t="shared" si="3"/>
        <v>0</v>
      </c>
      <c r="O40" s="9"/>
      <c r="P40" s="6"/>
      <c r="Q40" s="3"/>
      <c r="R40" s="7">
        <f t="shared" si="4"/>
        <v>0</v>
      </c>
      <c r="S40" s="3"/>
      <c r="T40" s="6">
        <v>0</v>
      </c>
      <c r="U40" s="3"/>
      <c r="V40" s="7">
        <f t="shared" si="5"/>
        <v>0</v>
      </c>
      <c r="W40" s="3"/>
      <c r="X40" s="6">
        <f t="shared" si="6"/>
        <v>0</v>
      </c>
      <c r="Y40" s="3"/>
      <c r="Z40" s="7">
        <f t="shared" si="7"/>
        <v>0</v>
      </c>
    </row>
    <row r="41" spans="1:26" s="69" customFormat="1" ht="15" customHeight="1" outlineLevel="1" collapsed="1" x14ac:dyDescent="0.3">
      <c r="A41" s="20"/>
      <c r="B41" s="11" t="str">
        <f>CONCATENATE("     ","Advertising/Promo                                 ")</f>
        <v xml:space="preserve">     Advertising/Promo                                 </v>
      </c>
      <c r="C41" s="11"/>
      <c r="D41" s="2">
        <f>SUM(OSRRefD22_2x_0)</f>
        <v>0</v>
      </c>
      <c r="E41" s="2"/>
      <c r="F41" s="5">
        <f t="shared" si="0"/>
        <v>0</v>
      </c>
      <c r="G41" s="2"/>
      <c r="H41" s="2">
        <f>SUM(OSRRefH22_2x_0)</f>
        <v>0</v>
      </c>
      <c r="I41" s="2"/>
      <c r="J41" s="5">
        <f t="shared" si="1"/>
        <v>0</v>
      </c>
      <c r="K41" s="2"/>
      <c r="L41" s="2">
        <f t="shared" si="2"/>
        <v>0</v>
      </c>
      <c r="M41" s="2"/>
      <c r="N41" s="5">
        <f t="shared" si="3"/>
        <v>0</v>
      </c>
      <c r="O41" s="11"/>
      <c r="P41" s="2">
        <f>SUM(OSRRefP22_2x_0)</f>
        <v>0</v>
      </c>
      <c r="Q41" s="2"/>
      <c r="R41" s="5">
        <f t="shared" si="4"/>
        <v>0</v>
      </c>
      <c r="S41" s="2"/>
      <c r="T41" s="2">
        <f>SUM(OSRRefT22_2x_0)</f>
        <v>0</v>
      </c>
      <c r="U41" s="2"/>
      <c r="V41" s="5">
        <f t="shared" si="5"/>
        <v>0</v>
      </c>
      <c r="W41" s="2"/>
      <c r="X41" s="2">
        <f t="shared" si="6"/>
        <v>0</v>
      </c>
      <c r="Y41" s="2"/>
      <c r="Z41" s="5">
        <f t="shared" si="7"/>
        <v>0</v>
      </c>
    </row>
    <row r="42" spans="1:26" s="70" customFormat="1" ht="15" hidden="1" customHeight="1" outlineLevel="2" x14ac:dyDescent="0.3">
      <c r="A42" s="21"/>
      <c r="B42" s="9" t="str">
        <f>CONCATENATE("          ","6362"," - ","ADVERTISING EXPENSE")</f>
        <v xml:space="preserve">          6362 - ADVERTISING EXPENSE</v>
      </c>
      <c r="C42" s="9"/>
      <c r="D42" s="6"/>
      <c r="E42" s="3"/>
      <c r="F42" s="7">
        <f t="shared" si="0"/>
        <v>0</v>
      </c>
      <c r="G42" s="3"/>
      <c r="H42" s="6"/>
      <c r="I42" s="3"/>
      <c r="J42" s="7">
        <f t="shared" si="1"/>
        <v>0</v>
      </c>
      <c r="K42" s="3"/>
      <c r="L42" s="6">
        <f t="shared" si="2"/>
        <v>0</v>
      </c>
      <c r="M42" s="3"/>
      <c r="N42" s="7">
        <f t="shared" si="3"/>
        <v>0</v>
      </c>
      <c r="O42" s="9"/>
      <c r="P42" s="6"/>
      <c r="Q42" s="3"/>
      <c r="R42" s="7">
        <f t="shared" si="4"/>
        <v>0</v>
      </c>
      <c r="S42" s="3"/>
      <c r="T42" s="6">
        <v>0</v>
      </c>
      <c r="U42" s="3"/>
      <c r="V42" s="7">
        <f t="shared" si="5"/>
        <v>0</v>
      </c>
      <c r="W42" s="3"/>
      <c r="X42" s="6">
        <f t="shared" si="6"/>
        <v>0</v>
      </c>
      <c r="Y42" s="3"/>
      <c r="Z42" s="7">
        <f t="shared" si="7"/>
        <v>0</v>
      </c>
    </row>
    <row r="43" spans="1:26" s="69" customFormat="1" ht="15" customHeight="1" outlineLevel="1" collapsed="1" x14ac:dyDescent="0.3">
      <c r="A43" s="20"/>
      <c r="B43" s="11" t="str">
        <f>CONCATENATE("     ","Depreciation                                      ")</f>
        <v xml:space="preserve">     Depreciation                                      </v>
      </c>
      <c r="C43" s="11"/>
      <c r="D43" s="2">
        <f>SUM(OSRRefD22_3x_0)</f>
        <v>1687.25</v>
      </c>
      <c r="E43" s="2"/>
      <c r="F43" s="5">
        <f t="shared" si="0"/>
        <v>0</v>
      </c>
      <c r="G43" s="2"/>
      <c r="H43" s="2">
        <f>SUM(OSRRefH22_3x_0)</f>
        <v>1645</v>
      </c>
      <c r="I43" s="2"/>
      <c r="J43" s="5">
        <f t="shared" si="1"/>
        <v>0</v>
      </c>
      <c r="K43" s="2"/>
      <c r="L43" s="2">
        <f t="shared" si="2"/>
        <v>42.25</v>
      </c>
      <c r="M43" s="2"/>
      <c r="N43" s="5">
        <f t="shared" si="3"/>
        <v>2.5683890577507598E-2</v>
      </c>
      <c r="O43" s="11"/>
      <c r="P43" s="2">
        <f>SUM(OSRRefP22_3x_0)</f>
        <v>34109.480000000003</v>
      </c>
      <c r="Q43" s="2"/>
      <c r="R43" s="5">
        <f t="shared" si="4"/>
        <v>0</v>
      </c>
      <c r="S43" s="2"/>
      <c r="T43" s="2">
        <f>SUM(OSRRefT22_3x_0)</f>
        <v>33605</v>
      </c>
      <c r="U43" s="2"/>
      <c r="V43" s="5">
        <f t="shared" si="5"/>
        <v>0</v>
      </c>
      <c r="W43" s="2"/>
      <c r="X43" s="2">
        <f t="shared" si="6"/>
        <v>504.4800000000032</v>
      </c>
      <c r="Y43" s="2"/>
      <c r="Z43" s="5">
        <f t="shared" si="7"/>
        <v>1.501205177800932E-2</v>
      </c>
    </row>
    <row r="44" spans="1:26" s="70" customFormat="1" ht="15" hidden="1" customHeight="1" outlineLevel="2" x14ac:dyDescent="0.3">
      <c r="A44" s="21"/>
      <c r="B44" s="9" t="str">
        <f>CONCATENATE("          ","6322"," - ","EQUIPMENT DEPRECIATION EXPENSE")</f>
        <v xml:space="preserve">          6322 - EQUIPMENT DEPRECIATION EXPENSE</v>
      </c>
      <c r="C44" s="9"/>
      <c r="D44" s="6">
        <v>1687.25</v>
      </c>
      <c r="E44" s="3"/>
      <c r="F44" s="7">
        <f t="shared" si="0"/>
        <v>0</v>
      </c>
      <c r="G44" s="3"/>
      <c r="H44" s="6">
        <v>1145</v>
      </c>
      <c r="I44" s="3"/>
      <c r="J44" s="7">
        <f t="shared" si="1"/>
        <v>0</v>
      </c>
      <c r="K44" s="3"/>
      <c r="L44" s="6">
        <f t="shared" si="2"/>
        <v>542.25</v>
      </c>
      <c r="M44" s="3"/>
      <c r="N44" s="7">
        <f t="shared" si="3"/>
        <v>0.47358078602620085</v>
      </c>
      <c r="O44" s="9"/>
      <c r="P44" s="6">
        <v>34109.480000000003</v>
      </c>
      <c r="Q44" s="3"/>
      <c r="R44" s="7">
        <f t="shared" si="4"/>
        <v>0</v>
      </c>
      <c r="S44" s="3"/>
      <c r="T44" s="6">
        <v>27605</v>
      </c>
      <c r="U44" s="3"/>
      <c r="V44" s="7">
        <f t="shared" si="5"/>
        <v>0</v>
      </c>
      <c r="W44" s="3"/>
      <c r="X44" s="6">
        <f t="shared" si="6"/>
        <v>6504.4800000000032</v>
      </c>
      <c r="Y44" s="3"/>
      <c r="Z44" s="7">
        <f t="shared" si="7"/>
        <v>0.23562687918855291</v>
      </c>
    </row>
    <row r="45" spans="1:26" s="70" customFormat="1" ht="15" hidden="1" customHeight="1" outlineLevel="2" x14ac:dyDescent="0.3">
      <c r="A45" s="21"/>
      <c r="B45" s="9" t="str">
        <f>CONCATENATE("          ","6324"," - ","FURNITURE + FIXT DEPRECIATION")</f>
        <v xml:space="preserve">          6324 - FURNITURE + FIXT DEPRECIATION</v>
      </c>
      <c r="C45" s="9"/>
      <c r="D45" s="6"/>
      <c r="E45" s="3"/>
      <c r="F45" s="7">
        <f t="shared" si="0"/>
        <v>0</v>
      </c>
      <c r="G45" s="3"/>
      <c r="H45" s="6">
        <v>500</v>
      </c>
      <c r="I45" s="3"/>
      <c r="J45" s="7">
        <f t="shared" si="1"/>
        <v>0</v>
      </c>
      <c r="K45" s="3"/>
      <c r="L45" s="6">
        <f t="shared" si="2"/>
        <v>-500</v>
      </c>
      <c r="M45" s="3"/>
      <c r="N45" s="7">
        <f t="shared" si="3"/>
        <v>-1</v>
      </c>
      <c r="O45" s="9"/>
      <c r="P45" s="6"/>
      <c r="Q45" s="3"/>
      <c r="R45" s="7">
        <f t="shared" si="4"/>
        <v>0</v>
      </c>
      <c r="S45" s="3"/>
      <c r="T45" s="6">
        <v>6000</v>
      </c>
      <c r="U45" s="3"/>
      <c r="V45" s="7">
        <f t="shared" si="5"/>
        <v>0</v>
      </c>
      <c r="W45" s="3"/>
      <c r="X45" s="6">
        <f t="shared" si="6"/>
        <v>-6000</v>
      </c>
      <c r="Y45" s="3"/>
      <c r="Z45" s="7">
        <f t="shared" si="7"/>
        <v>-1</v>
      </c>
    </row>
    <row r="46" spans="1:26" s="69" customFormat="1" ht="15" customHeight="1" outlineLevel="1" collapsed="1" x14ac:dyDescent="0.3">
      <c r="A46" s="20"/>
      <c r="B46" s="11" t="str">
        <f>CONCATENATE("     ","Insurance                                         ")</f>
        <v xml:space="preserve">     Insurance                                         </v>
      </c>
      <c r="C46" s="11"/>
      <c r="D46" s="2">
        <f>SUM(OSRRefD22_4x_0)</f>
        <v>-23.78</v>
      </c>
      <c r="E46" s="2"/>
      <c r="F46" s="5">
        <f t="shared" si="0"/>
        <v>0</v>
      </c>
      <c r="G46" s="2"/>
      <c r="H46" s="2">
        <f>SUM(OSRRefH22_4x_0)</f>
        <v>75</v>
      </c>
      <c r="I46" s="2"/>
      <c r="J46" s="5">
        <f t="shared" si="1"/>
        <v>0</v>
      </c>
      <c r="K46" s="2"/>
      <c r="L46" s="2">
        <f t="shared" si="2"/>
        <v>-98.78</v>
      </c>
      <c r="M46" s="2"/>
      <c r="N46" s="5">
        <f t="shared" si="3"/>
        <v>-1.3170666666666666</v>
      </c>
      <c r="O46" s="11"/>
      <c r="P46" s="2">
        <f>SUM(OSRRefP22_4x_0)</f>
        <v>818.49</v>
      </c>
      <c r="Q46" s="2"/>
      <c r="R46" s="5">
        <f t="shared" si="4"/>
        <v>0</v>
      </c>
      <c r="S46" s="2"/>
      <c r="T46" s="2">
        <f>SUM(OSRRefT22_4x_0)</f>
        <v>900</v>
      </c>
      <c r="U46" s="2"/>
      <c r="V46" s="5">
        <f t="shared" si="5"/>
        <v>0</v>
      </c>
      <c r="W46" s="2"/>
      <c r="X46" s="2">
        <f t="shared" si="6"/>
        <v>-81.509999999999991</v>
      </c>
      <c r="Y46" s="2"/>
      <c r="Z46" s="5">
        <f t="shared" si="7"/>
        <v>-9.0566666666666656E-2</v>
      </c>
    </row>
    <row r="47" spans="1:26" s="70" customFormat="1" ht="15" hidden="1" customHeight="1" outlineLevel="2" x14ac:dyDescent="0.3">
      <c r="A47" s="21"/>
      <c r="B47" s="9" t="str">
        <f>CONCATENATE("          ","6314"," - ","LIABILITY INSURANCE")</f>
        <v xml:space="preserve">          6314 - LIABILITY INSURANCE</v>
      </c>
      <c r="C47" s="9"/>
      <c r="D47" s="6">
        <v>-23.78</v>
      </c>
      <c r="E47" s="3"/>
      <c r="F47" s="7">
        <f t="shared" si="0"/>
        <v>0</v>
      </c>
      <c r="G47" s="3"/>
      <c r="H47" s="6">
        <v>75</v>
      </c>
      <c r="I47" s="3"/>
      <c r="J47" s="7">
        <f t="shared" si="1"/>
        <v>0</v>
      </c>
      <c r="K47" s="3"/>
      <c r="L47" s="6">
        <f t="shared" si="2"/>
        <v>-98.78</v>
      </c>
      <c r="M47" s="3"/>
      <c r="N47" s="7">
        <f t="shared" si="3"/>
        <v>-1.3170666666666666</v>
      </c>
      <c r="O47" s="9"/>
      <c r="P47" s="6">
        <v>818.49</v>
      </c>
      <c r="Q47" s="3"/>
      <c r="R47" s="7">
        <f t="shared" si="4"/>
        <v>0</v>
      </c>
      <c r="S47" s="3"/>
      <c r="T47" s="6">
        <v>900</v>
      </c>
      <c r="U47" s="3"/>
      <c r="V47" s="7">
        <f t="shared" si="5"/>
        <v>0</v>
      </c>
      <c r="W47" s="3"/>
      <c r="X47" s="6">
        <f t="shared" si="6"/>
        <v>-81.509999999999991</v>
      </c>
      <c r="Y47" s="3"/>
      <c r="Z47" s="7">
        <f t="shared" si="7"/>
        <v>-9.0566666666666656E-2</v>
      </c>
    </row>
    <row r="48" spans="1:26" s="69" customFormat="1" ht="15" customHeight="1" outlineLevel="1" collapsed="1" x14ac:dyDescent="0.3">
      <c r="A48" s="20"/>
      <c r="B48" s="11" t="str">
        <f>CONCATENATE("     ","Repair and Maintenance                            ")</f>
        <v xml:space="preserve">     Repair and Maintenance                            </v>
      </c>
      <c r="C48" s="11"/>
      <c r="D48" s="2">
        <f>SUM(OSRRefD22_5x_0)</f>
        <v>9467.25</v>
      </c>
      <c r="E48" s="2"/>
      <c r="F48" s="5">
        <f t="shared" si="0"/>
        <v>0</v>
      </c>
      <c r="G48" s="2"/>
      <c r="H48" s="2">
        <f>SUM(OSRRefH22_5x_0)</f>
        <v>10467</v>
      </c>
      <c r="I48" s="2"/>
      <c r="J48" s="5">
        <f t="shared" si="1"/>
        <v>0</v>
      </c>
      <c r="K48" s="2"/>
      <c r="L48" s="2">
        <f t="shared" si="2"/>
        <v>-999.75</v>
      </c>
      <c r="M48" s="2"/>
      <c r="N48" s="5">
        <f t="shared" si="3"/>
        <v>-9.5514474061335633E-2</v>
      </c>
      <c r="O48" s="11"/>
      <c r="P48" s="2">
        <f>SUM(OSRRefP22_5x_0)</f>
        <v>108989.55</v>
      </c>
      <c r="Q48" s="2"/>
      <c r="R48" s="5">
        <f t="shared" si="4"/>
        <v>0</v>
      </c>
      <c r="S48" s="2"/>
      <c r="T48" s="2">
        <f>SUM(OSRRefT22_5x_0)</f>
        <v>128604</v>
      </c>
      <c r="U48" s="2"/>
      <c r="V48" s="5">
        <f t="shared" si="5"/>
        <v>0</v>
      </c>
      <c r="W48" s="2"/>
      <c r="X48" s="2">
        <f t="shared" si="6"/>
        <v>-19614.449999999997</v>
      </c>
      <c r="Y48" s="2"/>
      <c r="Z48" s="5">
        <f t="shared" si="7"/>
        <v>-0.15251819539050104</v>
      </c>
    </row>
    <row r="49" spans="1:26" s="70" customFormat="1" ht="15" hidden="1" customHeight="1" outlineLevel="2" x14ac:dyDescent="0.3">
      <c r="A49" s="21"/>
      <c r="B49" s="9" t="str">
        <f>CONCATENATE("          ","6371"," - ","COMPUTER SOFTWARE MAINTENANCE")</f>
        <v xml:space="preserve">          6371 - COMPUTER SOFTWARE MAINTENANCE</v>
      </c>
      <c r="C49" s="9"/>
      <c r="D49" s="6"/>
      <c r="E49" s="3"/>
      <c r="F49" s="7">
        <f t="shared" si="0"/>
        <v>0</v>
      </c>
      <c r="G49" s="3"/>
      <c r="H49" s="6">
        <v>1000</v>
      </c>
      <c r="I49" s="3"/>
      <c r="J49" s="7">
        <f t="shared" si="1"/>
        <v>0</v>
      </c>
      <c r="K49" s="3"/>
      <c r="L49" s="6">
        <f t="shared" si="2"/>
        <v>-1000</v>
      </c>
      <c r="M49" s="3"/>
      <c r="N49" s="7">
        <f t="shared" si="3"/>
        <v>-1</v>
      </c>
      <c r="O49" s="9"/>
      <c r="P49" s="6">
        <v>2423.8200000000002</v>
      </c>
      <c r="Q49" s="3"/>
      <c r="R49" s="7">
        <f t="shared" si="4"/>
        <v>0</v>
      </c>
      <c r="S49" s="3"/>
      <c r="T49" s="6">
        <v>12000</v>
      </c>
      <c r="U49" s="3"/>
      <c r="V49" s="7">
        <f t="shared" si="5"/>
        <v>0</v>
      </c>
      <c r="W49" s="3"/>
      <c r="X49" s="6">
        <f t="shared" si="6"/>
        <v>-9576.18</v>
      </c>
      <c r="Y49" s="3"/>
      <c r="Z49" s="7">
        <f t="shared" si="7"/>
        <v>-0.79801500000000003</v>
      </c>
    </row>
    <row r="50" spans="1:26" s="70" customFormat="1" ht="15" hidden="1" customHeight="1" outlineLevel="2" x14ac:dyDescent="0.3">
      <c r="A50" s="21"/>
      <c r="B50" s="9" t="str">
        <f>CONCATENATE("          ","6372"," - ","COMPUTER HARDWARE MAINTENANCE")</f>
        <v xml:space="preserve">          6372 - COMPUTER HARDWARE MAINTENANCE</v>
      </c>
      <c r="C50" s="9"/>
      <c r="D50" s="6"/>
      <c r="E50" s="3"/>
      <c r="F50" s="7">
        <f t="shared" si="0"/>
        <v>0</v>
      </c>
      <c r="G50" s="3"/>
      <c r="H50" s="6"/>
      <c r="I50" s="3"/>
      <c r="J50" s="7">
        <f t="shared" si="1"/>
        <v>0</v>
      </c>
      <c r="K50" s="3"/>
      <c r="L50" s="6">
        <f t="shared" si="2"/>
        <v>0</v>
      </c>
      <c r="M50" s="3"/>
      <c r="N50" s="7">
        <f t="shared" si="3"/>
        <v>0</v>
      </c>
      <c r="O50" s="9"/>
      <c r="P50" s="6">
        <v>4760.47</v>
      </c>
      <c r="Q50" s="3"/>
      <c r="R50" s="7">
        <f t="shared" si="4"/>
        <v>0</v>
      </c>
      <c r="S50" s="3"/>
      <c r="T50" s="6">
        <v>3000</v>
      </c>
      <c r="U50" s="3"/>
      <c r="V50" s="7">
        <f t="shared" si="5"/>
        <v>0</v>
      </c>
      <c r="W50" s="3"/>
      <c r="X50" s="6">
        <f t="shared" si="6"/>
        <v>1760.4700000000003</v>
      </c>
      <c r="Y50" s="3"/>
      <c r="Z50" s="7">
        <f t="shared" si="7"/>
        <v>0.58682333333333336</v>
      </c>
    </row>
    <row r="51" spans="1:26" s="70" customFormat="1" ht="15" hidden="1" customHeight="1" outlineLevel="2" x14ac:dyDescent="0.3">
      <c r="A51" s="21"/>
      <c r="B51" s="9" t="str">
        <f>CONCATENATE("          ","6373"," - ","MAINTENANCE CONTRACTS")</f>
        <v xml:space="preserve">          6373 - MAINTENANCE CONTRACTS</v>
      </c>
      <c r="C51" s="9"/>
      <c r="D51" s="6">
        <v>9467.25</v>
      </c>
      <c r="E51" s="3"/>
      <c r="F51" s="7">
        <f t="shared" si="0"/>
        <v>0</v>
      </c>
      <c r="G51" s="3"/>
      <c r="H51" s="6">
        <v>9467</v>
      </c>
      <c r="I51" s="3"/>
      <c r="J51" s="7">
        <f t="shared" si="1"/>
        <v>0</v>
      </c>
      <c r="K51" s="3"/>
      <c r="L51" s="6">
        <f t="shared" si="2"/>
        <v>0.25</v>
      </c>
      <c r="M51" s="3"/>
      <c r="N51" s="7">
        <f t="shared" si="3"/>
        <v>2.6407520861941482E-5</v>
      </c>
      <c r="O51" s="9"/>
      <c r="P51" s="6">
        <v>101757.74</v>
      </c>
      <c r="Q51" s="3"/>
      <c r="R51" s="7">
        <f t="shared" si="4"/>
        <v>0</v>
      </c>
      <c r="S51" s="3"/>
      <c r="T51" s="6">
        <v>113604</v>
      </c>
      <c r="U51" s="3"/>
      <c r="V51" s="7">
        <f t="shared" si="5"/>
        <v>0</v>
      </c>
      <c r="W51" s="3"/>
      <c r="X51" s="6">
        <f t="shared" si="6"/>
        <v>-11846.259999999995</v>
      </c>
      <c r="Y51" s="3"/>
      <c r="Z51" s="7">
        <f t="shared" si="7"/>
        <v>-0.10427678602866092</v>
      </c>
    </row>
    <row r="52" spans="1:26" s="70" customFormat="1" ht="15" hidden="1" customHeight="1" outlineLevel="2" x14ac:dyDescent="0.3">
      <c r="A52" s="21"/>
      <c r="B52" s="9" t="str">
        <f>CONCATENATE("          ","6375"," - ","OUTSIDE REPAIRS &amp; MAINTENANCE")</f>
        <v xml:space="preserve">          6375 - OUTSIDE REPAIRS &amp; MAINTENANCE</v>
      </c>
      <c r="C52" s="9"/>
      <c r="D52" s="6"/>
      <c r="E52" s="3"/>
      <c r="F52" s="7">
        <f t="shared" si="0"/>
        <v>0</v>
      </c>
      <c r="G52" s="3"/>
      <c r="H52" s="6"/>
      <c r="I52" s="3"/>
      <c r="J52" s="7">
        <f t="shared" si="1"/>
        <v>0</v>
      </c>
      <c r="K52" s="3"/>
      <c r="L52" s="6">
        <f t="shared" si="2"/>
        <v>0</v>
      </c>
      <c r="M52" s="3"/>
      <c r="N52" s="7">
        <f t="shared" si="3"/>
        <v>0</v>
      </c>
      <c r="O52" s="9"/>
      <c r="P52" s="6">
        <v>47.52</v>
      </c>
      <c r="Q52" s="3"/>
      <c r="R52" s="7">
        <f t="shared" si="4"/>
        <v>0</v>
      </c>
      <c r="S52" s="3"/>
      <c r="T52" s="6"/>
      <c r="U52" s="3"/>
      <c r="V52" s="7">
        <f t="shared" si="5"/>
        <v>0</v>
      </c>
      <c r="W52" s="3"/>
      <c r="X52" s="6">
        <f t="shared" si="6"/>
        <v>47.52</v>
      </c>
      <c r="Y52" s="3"/>
      <c r="Z52" s="7">
        <f t="shared" si="7"/>
        <v>0</v>
      </c>
    </row>
    <row r="53" spans="1:26" s="69" customFormat="1" ht="15" customHeight="1" outlineLevel="1" collapsed="1" x14ac:dyDescent="0.3">
      <c r="A53" s="20"/>
      <c r="B53" s="11" t="str">
        <f>CONCATENATE("     ","Subscriptions &amp; Dues                              ")</f>
        <v xml:space="preserve">     Subscriptions &amp; Dues                              </v>
      </c>
      <c r="C53" s="11"/>
      <c r="D53" s="2">
        <f>SUM(OSRRefD22_6x_0)</f>
        <v>0</v>
      </c>
      <c r="E53" s="2"/>
      <c r="F53" s="5">
        <f t="shared" si="0"/>
        <v>0</v>
      </c>
      <c r="G53" s="2"/>
      <c r="H53" s="2">
        <f>SUM(OSRRefH22_6x_0)</f>
        <v>0</v>
      </c>
      <c r="I53" s="2"/>
      <c r="J53" s="5">
        <f t="shared" si="1"/>
        <v>0</v>
      </c>
      <c r="K53" s="2"/>
      <c r="L53" s="2">
        <f t="shared" si="2"/>
        <v>0</v>
      </c>
      <c r="M53" s="2"/>
      <c r="N53" s="5">
        <f t="shared" si="3"/>
        <v>0</v>
      </c>
      <c r="O53" s="11"/>
      <c r="P53" s="2">
        <f>SUM(OSRRefP22_6x_0)</f>
        <v>0</v>
      </c>
      <c r="Q53" s="2"/>
      <c r="R53" s="5">
        <f t="shared" si="4"/>
        <v>0</v>
      </c>
      <c r="S53" s="2"/>
      <c r="T53" s="2">
        <f>SUM(OSRRefT22_6x_0)</f>
        <v>850</v>
      </c>
      <c r="U53" s="2"/>
      <c r="V53" s="5">
        <f t="shared" si="5"/>
        <v>0</v>
      </c>
      <c r="W53" s="2"/>
      <c r="X53" s="2">
        <f t="shared" si="6"/>
        <v>-850</v>
      </c>
      <c r="Y53" s="2"/>
      <c r="Z53" s="5">
        <f t="shared" si="7"/>
        <v>-1</v>
      </c>
    </row>
    <row r="54" spans="1:26" s="70" customFormat="1" ht="15" hidden="1" customHeight="1" outlineLevel="2" x14ac:dyDescent="0.3">
      <c r="A54" s="21"/>
      <c r="B54" s="9" t="str">
        <f>CONCATENATE("          ","6258"," - ","MEMBERSHIP DUES")</f>
        <v xml:space="preserve">          6258 - MEMBERSHIP DUES</v>
      </c>
      <c r="C54" s="9"/>
      <c r="D54" s="6"/>
      <c r="E54" s="3"/>
      <c r="F54" s="7">
        <f t="shared" si="0"/>
        <v>0</v>
      </c>
      <c r="G54" s="3"/>
      <c r="H54" s="6"/>
      <c r="I54" s="3"/>
      <c r="J54" s="7">
        <f t="shared" si="1"/>
        <v>0</v>
      </c>
      <c r="K54" s="3"/>
      <c r="L54" s="6">
        <f t="shared" si="2"/>
        <v>0</v>
      </c>
      <c r="M54" s="3"/>
      <c r="N54" s="7">
        <f t="shared" si="3"/>
        <v>0</v>
      </c>
      <c r="O54" s="9"/>
      <c r="P54" s="6"/>
      <c r="Q54" s="3"/>
      <c r="R54" s="7">
        <f t="shared" si="4"/>
        <v>0</v>
      </c>
      <c r="S54" s="3"/>
      <c r="T54" s="6">
        <v>250</v>
      </c>
      <c r="U54" s="3"/>
      <c r="V54" s="7">
        <f t="shared" si="5"/>
        <v>0</v>
      </c>
      <c r="W54" s="3"/>
      <c r="X54" s="6">
        <f t="shared" si="6"/>
        <v>-250</v>
      </c>
      <c r="Y54" s="3"/>
      <c r="Z54" s="7">
        <f t="shared" si="7"/>
        <v>-1</v>
      </c>
    </row>
    <row r="55" spans="1:26" s="70" customFormat="1" ht="15" hidden="1" customHeight="1" outlineLevel="2" x14ac:dyDescent="0.3">
      <c r="A55" s="21"/>
      <c r="B55" s="9" t="str">
        <f>CONCATENATE("          ","6275"," - ","SUBSCRIPTIONS")</f>
        <v xml:space="preserve">          6275 - SUBSCRIPTIONS</v>
      </c>
      <c r="C55" s="9"/>
      <c r="D55" s="6"/>
      <c r="E55" s="3"/>
      <c r="F55" s="7">
        <f t="shared" si="0"/>
        <v>0</v>
      </c>
      <c r="G55" s="3"/>
      <c r="H55" s="6"/>
      <c r="I55" s="3"/>
      <c r="J55" s="7">
        <f t="shared" si="1"/>
        <v>0</v>
      </c>
      <c r="K55" s="3"/>
      <c r="L55" s="6">
        <f t="shared" si="2"/>
        <v>0</v>
      </c>
      <c r="M55" s="3"/>
      <c r="N55" s="7">
        <f t="shared" si="3"/>
        <v>0</v>
      </c>
      <c r="O55" s="9"/>
      <c r="P55" s="6"/>
      <c r="Q55" s="3"/>
      <c r="R55" s="7">
        <f t="shared" si="4"/>
        <v>0</v>
      </c>
      <c r="S55" s="3"/>
      <c r="T55" s="6">
        <v>600</v>
      </c>
      <c r="U55" s="3"/>
      <c r="V55" s="7">
        <f t="shared" si="5"/>
        <v>0</v>
      </c>
      <c r="W55" s="3"/>
      <c r="X55" s="6">
        <f t="shared" si="6"/>
        <v>-600</v>
      </c>
      <c r="Y55" s="3"/>
      <c r="Z55" s="7">
        <f t="shared" si="7"/>
        <v>-1</v>
      </c>
    </row>
    <row r="56" spans="1:26" s="69" customFormat="1" ht="15" customHeight="1" outlineLevel="1" collapsed="1" x14ac:dyDescent="0.3">
      <c r="A56" s="20"/>
      <c r="B56" s="11" t="str">
        <f>CONCATENATE("     ","Supplies                                          ")</f>
        <v xml:space="preserve">     Supplies                                          </v>
      </c>
      <c r="C56" s="11"/>
      <c r="D56" s="2">
        <f>SUM(OSRRefD22_7x_0)</f>
        <v>-239.99</v>
      </c>
      <c r="E56" s="2"/>
      <c r="F56" s="5">
        <f t="shared" si="0"/>
        <v>0</v>
      </c>
      <c r="G56" s="2"/>
      <c r="H56" s="2">
        <f>SUM(OSRRefH22_7x_0)</f>
        <v>100</v>
      </c>
      <c r="I56" s="2"/>
      <c r="J56" s="5">
        <f t="shared" si="1"/>
        <v>0</v>
      </c>
      <c r="K56" s="2"/>
      <c r="L56" s="2">
        <f t="shared" si="2"/>
        <v>-339.99</v>
      </c>
      <c r="M56" s="2"/>
      <c r="N56" s="5">
        <f t="shared" si="3"/>
        <v>-3.3999000000000001</v>
      </c>
      <c r="O56" s="11"/>
      <c r="P56" s="2">
        <f>SUM(OSRRefP22_7x_0)</f>
        <v>21695.79</v>
      </c>
      <c r="Q56" s="2"/>
      <c r="R56" s="5">
        <f t="shared" si="4"/>
        <v>0</v>
      </c>
      <c r="S56" s="2"/>
      <c r="T56" s="2">
        <f>SUM(OSRRefT22_7x_0)</f>
        <v>1200</v>
      </c>
      <c r="U56" s="2"/>
      <c r="V56" s="5">
        <f t="shared" si="5"/>
        <v>0</v>
      </c>
      <c r="W56" s="2"/>
      <c r="X56" s="2">
        <f t="shared" si="6"/>
        <v>20495.79</v>
      </c>
      <c r="Y56" s="2"/>
      <c r="Z56" s="5">
        <f t="shared" si="7"/>
        <v>17.079825</v>
      </c>
    </row>
    <row r="57" spans="1:26" s="70" customFormat="1" ht="15" hidden="1" customHeight="1" outlineLevel="2" x14ac:dyDescent="0.3">
      <c r="A57" s="21"/>
      <c r="B57" s="9" t="str">
        <f>CONCATENATE("          ","6241"," - ","OFFICE EXPENSE")</f>
        <v xml:space="preserve">          6241 - OFFICE EXPENSE</v>
      </c>
      <c r="C57" s="9"/>
      <c r="D57" s="6">
        <v>-239.99</v>
      </c>
      <c r="E57" s="3"/>
      <c r="F57" s="7">
        <f t="shared" si="0"/>
        <v>0</v>
      </c>
      <c r="G57" s="3"/>
      <c r="H57" s="6">
        <v>100</v>
      </c>
      <c r="I57" s="3"/>
      <c r="J57" s="7">
        <f t="shared" si="1"/>
        <v>0</v>
      </c>
      <c r="K57" s="3"/>
      <c r="L57" s="6">
        <f t="shared" si="2"/>
        <v>-339.99</v>
      </c>
      <c r="M57" s="3"/>
      <c r="N57" s="7">
        <f t="shared" si="3"/>
        <v>-3.3999000000000001</v>
      </c>
      <c r="O57" s="9"/>
      <c r="P57" s="6">
        <v>21695.79</v>
      </c>
      <c r="Q57" s="3"/>
      <c r="R57" s="7">
        <f t="shared" si="4"/>
        <v>0</v>
      </c>
      <c r="S57" s="3"/>
      <c r="T57" s="6">
        <v>1200</v>
      </c>
      <c r="U57" s="3"/>
      <c r="V57" s="7">
        <f t="shared" si="5"/>
        <v>0</v>
      </c>
      <c r="W57" s="3"/>
      <c r="X57" s="6">
        <f t="shared" si="6"/>
        <v>20495.79</v>
      </c>
      <c r="Y57" s="3"/>
      <c r="Z57" s="7">
        <f t="shared" si="7"/>
        <v>17.079825</v>
      </c>
    </row>
    <row r="58" spans="1:26" s="69" customFormat="1" ht="15" customHeight="1" outlineLevel="1" collapsed="1" x14ac:dyDescent="0.3">
      <c r="A58" s="20"/>
      <c r="B58" s="11" t="str">
        <f>CONCATENATE("     ","Telephone/Data Lines                              ")</f>
        <v xml:space="preserve">     Telephone/Data Lines                              </v>
      </c>
      <c r="C58" s="11"/>
      <c r="D58" s="2">
        <f>SUM(OSRRefD22_8x_0)</f>
        <v>689.37</v>
      </c>
      <c r="E58" s="2"/>
      <c r="F58" s="5">
        <f t="shared" si="0"/>
        <v>0</v>
      </c>
      <c r="G58" s="2"/>
      <c r="H58" s="2">
        <f>SUM(OSRRefH22_8x_0)</f>
        <v>580</v>
      </c>
      <c r="I58" s="2"/>
      <c r="J58" s="5">
        <f t="shared" si="1"/>
        <v>0</v>
      </c>
      <c r="K58" s="2"/>
      <c r="L58" s="2">
        <f t="shared" si="2"/>
        <v>109.37</v>
      </c>
      <c r="M58" s="2"/>
      <c r="N58" s="5">
        <f t="shared" si="3"/>
        <v>0.18856896551724139</v>
      </c>
      <c r="O58" s="11"/>
      <c r="P58" s="2">
        <f>SUM(OSRRefP22_8x_0)</f>
        <v>10193.59</v>
      </c>
      <c r="Q58" s="2"/>
      <c r="R58" s="5">
        <f t="shared" si="4"/>
        <v>0</v>
      </c>
      <c r="S58" s="2"/>
      <c r="T58" s="2">
        <f>SUM(OSRRefT22_8x_0)</f>
        <v>6180</v>
      </c>
      <c r="U58" s="2"/>
      <c r="V58" s="5">
        <f t="shared" si="5"/>
        <v>0</v>
      </c>
      <c r="W58" s="2"/>
      <c r="X58" s="2">
        <f t="shared" si="6"/>
        <v>4013.59</v>
      </c>
      <c r="Y58" s="2"/>
      <c r="Z58" s="5">
        <f t="shared" si="7"/>
        <v>0.64944822006472491</v>
      </c>
    </row>
    <row r="59" spans="1:26" s="70" customFormat="1" ht="15" hidden="1" customHeight="1" outlineLevel="2" x14ac:dyDescent="0.3">
      <c r="A59" s="21"/>
      <c r="B59" s="9" t="str">
        <f>CONCATENATE("          ","6303"," - ","DATA PHONE LINES")</f>
        <v xml:space="preserve">          6303 - DATA PHONE LINES</v>
      </c>
      <c r="C59" s="9"/>
      <c r="D59" s="6">
        <v>271.97000000000003</v>
      </c>
      <c r="E59" s="3"/>
      <c r="F59" s="7">
        <f t="shared" si="0"/>
        <v>0</v>
      </c>
      <c r="G59" s="3"/>
      <c r="H59" s="6">
        <v>280</v>
      </c>
      <c r="I59" s="3"/>
      <c r="J59" s="7">
        <f t="shared" si="1"/>
        <v>0</v>
      </c>
      <c r="K59" s="3"/>
      <c r="L59" s="6">
        <f t="shared" si="2"/>
        <v>-8.0299999999999727</v>
      </c>
      <c r="M59" s="3"/>
      <c r="N59" s="7">
        <f t="shared" si="3"/>
        <v>-2.8678571428571331E-2</v>
      </c>
      <c r="O59" s="9"/>
      <c r="P59" s="6">
        <v>2139.7399999999998</v>
      </c>
      <c r="Q59" s="3"/>
      <c r="R59" s="7">
        <f t="shared" si="4"/>
        <v>0</v>
      </c>
      <c r="S59" s="3"/>
      <c r="T59" s="6">
        <v>2580</v>
      </c>
      <c r="U59" s="3"/>
      <c r="V59" s="7">
        <f t="shared" si="5"/>
        <v>0</v>
      </c>
      <c r="W59" s="3"/>
      <c r="X59" s="6">
        <f t="shared" si="6"/>
        <v>-440.26000000000022</v>
      </c>
      <c r="Y59" s="3"/>
      <c r="Z59" s="7">
        <f t="shared" si="7"/>
        <v>-0.17064341085271326</v>
      </c>
    </row>
    <row r="60" spans="1:26" s="70" customFormat="1" ht="15" hidden="1" customHeight="1" outlineLevel="2" x14ac:dyDescent="0.3">
      <c r="A60" s="21"/>
      <c r="B60" s="9" t="str">
        <f>CONCATENATE("          ","6309"," - ","TELEPHONE")</f>
        <v xml:space="preserve">          6309 - TELEPHONE</v>
      </c>
      <c r="C60" s="9"/>
      <c r="D60" s="6">
        <v>417.4</v>
      </c>
      <c r="E60" s="3"/>
      <c r="F60" s="7">
        <f t="shared" si="0"/>
        <v>0</v>
      </c>
      <c r="G60" s="3"/>
      <c r="H60" s="6">
        <v>300</v>
      </c>
      <c r="I60" s="3"/>
      <c r="J60" s="7">
        <f t="shared" si="1"/>
        <v>0</v>
      </c>
      <c r="K60" s="3"/>
      <c r="L60" s="6">
        <f t="shared" si="2"/>
        <v>117.39999999999998</v>
      </c>
      <c r="M60" s="3"/>
      <c r="N60" s="7">
        <f t="shared" si="3"/>
        <v>0.39133333333333326</v>
      </c>
      <c r="O60" s="9"/>
      <c r="P60" s="6">
        <v>8053.85</v>
      </c>
      <c r="Q60" s="3"/>
      <c r="R60" s="7">
        <f t="shared" si="4"/>
        <v>0</v>
      </c>
      <c r="S60" s="3"/>
      <c r="T60" s="6">
        <v>3600</v>
      </c>
      <c r="U60" s="3"/>
      <c r="V60" s="7">
        <f t="shared" si="5"/>
        <v>0</v>
      </c>
      <c r="W60" s="3"/>
      <c r="X60" s="6">
        <f t="shared" si="6"/>
        <v>4453.8500000000004</v>
      </c>
      <c r="Y60" s="3"/>
      <c r="Z60" s="7">
        <f t="shared" si="7"/>
        <v>1.2371805555555557</v>
      </c>
    </row>
    <row r="61" spans="1:26" s="69" customFormat="1" ht="15" customHeight="1" outlineLevel="1" collapsed="1" x14ac:dyDescent="0.3">
      <c r="A61" s="20"/>
      <c r="B61" s="11" t="str">
        <f>CONCATENATE("     ","Training                                          ")</f>
        <v xml:space="preserve">     Training                                          </v>
      </c>
      <c r="C61" s="11"/>
      <c r="D61" s="2">
        <f>SUM(OSRRefD22_9x_0)</f>
        <v>49.99</v>
      </c>
      <c r="E61" s="2"/>
      <c r="F61" s="5">
        <f t="shared" si="0"/>
        <v>0</v>
      </c>
      <c r="G61" s="2"/>
      <c r="H61" s="2">
        <f>SUM(OSRRefH22_9x_0)</f>
        <v>0</v>
      </c>
      <c r="I61" s="2"/>
      <c r="J61" s="5">
        <f t="shared" si="1"/>
        <v>0</v>
      </c>
      <c r="K61" s="2"/>
      <c r="L61" s="2">
        <f t="shared" si="2"/>
        <v>49.99</v>
      </c>
      <c r="M61" s="2"/>
      <c r="N61" s="5">
        <f t="shared" si="3"/>
        <v>0</v>
      </c>
      <c r="O61" s="11"/>
      <c r="P61" s="2">
        <f>SUM(OSRRefP22_9x_0)</f>
        <v>787.98</v>
      </c>
      <c r="Q61" s="2"/>
      <c r="R61" s="5">
        <f t="shared" si="4"/>
        <v>0</v>
      </c>
      <c r="S61" s="2"/>
      <c r="T61" s="2">
        <f>SUM(OSRRefT22_9x_0)</f>
        <v>0</v>
      </c>
      <c r="U61" s="2"/>
      <c r="V61" s="5">
        <f t="shared" si="5"/>
        <v>0</v>
      </c>
      <c r="W61" s="2"/>
      <c r="X61" s="2">
        <f t="shared" si="6"/>
        <v>787.98</v>
      </c>
      <c r="Y61" s="2"/>
      <c r="Z61" s="5">
        <f t="shared" si="7"/>
        <v>0</v>
      </c>
    </row>
    <row r="62" spans="1:26" s="70" customFormat="1" ht="15" hidden="1" customHeight="1" outlineLevel="2" x14ac:dyDescent="0.3">
      <c r="A62" s="21"/>
      <c r="B62" s="9" t="str">
        <f>CONCATENATE("          ","6376"," - ","TRAINING")</f>
        <v xml:space="preserve">          6376 - TRAINING</v>
      </c>
      <c r="C62" s="9"/>
      <c r="D62" s="6">
        <v>49.99</v>
      </c>
      <c r="E62" s="3"/>
      <c r="F62" s="7">
        <f t="shared" si="0"/>
        <v>0</v>
      </c>
      <c r="G62" s="3"/>
      <c r="H62" s="6"/>
      <c r="I62" s="3"/>
      <c r="J62" s="7">
        <f t="shared" si="1"/>
        <v>0</v>
      </c>
      <c r="K62" s="3"/>
      <c r="L62" s="6">
        <f t="shared" si="2"/>
        <v>49.99</v>
      </c>
      <c r="M62" s="3"/>
      <c r="N62" s="7">
        <f t="shared" si="3"/>
        <v>0</v>
      </c>
      <c r="O62" s="9"/>
      <c r="P62" s="6">
        <v>787.98</v>
      </c>
      <c r="Q62" s="3"/>
      <c r="R62" s="7">
        <f t="shared" si="4"/>
        <v>0</v>
      </c>
      <c r="S62" s="3"/>
      <c r="T62" s="6"/>
      <c r="U62" s="3"/>
      <c r="V62" s="7">
        <f t="shared" si="5"/>
        <v>0</v>
      </c>
      <c r="W62" s="3"/>
      <c r="X62" s="6">
        <f t="shared" si="6"/>
        <v>787.98</v>
      </c>
      <c r="Y62" s="3"/>
      <c r="Z62" s="7">
        <f t="shared" si="7"/>
        <v>0</v>
      </c>
    </row>
    <row r="63" spans="1:26" s="69" customFormat="1" ht="15" customHeight="1" outlineLevel="1" collapsed="1" x14ac:dyDescent="0.3">
      <c r="A63" s="20"/>
      <c r="B63" s="11" t="str">
        <f>CONCATENATE("     ","Travel                                            ")</f>
        <v xml:space="preserve">     Travel                                            </v>
      </c>
      <c r="C63" s="11"/>
      <c r="D63" s="2">
        <f>SUM(OSRRefD22_10x_0)</f>
        <v>0</v>
      </c>
      <c r="E63" s="2"/>
      <c r="F63" s="5">
        <f t="shared" si="0"/>
        <v>0</v>
      </c>
      <c r="G63" s="2"/>
      <c r="H63" s="2">
        <f>SUM(OSRRefH22_10x_0)</f>
        <v>0</v>
      </c>
      <c r="I63" s="2"/>
      <c r="J63" s="5">
        <f t="shared" si="1"/>
        <v>0</v>
      </c>
      <c r="K63" s="2"/>
      <c r="L63" s="2">
        <f t="shared" si="2"/>
        <v>0</v>
      </c>
      <c r="M63" s="2"/>
      <c r="N63" s="5">
        <f t="shared" si="3"/>
        <v>0</v>
      </c>
      <c r="O63" s="11"/>
      <c r="P63" s="2">
        <f>SUM(OSRRefP22_10x_0)</f>
        <v>0</v>
      </c>
      <c r="Q63" s="2"/>
      <c r="R63" s="5">
        <f t="shared" si="4"/>
        <v>0</v>
      </c>
      <c r="S63" s="2"/>
      <c r="T63" s="2">
        <f>SUM(OSRRefT22_10x_0)</f>
        <v>5500</v>
      </c>
      <c r="U63" s="2"/>
      <c r="V63" s="5">
        <f t="shared" si="5"/>
        <v>0</v>
      </c>
      <c r="W63" s="2"/>
      <c r="X63" s="2">
        <f t="shared" si="6"/>
        <v>-5500</v>
      </c>
      <c r="Y63" s="2"/>
      <c r="Z63" s="5">
        <f t="shared" si="7"/>
        <v>-1</v>
      </c>
    </row>
    <row r="64" spans="1:26" s="70" customFormat="1" ht="15" hidden="1" customHeight="1" outlineLevel="2" x14ac:dyDescent="0.3">
      <c r="A64" s="21"/>
      <c r="B64" s="9" t="str">
        <f>CONCATENATE("          ","6292"," - ","TRAVEL/CONFERENCE")</f>
        <v xml:space="preserve">          6292 - TRAVEL/CONFERENCE</v>
      </c>
      <c r="C64" s="9"/>
      <c r="D64" s="6"/>
      <c r="E64" s="3"/>
      <c r="F64" s="7">
        <f t="shared" si="0"/>
        <v>0</v>
      </c>
      <c r="G64" s="3"/>
      <c r="H64" s="6"/>
      <c r="I64" s="3"/>
      <c r="J64" s="7">
        <f t="shared" si="1"/>
        <v>0</v>
      </c>
      <c r="K64" s="3"/>
      <c r="L64" s="6">
        <f t="shared" si="2"/>
        <v>0</v>
      </c>
      <c r="M64" s="3"/>
      <c r="N64" s="7">
        <f t="shared" si="3"/>
        <v>0</v>
      </c>
      <c r="O64" s="9"/>
      <c r="P64" s="6">
        <v>0</v>
      </c>
      <c r="Q64" s="3"/>
      <c r="R64" s="7">
        <f t="shared" si="4"/>
        <v>0</v>
      </c>
      <c r="S64" s="3"/>
      <c r="T64" s="6">
        <v>5500</v>
      </c>
      <c r="U64" s="3"/>
      <c r="V64" s="7">
        <f t="shared" si="5"/>
        <v>0</v>
      </c>
      <c r="W64" s="3"/>
      <c r="X64" s="6">
        <f t="shared" si="6"/>
        <v>-5500</v>
      </c>
      <c r="Y64" s="3"/>
      <c r="Z64" s="7">
        <f t="shared" si="7"/>
        <v>-1</v>
      </c>
    </row>
    <row r="65" spans="1:26" s="65" customFormat="1" ht="15" customHeight="1" x14ac:dyDescent="0.3">
      <c r="A65" s="36"/>
      <c r="B65" s="36"/>
      <c r="C65" s="36"/>
      <c r="D65" s="2"/>
      <c r="E65" s="2"/>
      <c r="F65" s="5"/>
      <c r="G65" s="2"/>
      <c r="H65" s="2"/>
      <c r="I65" s="2"/>
      <c r="J65" s="5"/>
      <c r="K65" s="2"/>
      <c r="L65" s="2"/>
      <c r="M65" s="2"/>
      <c r="N65" s="5"/>
      <c r="O65" s="36"/>
      <c r="P65" s="2"/>
      <c r="Q65" s="2"/>
      <c r="R65" s="5"/>
      <c r="S65" s="2"/>
      <c r="T65" s="2"/>
      <c r="U65" s="2"/>
      <c r="V65" s="5"/>
      <c r="W65" s="2"/>
      <c r="X65" s="2"/>
      <c r="Y65" s="2"/>
      <c r="Z65" s="5"/>
    </row>
    <row r="66" spans="1:26" s="63" customFormat="1" ht="15" customHeight="1" x14ac:dyDescent="0.3">
      <c r="A66" s="13"/>
      <c r="B66" s="28" t="s">
        <v>291</v>
      </c>
      <c r="C66" s="13"/>
      <c r="D66" s="8">
        <f>SUM(0)</f>
        <v>0</v>
      </c>
      <c r="E66" s="8"/>
      <c r="F66" s="14">
        <f>IF(D$12=0,0,D66/D$12)</f>
        <v>0</v>
      </c>
      <c r="G66" s="8"/>
      <c r="H66" s="8">
        <f>SUM(0)</f>
        <v>0</v>
      </c>
      <c r="I66" s="8"/>
      <c r="J66" s="14">
        <f>IF(H$12=0,0,H66/H$12)</f>
        <v>0</v>
      </c>
      <c r="K66" s="8"/>
      <c r="L66" s="8">
        <f>+D66-H66</f>
        <v>0</v>
      </c>
      <c r="M66" s="8"/>
      <c r="N66" s="14">
        <f>IF(H66=0,0,L66/H66)</f>
        <v>0</v>
      </c>
      <c r="O66" s="13"/>
      <c r="P66" s="8">
        <f>SUM(0)</f>
        <v>0</v>
      </c>
      <c r="Q66" s="8"/>
      <c r="R66" s="14">
        <f>IF(P$12=0,0,P66/P$12)</f>
        <v>0</v>
      </c>
      <c r="S66" s="8"/>
      <c r="T66" s="8">
        <f>SUM(0)</f>
        <v>0</v>
      </c>
      <c r="U66" s="8"/>
      <c r="V66" s="14">
        <f>IF(T$12=0,0,T66/T$12)</f>
        <v>0</v>
      </c>
      <c r="W66" s="8"/>
      <c r="X66" s="8">
        <f>+P66-T66</f>
        <v>0</v>
      </c>
      <c r="Y66" s="8"/>
      <c r="Z66" s="14">
        <f>IF(T66=0,0,X66/T66)</f>
        <v>0</v>
      </c>
    </row>
    <row r="67" spans="1:26" ht="15" customHeight="1" x14ac:dyDescent="0.3">
      <c r="A67" s="12"/>
      <c r="B67" s="13"/>
      <c r="C67" s="13"/>
      <c r="D67" s="4"/>
      <c r="E67" s="4"/>
      <c r="F67" s="10"/>
      <c r="G67" s="4"/>
      <c r="H67" s="4"/>
      <c r="I67" s="4"/>
      <c r="J67" s="10"/>
      <c r="K67" s="4"/>
      <c r="L67" s="4"/>
      <c r="M67" s="4"/>
      <c r="N67" s="10"/>
      <c r="O67" s="13"/>
      <c r="P67" s="4"/>
      <c r="Q67" s="4"/>
      <c r="R67" s="10"/>
      <c r="S67" s="4"/>
      <c r="T67" s="4"/>
      <c r="U67" s="4"/>
      <c r="V67" s="10"/>
      <c r="W67" s="4"/>
      <c r="X67" s="4"/>
      <c r="Y67" s="4"/>
      <c r="Z67" s="10"/>
    </row>
    <row r="68" spans="1:26" s="63" customFormat="1" ht="15" customHeight="1" x14ac:dyDescent="0.3">
      <c r="A68" s="13"/>
      <c r="B68" s="27" t="s">
        <v>292</v>
      </c>
      <c r="C68" s="27"/>
      <c r="D68" s="23">
        <f>+D16-D18+D66</f>
        <v>-37710.15</v>
      </c>
      <c r="E68" s="15"/>
      <c r="F68" s="22">
        <f>IF(D$12=0,0,D68/D$12)</f>
        <v>0</v>
      </c>
      <c r="G68" s="15"/>
      <c r="H68" s="23">
        <f>+H16-H18+H66</f>
        <v>-45828.666047384599</v>
      </c>
      <c r="I68" s="15"/>
      <c r="J68" s="22">
        <f>IF(H$12=0,0,H68/H$12)</f>
        <v>0</v>
      </c>
      <c r="K68" s="17"/>
      <c r="L68" s="23">
        <f>+D68-H68</f>
        <v>8118.5160473845972</v>
      </c>
      <c r="M68" s="17"/>
      <c r="N68" s="22">
        <f>IF(H68=0,0,L68/H68)</f>
        <v>-0.17714929862873269</v>
      </c>
      <c r="O68" s="28"/>
      <c r="P68" s="23">
        <f>+P16-P18+P66</f>
        <v>-535601.5199999999</v>
      </c>
      <c r="Q68" s="15"/>
      <c r="R68" s="22">
        <f>IF(P$12=0,0,P68/P$12)</f>
        <v>0</v>
      </c>
      <c r="S68" s="15"/>
      <c r="T68" s="23">
        <f>+T16-T18+T66</f>
        <v>-599704.65861600009</v>
      </c>
      <c r="U68" s="15"/>
      <c r="V68" s="22">
        <f>IF(T$12=0,0,T68/T$12)</f>
        <v>0</v>
      </c>
      <c r="W68" s="17"/>
      <c r="X68" s="23">
        <f>+P68-T68</f>
        <v>64103.138616000186</v>
      </c>
      <c r="Y68" s="17"/>
      <c r="Z68" s="22">
        <f>IF(T68=0,0,X68/T68)</f>
        <v>-0.10689118000840209</v>
      </c>
    </row>
    <row r="69" spans="1:26" ht="15" customHeight="1" x14ac:dyDescent="0.3">
      <c r="A69" s="12"/>
      <c r="B69" s="13"/>
      <c r="C69" s="12"/>
      <c r="D69" s="4"/>
      <c r="E69" s="4"/>
      <c r="F69" s="10"/>
      <c r="G69" s="4"/>
      <c r="H69" s="4"/>
      <c r="I69" s="4"/>
      <c r="J69" s="10"/>
      <c r="K69" s="4"/>
      <c r="L69" s="4"/>
      <c r="M69" s="4"/>
      <c r="N69" s="10"/>
      <c r="P69" s="4"/>
      <c r="Q69" s="4"/>
      <c r="R69" s="10"/>
      <c r="S69" s="4"/>
      <c r="T69" s="4"/>
      <c r="U69" s="4"/>
      <c r="V69" s="10"/>
      <c r="W69" s="4"/>
      <c r="X69" s="4"/>
      <c r="Y69" s="4"/>
      <c r="Z69" s="10"/>
    </row>
    <row r="70" spans="1:26" s="63" customFormat="1" ht="15" customHeight="1" x14ac:dyDescent="0.3">
      <c r="A70" s="49"/>
      <c r="B70" s="13" t="s">
        <v>293</v>
      </c>
      <c r="C70" s="13"/>
      <c r="D70" s="8"/>
      <c r="E70" s="8"/>
      <c r="F70" s="14">
        <f>IF(D$12=0,0,D70/D$12)</f>
        <v>0</v>
      </c>
      <c r="G70" s="8"/>
      <c r="H70" s="8"/>
      <c r="I70" s="8"/>
      <c r="J70" s="14">
        <f>IF(H$12=0,0,H70/H$12)</f>
        <v>0</v>
      </c>
      <c r="K70" s="8"/>
      <c r="L70" s="8">
        <f>+D70-H70</f>
        <v>0</v>
      </c>
      <c r="M70" s="8"/>
      <c r="N70" s="14">
        <f>IF(H70=0,0,L70/H70)</f>
        <v>0</v>
      </c>
      <c r="O70" s="13"/>
      <c r="P70" s="8"/>
      <c r="Q70" s="8"/>
      <c r="R70" s="14">
        <f>IF(P$12=0,0,P70/P$12)</f>
        <v>0</v>
      </c>
      <c r="S70" s="8"/>
      <c r="T70" s="8"/>
      <c r="U70" s="8"/>
      <c r="V70" s="14">
        <f>IF(T$12=0,0,T70/T$12)</f>
        <v>0</v>
      </c>
      <c r="W70" s="8"/>
      <c r="X70" s="8">
        <f>+P70-T70</f>
        <v>0</v>
      </c>
      <c r="Y70" s="8"/>
      <c r="Z70" s="14">
        <f>IF(T70=0,0,X70/T70)</f>
        <v>0</v>
      </c>
    </row>
    <row r="71" spans="1:26" ht="15" customHeight="1" x14ac:dyDescent="0.3">
      <c r="A71" s="12"/>
      <c r="B71" s="13"/>
      <c r="C71" s="13"/>
      <c r="D71" s="4"/>
      <c r="E71" s="4"/>
      <c r="F71" s="10"/>
      <c r="G71" s="4"/>
      <c r="H71" s="4"/>
      <c r="I71" s="4"/>
      <c r="J71" s="10"/>
      <c r="K71" s="4"/>
      <c r="L71" s="4"/>
      <c r="M71" s="4"/>
      <c r="N71" s="10"/>
      <c r="O71" s="13"/>
      <c r="P71" s="4"/>
      <c r="Q71" s="4"/>
      <c r="R71" s="10"/>
      <c r="S71" s="4"/>
      <c r="T71" s="4"/>
      <c r="U71" s="4"/>
      <c r="V71" s="10"/>
      <c r="W71" s="4"/>
      <c r="X71" s="4"/>
      <c r="Y71" s="4"/>
      <c r="Z71" s="10"/>
    </row>
    <row r="72" spans="1:26" s="63" customFormat="1" ht="15" customHeight="1" x14ac:dyDescent="0.3">
      <c r="A72" s="13"/>
      <c r="B72" s="27" t="s">
        <v>294</v>
      </c>
      <c r="C72" s="27"/>
      <c r="D72" s="30">
        <f>+D68-D70</f>
        <v>-37710.15</v>
      </c>
      <c r="E72" s="15"/>
      <c r="F72" s="35">
        <f>IF(D$12=0,0,D72/D$12)</f>
        <v>0</v>
      </c>
      <c r="G72" s="15"/>
      <c r="H72" s="30">
        <f>+H68-H70</f>
        <v>-45828.666047384599</v>
      </c>
      <c r="I72" s="15"/>
      <c r="J72" s="35">
        <f>IF(H$12=0,0,H72/H$12)</f>
        <v>0</v>
      </c>
      <c r="K72" s="17"/>
      <c r="L72" s="30">
        <f>D72-H72</f>
        <v>8118.5160473845972</v>
      </c>
      <c r="M72" s="17"/>
      <c r="N72" s="35">
        <f>IF(H72=0,0,L72/H72)</f>
        <v>-0.17714929862873269</v>
      </c>
      <c r="O72" s="28"/>
      <c r="P72" s="30">
        <f>+P68-P70</f>
        <v>-535601.5199999999</v>
      </c>
      <c r="Q72" s="15"/>
      <c r="R72" s="35">
        <f>IF(P$12=0,0,P72/P$12)</f>
        <v>0</v>
      </c>
      <c r="S72" s="15"/>
      <c r="T72" s="30">
        <f>+T68-T70</f>
        <v>-599704.65861600009</v>
      </c>
      <c r="U72" s="15"/>
      <c r="V72" s="35">
        <f>IF(T$12=0,0,T72/T$12)</f>
        <v>0</v>
      </c>
      <c r="W72" s="17"/>
      <c r="X72" s="30">
        <f>P72-T72</f>
        <v>64103.138616000186</v>
      </c>
      <c r="Y72" s="17"/>
      <c r="Z72" s="35">
        <f>IF(T72=0,0,X72/T72)</f>
        <v>-0.10689118000840209</v>
      </c>
    </row>
    <row r="73" spans="1:26" ht="15" customHeight="1" x14ac:dyDescent="0.3">
      <c r="A73" s="12"/>
      <c r="B73" s="12"/>
      <c r="C73" s="12"/>
      <c r="D73" s="4"/>
      <c r="E73" s="4"/>
      <c r="F73" s="10"/>
      <c r="G73" s="4"/>
      <c r="H73" s="4"/>
      <c r="I73" s="4"/>
      <c r="J73" s="10"/>
      <c r="K73" s="4"/>
      <c r="L73" s="4"/>
      <c r="M73" s="4"/>
      <c r="N73" s="10"/>
      <c r="P73" s="4"/>
      <c r="Q73" s="4"/>
      <c r="R73" s="10"/>
      <c r="S73" s="4"/>
      <c r="T73" s="4"/>
      <c r="U73" s="4"/>
      <c r="V73" s="10"/>
      <c r="W73" s="4"/>
      <c r="X73" s="4"/>
      <c r="Y73" s="4"/>
      <c r="Z73" s="10"/>
    </row>
    <row r="74" spans="1:26" ht="15" customHeight="1" x14ac:dyDescent="0.3">
      <c r="A74" s="12"/>
      <c r="B74" s="12"/>
      <c r="C74" s="12"/>
      <c r="D74" s="4"/>
      <c r="E74" s="4"/>
      <c r="F74" s="10"/>
      <c r="G74" s="4"/>
      <c r="H74" s="4"/>
      <c r="I74" s="4"/>
      <c r="J74" s="10"/>
      <c r="K74" s="4"/>
      <c r="L74" s="4"/>
      <c r="M74" s="4"/>
      <c r="N74" s="10"/>
      <c r="P74" s="4"/>
      <c r="Q74" s="4"/>
      <c r="R74" s="10"/>
      <c r="S74" s="4"/>
      <c r="T74" s="4"/>
      <c r="U74" s="4"/>
      <c r="V74" s="10"/>
      <c r="W74" s="4"/>
      <c r="X74" s="4"/>
      <c r="Y74" s="4"/>
      <c r="Z74" s="10"/>
    </row>
    <row r="75" spans="1:26" s="63" customFormat="1" ht="15" customHeight="1" x14ac:dyDescent="0.3">
      <c r="A75" s="13"/>
      <c r="B75" s="27" t="s">
        <v>297</v>
      </c>
      <c r="C75" s="27"/>
      <c r="D75" s="33">
        <f>SUM(D72:D74)</f>
        <v>-37710.15</v>
      </c>
      <c r="E75" s="15"/>
      <c r="F75" s="31">
        <f>IF(D$12=0,0,D75/D$12)</f>
        <v>0</v>
      </c>
      <c r="G75" s="15"/>
      <c r="H75" s="33">
        <f>SUM(H72:H74)</f>
        <v>-45828.666047384599</v>
      </c>
      <c r="I75" s="15"/>
      <c r="J75" s="31">
        <f>IF(H$12=0,0,H75/H$12)</f>
        <v>0</v>
      </c>
      <c r="K75" s="17"/>
      <c r="L75" s="33">
        <f>+D75-H75</f>
        <v>8118.5160473845972</v>
      </c>
      <c r="M75" s="17"/>
      <c r="N75" s="31">
        <f>IF(H75=0,0,L75/H75)</f>
        <v>-0.17714929862873269</v>
      </c>
      <c r="O75" s="28"/>
      <c r="P75" s="33">
        <f>SUM(P72:P74)</f>
        <v>-535601.5199999999</v>
      </c>
      <c r="Q75" s="15"/>
      <c r="R75" s="31">
        <f>IF(P$12=0,0,P75/P$12)</f>
        <v>0</v>
      </c>
      <c r="S75" s="15"/>
      <c r="T75" s="33">
        <f>SUM(T72:T74)</f>
        <v>-599704.65861600009</v>
      </c>
      <c r="U75" s="15"/>
      <c r="V75" s="31">
        <f>IF(T$12=0,0,T75/T$12)</f>
        <v>0</v>
      </c>
      <c r="W75" s="17"/>
      <c r="X75" s="33">
        <f>+P75-T75</f>
        <v>64103.138616000186</v>
      </c>
      <c r="Y75" s="17"/>
      <c r="Z75" s="31">
        <f>IF(T75=0,0,X75/T75)</f>
        <v>-0.10689118000840209</v>
      </c>
    </row>
    <row r="76" spans="1:26" ht="15" customHeight="1" x14ac:dyDescent="0.3">
      <c r="A76" s="12"/>
      <c r="C76" s="12"/>
      <c r="D76" s="19"/>
      <c r="E76" s="19"/>
      <c r="G76" s="19"/>
      <c r="H76" s="19"/>
      <c r="I76" s="19"/>
      <c r="J76" s="41"/>
      <c r="K76" s="19"/>
      <c r="L76" s="19"/>
      <c r="M76" s="19"/>
      <c r="P76" s="19"/>
      <c r="Q76" s="19"/>
      <c r="R76" s="41"/>
      <c r="S76" s="19"/>
      <c r="T76" s="19"/>
      <c r="U76" s="19"/>
      <c r="V76" s="41"/>
      <c r="W76" s="19"/>
      <c r="X76" s="19"/>
    </row>
    <row r="77" spans="1:26" ht="15" customHeight="1" x14ac:dyDescent="0.3">
      <c r="A77" s="12"/>
      <c r="B77" s="50">
        <v>44767.799547766204</v>
      </c>
      <c r="D77" s="19"/>
      <c r="E77" s="19"/>
      <c r="G77" s="19"/>
      <c r="H77" s="19"/>
      <c r="I77" s="19"/>
      <c r="J77" s="41"/>
      <c r="K77" s="19"/>
      <c r="L77" s="19"/>
      <c r="M77" s="19"/>
      <c r="P77" s="19"/>
      <c r="Q77" s="19"/>
      <c r="R77" s="41"/>
      <c r="S77" s="19"/>
      <c r="T77" s="19"/>
      <c r="U77" s="19"/>
      <c r="V77" s="41"/>
      <c r="W77" s="19"/>
      <c r="X77" s="19"/>
    </row>
    <row r="78" spans="1:26" ht="15" customHeight="1" x14ac:dyDescent="0.3">
      <c r="A78" s="12"/>
      <c r="B78" s="57" t="s">
        <v>298</v>
      </c>
      <c r="D78" s="19"/>
      <c r="E78" s="19"/>
      <c r="G78" s="19"/>
      <c r="H78" s="19"/>
      <c r="I78" s="19"/>
      <c r="J78" s="41"/>
      <c r="K78" s="19"/>
      <c r="L78" s="19"/>
      <c r="M78" s="19"/>
      <c r="P78" s="19"/>
      <c r="Q78" s="19"/>
      <c r="R78" s="41"/>
      <c r="S78" s="19"/>
      <c r="T78" s="19"/>
      <c r="U78" s="19"/>
      <c r="V78" s="41"/>
      <c r="W78" s="19"/>
      <c r="X78" s="19"/>
    </row>
    <row r="79" spans="1:26" ht="15" customHeight="1" x14ac:dyDescent="0.3">
      <c r="A79" s="12"/>
      <c r="B79" s="51"/>
      <c r="D79" s="19"/>
      <c r="E79" s="19"/>
      <c r="G79" s="19"/>
      <c r="H79" s="19"/>
      <c r="I79" s="19"/>
      <c r="J79" s="41"/>
      <c r="K79" s="19"/>
      <c r="L79" s="19"/>
      <c r="M79" s="19"/>
      <c r="P79" s="19"/>
      <c r="Q79" s="19"/>
      <c r="R79" s="41"/>
      <c r="S79" s="19"/>
      <c r="T79" s="19"/>
      <c r="U79" s="19"/>
      <c r="V79" s="41"/>
      <c r="W79" s="19"/>
      <c r="X79" s="19"/>
    </row>
    <row r="80" spans="1:26" ht="15" customHeight="1" x14ac:dyDescent="0.3">
      <c r="D80" s="19"/>
      <c r="E80" s="19"/>
      <c r="G80" s="19"/>
      <c r="H80" s="19"/>
      <c r="I80" s="19"/>
      <c r="J80" s="41"/>
      <c r="K80" s="19"/>
      <c r="L80" s="19"/>
      <c r="M80" s="19"/>
      <c r="P80" s="19"/>
      <c r="Q80" s="19"/>
      <c r="R80" s="41"/>
      <c r="S80" s="19"/>
      <c r="T80" s="19"/>
      <c r="U80" s="19"/>
      <c r="V80" s="41"/>
      <c r="W80" s="19"/>
      <c r="X80" s="19"/>
    </row>
  </sheetData>
  <pageMargins left="0.25" right="0.25" top="0.75" bottom="0.75" header="0.3" footer="0.3"/>
  <pageSetup scale="55" orientation="landscape" r:id="rId1"/>
  <headerFooter>
    <oddHeader>&amp;RPre-Audit</oddHeader>
    <oddFooter>&amp;L&amp;C&amp;R</oddFooter>
    <evenHeader>&amp;L&amp;C&amp;R</evenHeader>
    <evenFooter>&amp;L&amp;C&amp;R</even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0B689B-D5E6-4292-6F42-03F4CC62D604}">
  <sheetPr>
    <tabColor rgb="FF92D050"/>
    <outlinePr summaryBelow="0" summaryRight="0"/>
  </sheetPr>
  <dimension ref="A2:Z71"/>
  <sheetViews>
    <sheetView showGridLines="0" defaultGridColor="0" colorId="8" zoomScale="80" workbookViewId="0">
      <pane xSplit="3" ySplit="10" topLeftCell="D11" activePane="bottomRight" state="frozen"/>
      <selection activeCell="D78" sqref="D78"/>
      <selection pane="topRight" activeCell="D78" sqref="D78"/>
      <selection pane="bottomLeft" activeCell="D78" sqref="D78"/>
      <selection pane="bottomRight" activeCell="D78" sqref="D78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3" t="s">
        <v>276</v>
      </c>
    </row>
    <row r="3" spans="1:26" ht="15" customHeight="1" x14ac:dyDescent="0.3">
      <c r="D3" s="53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3" t="str">
        <f>CONCATENATE("Period ",RIGHT(202212,2),", ",2022)</f>
        <v>Period 12,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5"/>
      <c r="D5" s="60">
        <v>44742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5"/>
      <c r="B6" s="47"/>
      <c r="C6" s="47"/>
      <c r="D6" s="25" t="str">
        <f>CONCATENATE("Department ","205"," - ","Maintenance")</f>
        <v>Department 205 - Maintenance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4"/>
    </row>
    <row r="8" spans="1:26" ht="15" customHeight="1" x14ac:dyDescent="0.3">
      <c r="B8" s="54"/>
    </row>
    <row r="9" spans="1:26" ht="15" customHeight="1" x14ac:dyDescent="0.3">
      <c r="B9" s="12"/>
      <c r="C9" s="12"/>
      <c r="D9" s="16" t="s">
        <v>279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280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ht="15" customHeight="1" x14ac:dyDescent="0.3">
      <c r="A10" s="13"/>
      <c r="B10" s="52"/>
      <c r="C10" s="13"/>
      <c r="D10" s="40" t="s">
        <v>281</v>
      </c>
      <c r="E10" s="32"/>
      <c r="F10" s="39" t="s">
        <v>282</v>
      </c>
      <c r="G10" s="32"/>
      <c r="H10" s="45" t="s">
        <v>283</v>
      </c>
      <c r="I10" s="32"/>
      <c r="J10" s="42" t="s">
        <v>284</v>
      </c>
      <c r="K10" s="13"/>
      <c r="L10" s="40" t="s">
        <v>285</v>
      </c>
      <c r="M10" s="13"/>
      <c r="N10" s="39" t="s">
        <v>286</v>
      </c>
      <c r="O10" s="13"/>
      <c r="P10" s="55" t="s">
        <v>281</v>
      </c>
      <c r="Q10" s="32"/>
      <c r="R10" s="39" t="s">
        <v>282</v>
      </c>
      <c r="S10" s="32"/>
      <c r="T10" s="45" t="s">
        <v>283</v>
      </c>
      <c r="U10" s="32"/>
      <c r="V10" s="42" t="s">
        <v>284</v>
      </c>
      <c r="W10" s="13"/>
      <c r="X10" s="40" t="s">
        <v>285</v>
      </c>
      <c r="Y10" s="13"/>
      <c r="Z10" s="39" t="s">
        <v>286</v>
      </c>
    </row>
    <row r="11" spans="1:26" ht="16.5" customHeight="1" x14ac:dyDescent="0.3">
      <c r="A11" s="12"/>
      <c r="B11" s="58"/>
      <c r="C11" s="12"/>
      <c r="D11" s="12"/>
      <c r="E11" s="12"/>
      <c r="F11" s="10"/>
      <c r="G11" s="12"/>
      <c r="H11" s="12"/>
      <c r="I11" s="12"/>
      <c r="J11" s="43"/>
      <c r="K11" s="12"/>
      <c r="L11" s="12"/>
      <c r="M11" s="12"/>
      <c r="N11" s="10"/>
      <c r="P11" s="12"/>
      <c r="Q11" s="12"/>
      <c r="R11" s="10"/>
      <c r="S11" s="12"/>
      <c r="T11" s="12"/>
      <c r="U11" s="12"/>
      <c r="V11" s="43"/>
      <c r="W11" s="12"/>
      <c r="X11" s="12"/>
      <c r="Y11" s="12"/>
      <c r="Z11" s="10"/>
    </row>
    <row r="12" spans="1:26" s="63" customFormat="1" ht="15" customHeight="1" x14ac:dyDescent="0.3">
      <c r="A12" s="13"/>
      <c r="B12" s="28" t="s">
        <v>287</v>
      </c>
      <c r="C12" s="13"/>
      <c r="D12" s="8">
        <f>SUM(0)</f>
        <v>0</v>
      </c>
      <c r="E12" s="8"/>
      <c r="F12" s="14"/>
      <c r="G12" s="8"/>
      <c r="H12" s="8">
        <f>SUM(0)</f>
        <v>0</v>
      </c>
      <c r="I12" s="8"/>
      <c r="J12" s="14"/>
      <c r="K12" s="8"/>
      <c r="L12" s="8">
        <f>+D12-H12</f>
        <v>0</v>
      </c>
      <c r="M12" s="8"/>
      <c r="N12" s="14">
        <f>IF(H12=0,0,L12/H12)</f>
        <v>0</v>
      </c>
      <c r="O12" s="13"/>
      <c r="P12" s="8">
        <f>SUM(0)</f>
        <v>0</v>
      </c>
      <c r="Q12" s="8"/>
      <c r="R12" s="14"/>
      <c r="S12" s="8"/>
      <c r="T12" s="8">
        <f>SUM(0)</f>
        <v>0</v>
      </c>
      <c r="U12" s="8"/>
      <c r="V12" s="14"/>
      <c r="W12" s="8"/>
      <c r="X12" s="8">
        <f>+P12-T12</f>
        <v>0</v>
      </c>
      <c r="Y12" s="8"/>
      <c r="Z12" s="14">
        <f>IF(T12=0,0,X12/T12)</f>
        <v>0</v>
      </c>
    </row>
    <row r="13" spans="1:26" ht="15" customHeight="1" x14ac:dyDescent="0.3">
      <c r="A13" s="12"/>
      <c r="B13" s="13"/>
      <c r="C13" s="12"/>
      <c r="D13" s="4"/>
      <c r="E13" s="4"/>
      <c r="F13" s="10"/>
      <c r="G13" s="4"/>
      <c r="H13" s="4"/>
      <c r="I13" s="4"/>
      <c r="J13" s="10"/>
      <c r="K13" s="4"/>
      <c r="L13" s="4"/>
      <c r="M13" s="4"/>
      <c r="N13" s="10"/>
      <c r="P13" s="4"/>
      <c r="Q13" s="4"/>
      <c r="R13" s="10"/>
      <c r="S13" s="4"/>
      <c r="T13" s="4"/>
      <c r="U13" s="4"/>
      <c r="V13" s="10"/>
      <c r="W13" s="4"/>
      <c r="X13" s="4"/>
      <c r="Y13" s="4"/>
      <c r="Z13" s="10"/>
    </row>
    <row r="14" spans="1:26" s="63" customFormat="1" ht="15" customHeight="1" x14ac:dyDescent="0.3">
      <c r="A14" s="13"/>
      <c r="B14" s="28" t="s">
        <v>288</v>
      </c>
      <c r="C14" s="13"/>
      <c r="D14" s="8">
        <f>SUM(0)</f>
        <v>0</v>
      </c>
      <c r="E14" s="8"/>
      <c r="F14" s="14">
        <f>IF(D$12=0,0,D14/D$12)</f>
        <v>0</v>
      </c>
      <c r="G14" s="8"/>
      <c r="H14" s="8">
        <f>SUM(0)</f>
        <v>0</v>
      </c>
      <c r="I14" s="8"/>
      <c r="J14" s="14">
        <f>IF(H$12=0,0,H14/H$12)</f>
        <v>0</v>
      </c>
      <c r="K14" s="8"/>
      <c r="L14" s="8">
        <f>+D14-H14</f>
        <v>0</v>
      </c>
      <c r="M14" s="8"/>
      <c r="N14" s="14">
        <f>IF(H14=0,0,L14/H14)</f>
        <v>0</v>
      </c>
      <c r="O14" s="13"/>
      <c r="P14" s="8">
        <f>SUM(0)</f>
        <v>0</v>
      </c>
      <c r="Q14" s="8"/>
      <c r="R14" s="14">
        <f>IF(P$12=0,0,P14/P$12)</f>
        <v>0</v>
      </c>
      <c r="S14" s="8"/>
      <c r="T14" s="8">
        <f>SUM(0)</f>
        <v>0</v>
      </c>
      <c r="U14" s="8"/>
      <c r="V14" s="14">
        <f>IF(T$12=0,0,T14/T$12)</f>
        <v>0</v>
      </c>
      <c r="W14" s="8"/>
      <c r="X14" s="8">
        <f>+P14-T14</f>
        <v>0</v>
      </c>
      <c r="Y14" s="8"/>
      <c r="Z14" s="14">
        <f>IF(T14=0,0,X14/T14)</f>
        <v>0</v>
      </c>
    </row>
    <row r="15" spans="1:26" ht="15" customHeight="1" x14ac:dyDescent="0.3">
      <c r="A15" s="12"/>
      <c r="B15" s="13"/>
      <c r="C15" s="13"/>
      <c r="D15" s="4"/>
      <c r="E15" s="4"/>
      <c r="F15" s="10"/>
      <c r="G15" s="4"/>
      <c r="H15" s="4"/>
      <c r="I15" s="4"/>
      <c r="J15" s="10"/>
      <c r="K15" s="4"/>
      <c r="L15" s="4"/>
      <c r="M15" s="4"/>
      <c r="N15" s="10"/>
      <c r="O15" s="13"/>
      <c r="P15" s="4"/>
      <c r="Q15" s="4"/>
      <c r="R15" s="10"/>
      <c r="S15" s="4"/>
      <c r="T15" s="4"/>
      <c r="U15" s="4"/>
      <c r="V15" s="10"/>
      <c r="W15" s="4"/>
      <c r="X15" s="4"/>
      <c r="Y15" s="4"/>
      <c r="Z15" s="10"/>
    </row>
    <row r="16" spans="1:26" s="63" customFormat="1" ht="15" customHeight="1" x14ac:dyDescent="0.3">
      <c r="A16" s="13"/>
      <c r="B16" s="27" t="s">
        <v>289</v>
      </c>
      <c r="C16" s="27"/>
      <c r="D16" s="23">
        <f>D12-D14</f>
        <v>0</v>
      </c>
      <c r="E16" s="15"/>
      <c r="F16" s="22">
        <f>IF(D$12=0,0,D16/D$12)</f>
        <v>0</v>
      </c>
      <c r="G16" s="15"/>
      <c r="H16" s="23">
        <f>H12-H14</f>
        <v>0</v>
      </c>
      <c r="I16" s="15"/>
      <c r="J16" s="22">
        <f>IF(H$12=0,0,H16/H$12)</f>
        <v>0</v>
      </c>
      <c r="K16" s="17"/>
      <c r="L16" s="23">
        <f>+D16-H16</f>
        <v>0</v>
      </c>
      <c r="M16" s="17"/>
      <c r="N16" s="22">
        <f>IF(H16=0,0,L16/H16)</f>
        <v>0</v>
      </c>
      <c r="O16" s="28"/>
      <c r="P16" s="23">
        <f>P12-P14</f>
        <v>0</v>
      </c>
      <c r="Q16" s="15"/>
      <c r="R16" s="22">
        <f>IF(P$12=0,0,P16/P$12)</f>
        <v>0</v>
      </c>
      <c r="S16" s="15"/>
      <c r="T16" s="23">
        <f>T12-T14</f>
        <v>0</v>
      </c>
      <c r="U16" s="15"/>
      <c r="V16" s="22">
        <f>IF(T$12=0,0,T16/T$12)</f>
        <v>0</v>
      </c>
      <c r="W16" s="17"/>
      <c r="X16" s="23">
        <f>+P16-T16</f>
        <v>0</v>
      </c>
      <c r="Y16" s="17"/>
      <c r="Z16" s="22">
        <f>IF(T16=0,0,X16/T16)</f>
        <v>0</v>
      </c>
    </row>
    <row r="17" spans="1:26" ht="15" customHeight="1" x14ac:dyDescent="0.3">
      <c r="A17" s="12"/>
      <c r="B17" s="13"/>
      <c r="C17" s="12"/>
      <c r="D17" s="2"/>
      <c r="E17" s="2"/>
      <c r="F17" s="5"/>
      <c r="G17" s="2"/>
      <c r="H17" s="2"/>
      <c r="I17" s="2"/>
      <c r="J17" s="5"/>
      <c r="K17" s="2"/>
      <c r="L17" s="2"/>
      <c r="M17" s="2"/>
      <c r="N17" s="5"/>
      <c r="O17" s="36"/>
      <c r="P17" s="2"/>
      <c r="Q17" s="2"/>
      <c r="R17" s="5"/>
      <c r="S17" s="2"/>
      <c r="T17" s="2"/>
      <c r="U17" s="2"/>
      <c r="V17" s="5"/>
      <c r="W17" s="2"/>
      <c r="X17" s="2"/>
      <c r="Y17" s="2"/>
      <c r="Z17" s="5"/>
    </row>
    <row r="18" spans="1:26" s="63" customFormat="1" ht="15" customHeight="1" x14ac:dyDescent="0.3">
      <c r="A18" s="13"/>
      <c r="B18" s="28" t="s">
        <v>290</v>
      </c>
      <c r="C18" s="13"/>
      <c r="D18" s="24" cm="1">
        <f t="array" ref="D18">SUM(OSRRefD22x_0)</f>
        <v>5248.0700000000006</v>
      </c>
      <c r="E18" s="24"/>
      <c r="F18" s="34">
        <f t="shared" ref="F18:F55" si="0">IF(D$12=0,0,D18/D$12)</f>
        <v>0</v>
      </c>
      <c r="G18" s="24"/>
      <c r="H18" s="24" cm="1">
        <f t="array" ref="H18">SUM(OSRRefH22x_0)</f>
        <v>7587.9665799999993</v>
      </c>
      <c r="I18" s="24"/>
      <c r="J18" s="34">
        <f t="shared" ref="J18:J55" si="1">IF(H$12=0,0,H18/H$12)</f>
        <v>0</v>
      </c>
      <c r="K18" s="8"/>
      <c r="L18" s="24">
        <f t="shared" ref="L18:L55" si="2">+D18-H18</f>
        <v>-2339.8965799999987</v>
      </c>
      <c r="M18" s="8"/>
      <c r="N18" s="34">
        <f t="shared" ref="N18:N55" si="3">IF(H18=0,0,L18/H18)</f>
        <v>-0.30836938398850972</v>
      </c>
      <c r="O18" s="13"/>
      <c r="P18" s="24" cm="1">
        <f t="array" ref="P18">SUM(OSRRefP22x_0)</f>
        <v>99775.79</v>
      </c>
      <c r="Q18" s="24"/>
      <c r="R18" s="34">
        <f t="shared" ref="R18:R55" si="4">IF(P$12=0,0,P18/P$12)</f>
        <v>0</v>
      </c>
      <c r="S18" s="24"/>
      <c r="T18" s="24" cm="1">
        <f t="array" ref="T18">SUM(OSRRefT22x_0)</f>
        <v>104608.56554</v>
      </c>
      <c r="U18" s="24"/>
      <c r="V18" s="34">
        <f t="shared" ref="V18:V55" si="5">IF(T$12=0,0,T18/T$12)</f>
        <v>0</v>
      </c>
      <c r="W18" s="8"/>
      <c r="X18" s="24">
        <f t="shared" ref="X18:X55" si="6">+P18-T18</f>
        <v>-4832.7755400000024</v>
      </c>
      <c r="Y18" s="8"/>
      <c r="Z18" s="34">
        <f t="shared" ref="Z18:Z55" si="7">IF(T18=0,0,X18/T18)</f>
        <v>-4.619865988079204E-2</v>
      </c>
    </row>
    <row r="19" spans="1:26" s="69" customFormat="1" ht="15" customHeight="1" outlineLevel="1" collapsed="1" x14ac:dyDescent="0.3">
      <c r="A19" s="20"/>
      <c r="B19" s="11" t="str">
        <f>CONCATENATE("     ","*Benefits                                         ")</f>
        <v xml:space="preserve">     *Benefits                                         </v>
      </c>
      <c r="C19" s="11"/>
      <c r="D19" s="2">
        <f>SUM(OSRRefD22_0x_0)</f>
        <v>-78.579999999999785</v>
      </c>
      <c r="E19" s="2"/>
      <c r="F19" s="5">
        <f t="shared" si="0"/>
        <v>0</v>
      </c>
      <c r="G19" s="2"/>
      <c r="H19" s="2">
        <f>SUM(OSRRefH22_0x_0)</f>
        <v>1854.7865799999997</v>
      </c>
      <c r="I19" s="2"/>
      <c r="J19" s="5">
        <f t="shared" si="1"/>
        <v>0</v>
      </c>
      <c r="K19" s="2"/>
      <c r="L19" s="2">
        <f t="shared" si="2"/>
        <v>-1933.3665799999994</v>
      </c>
      <c r="M19" s="2"/>
      <c r="N19" s="5">
        <f t="shared" si="3"/>
        <v>-1.0423660602504465</v>
      </c>
      <c r="O19" s="11"/>
      <c r="P19" s="2">
        <f>SUM(OSRRefP22_0x_0)</f>
        <v>29932.230000000003</v>
      </c>
      <c r="Q19" s="2"/>
      <c r="R19" s="5">
        <f t="shared" si="4"/>
        <v>0</v>
      </c>
      <c r="S19" s="2"/>
      <c r="T19" s="2">
        <f>SUM(OSRRefT22_0x_0)</f>
        <v>23937.225539999999</v>
      </c>
      <c r="U19" s="2"/>
      <c r="V19" s="5">
        <f t="shared" si="5"/>
        <v>0</v>
      </c>
      <c r="W19" s="2"/>
      <c r="X19" s="2">
        <f t="shared" si="6"/>
        <v>5995.0044600000037</v>
      </c>
      <c r="Y19" s="2"/>
      <c r="Z19" s="5">
        <f t="shared" si="7"/>
        <v>0.25044692209555058</v>
      </c>
    </row>
    <row r="20" spans="1:26" s="70" customFormat="1" ht="15" hidden="1" customHeight="1" outlineLevel="2" x14ac:dyDescent="0.3">
      <c r="A20" s="21"/>
      <c r="B20" s="9" t="str">
        <f>CONCATENATE("          ","6111"," - ","F.I.C.A.")</f>
        <v xml:space="preserve">          6111 - F.I.C.A.</v>
      </c>
      <c r="C20" s="9"/>
      <c r="D20" s="6">
        <v>334.14</v>
      </c>
      <c r="E20" s="3"/>
      <c r="F20" s="7">
        <f t="shared" si="0"/>
        <v>0</v>
      </c>
      <c r="G20" s="3"/>
      <c r="H20" s="6">
        <v>331.06878</v>
      </c>
      <c r="I20" s="3"/>
      <c r="J20" s="7">
        <f t="shared" si="1"/>
        <v>0</v>
      </c>
      <c r="K20" s="3"/>
      <c r="L20" s="6">
        <f t="shared" si="2"/>
        <v>3.0712199999999825</v>
      </c>
      <c r="M20" s="3"/>
      <c r="N20" s="7">
        <f t="shared" si="3"/>
        <v>9.2766826277004503E-3</v>
      </c>
      <c r="O20" s="9"/>
      <c r="P20" s="6">
        <v>4366.7299999999996</v>
      </c>
      <c r="Q20" s="3"/>
      <c r="R20" s="7">
        <f t="shared" si="4"/>
        <v>0</v>
      </c>
      <c r="S20" s="3"/>
      <c r="T20" s="6">
        <v>4303.8941400000003</v>
      </c>
      <c r="U20" s="3"/>
      <c r="V20" s="7">
        <f t="shared" si="5"/>
        <v>0</v>
      </c>
      <c r="W20" s="3"/>
      <c r="X20" s="6">
        <f t="shared" si="6"/>
        <v>62.835859999999229</v>
      </c>
      <c r="Y20" s="3"/>
      <c r="Z20" s="7">
        <f t="shared" si="7"/>
        <v>1.4599768943201568E-2</v>
      </c>
    </row>
    <row r="21" spans="1:26" s="70" customFormat="1" ht="15" hidden="1" customHeight="1" outlineLevel="2" x14ac:dyDescent="0.3">
      <c r="A21" s="21"/>
      <c r="B21" s="9" t="str">
        <f>CONCATENATE("          ","6112"," - ","COMPENSATION INSURANCE")</f>
        <v xml:space="preserve">          6112 - COMPENSATION INSURANCE</v>
      </c>
      <c r="C21" s="9"/>
      <c r="D21" s="6">
        <v>-2371.4899999999998</v>
      </c>
      <c r="E21" s="3"/>
      <c r="F21" s="7">
        <f t="shared" si="0"/>
        <v>0</v>
      </c>
      <c r="G21" s="3"/>
      <c r="H21" s="6">
        <v>295.03320000000002</v>
      </c>
      <c r="I21" s="3"/>
      <c r="J21" s="7">
        <f t="shared" si="1"/>
        <v>0</v>
      </c>
      <c r="K21" s="3"/>
      <c r="L21" s="6">
        <f t="shared" si="2"/>
        <v>-2666.5231999999996</v>
      </c>
      <c r="M21" s="3"/>
      <c r="N21" s="7">
        <f t="shared" si="3"/>
        <v>-9.0380445319374214</v>
      </c>
      <c r="O21" s="9"/>
      <c r="P21" s="6">
        <v>533.04999999999995</v>
      </c>
      <c r="Q21" s="3"/>
      <c r="R21" s="7">
        <f t="shared" si="4"/>
        <v>0</v>
      </c>
      <c r="S21" s="3"/>
      <c r="T21" s="6">
        <v>3835.4315999999999</v>
      </c>
      <c r="U21" s="3"/>
      <c r="V21" s="7">
        <f t="shared" si="5"/>
        <v>0</v>
      </c>
      <c r="W21" s="3"/>
      <c r="X21" s="6">
        <f t="shared" si="6"/>
        <v>-3302.3815999999997</v>
      </c>
      <c r="Y21" s="3"/>
      <c r="Z21" s="7">
        <f t="shared" si="7"/>
        <v>-0.8610195525322365</v>
      </c>
    </row>
    <row r="22" spans="1:26" s="70" customFormat="1" ht="15" hidden="1" customHeight="1" outlineLevel="2" x14ac:dyDescent="0.3">
      <c r="A22" s="21"/>
      <c r="B22" s="9" t="str">
        <f>CONCATENATE("          ","6113"," - ","GROUP INSURANCE")</f>
        <v xml:space="preserve">          6113 - GROUP INSURANCE</v>
      </c>
      <c r="C22" s="9"/>
      <c r="D22" s="6">
        <v>694.36</v>
      </c>
      <c r="E22" s="3"/>
      <c r="F22" s="7">
        <f t="shared" si="0"/>
        <v>0</v>
      </c>
      <c r="G22" s="3"/>
      <c r="H22" s="6">
        <v>612</v>
      </c>
      <c r="I22" s="3"/>
      <c r="J22" s="7">
        <f t="shared" si="1"/>
        <v>0</v>
      </c>
      <c r="K22" s="3"/>
      <c r="L22" s="6">
        <f t="shared" si="2"/>
        <v>82.360000000000014</v>
      </c>
      <c r="M22" s="3"/>
      <c r="N22" s="7">
        <f t="shared" si="3"/>
        <v>0.13457516339869283</v>
      </c>
      <c r="O22" s="9"/>
      <c r="P22" s="6">
        <v>8354.3700000000008</v>
      </c>
      <c r="Q22" s="3"/>
      <c r="R22" s="7">
        <f t="shared" si="4"/>
        <v>0</v>
      </c>
      <c r="S22" s="3"/>
      <c r="T22" s="6">
        <v>7956</v>
      </c>
      <c r="U22" s="3"/>
      <c r="V22" s="7">
        <f t="shared" si="5"/>
        <v>0</v>
      </c>
      <c r="W22" s="3"/>
      <c r="X22" s="6">
        <f t="shared" si="6"/>
        <v>398.3700000000008</v>
      </c>
      <c r="Y22" s="3"/>
      <c r="Z22" s="7">
        <f t="shared" si="7"/>
        <v>5.0071644042232376E-2</v>
      </c>
    </row>
    <row r="23" spans="1:26" s="70" customFormat="1" ht="15" hidden="1" customHeight="1" outlineLevel="2" x14ac:dyDescent="0.3">
      <c r="A23" s="21"/>
      <c r="B23" s="9" t="str">
        <f>CONCATENATE("          ","6114"," - ","STATE UNEMPLOYMENT INSURANCE")</f>
        <v xml:space="preserve">          6114 - STATE UNEMPLOYMENT INSURANCE</v>
      </c>
      <c r="C23" s="9"/>
      <c r="D23" s="6"/>
      <c r="E23" s="3"/>
      <c r="F23" s="7">
        <f t="shared" si="0"/>
        <v>0</v>
      </c>
      <c r="G23" s="3"/>
      <c r="H23" s="6">
        <v>9.0846</v>
      </c>
      <c r="I23" s="3"/>
      <c r="J23" s="7">
        <f t="shared" si="1"/>
        <v>0</v>
      </c>
      <c r="K23" s="3"/>
      <c r="L23" s="6">
        <f t="shared" si="2"/>
        <v>-9.0846</v>
      </c>
      <c r="M23" s="3"/>
      <c r="N23" s="7">
        <f t="shared" si="3"/>
        <v>-1</v>
      </c>
      <c r="O23" s="9"/>
      <c r="P23" s="6">
        <v>136.56</v>
      </c>
      <c r="Q23" s="3"/>
      <c r="R23" s="7">
        <f t="shared" si="4"/>
        <v>0</v>
      </c>
      <c r="S23" s="3"/>
      <c r="T23" s="6">
        <v>118.0998</v>
      </c>
      <c r="U23" s="3"/>
      <c r="V23" s="7">
        <f t="shared" si="5"/>
        <v>0</v>
      </c>
      <c r="W23" s="3"/>
      <c r="X23" s="6">
        <f t="shared" si="6"/>
        <v>18.4602</v>
      </c>
      <c r="Y23" s="3"/>
      <c r="Z23" s="7">
        <f t="shared" si="7"/>
        <v>0.15631017156675964</v>
      </c>
    </row>
    <row r="24" spans="1:26" s="70" customFormat="1" ht="15" hidden="1" customHeight="1" outlineLevel="2" x14ac:dyDescent="0.3">
      <c r="A24" s="21"/>
      <c r="B24" s="9" t="str">
        <f>CONCATENATE("          ","6115"," - ","P.E.R.S.")</f>
        <v xml:space="preserve">          6115 - P.E.R.S.</v>
      </c>
      <c r="C24" s="9"/>
      <c r="D24" s="6">
        <v>451.45</v>
      </c>
      <c r="E24" s="3"/>
      <c r="F24" s="7">
        <f t="shared" si="0"/>
        <v>0</v>
      </c>
      <c r="G24" s="3"/>
      <c r="H24" s="6">
        <v>0</v>
      </c>
      <c r="I24" s="3"/>
      <c r="J24" s="7">
        <f t="shared" si="1"/>
        <v>0</v>
      </c>
      <c r="K24" s="3"/>
      <c r="L24" s="6">
        <f t="shared" si="2"/>
        <v>451.45</v>
      </c>
      <c r="M24" s="3"/>
      <c r="N24" s="7">
        <f t="shared" si="3"/>
        <v>0</v>
      </c>
      <c r="O24" s="9"/>
      <c r="P24" s="6">
        <v>6024.19</v>
      </c>
      <c r="Q24" s="3"/>
      <c r="R24" s="7">
        <f t="shared" si="4"/>
        <v>0</v>
      </c>
      <c r="S24" s="3"/>
      <c r="T24" s="6">
        <v>0</v>
      </c>
      <c r="U24" s="3"/>
      <c r="V24" s="7">
        <f t="shared" si="5"/>
        <v>0</v>
      </c>
      <c r="W24" s="3"/>
      <c r="X24" s="6">
        <f t="shared" si="6"/>
        <v>6024.19</v>
      </c>
      <c r="Y24" s="3"/>
      <c r="Z24" s="7">
        <f t="shared" si="7"/>
        <v>0</v>
      </c>
    </row>
    <row r="25" spans="1:26" s="70" customFormat="1" ht="15" hidden="1" customHeight="1" outlineLevel="2" x14ac:dyDescent="0.3">
      <c r="A25" s="21"/>
      <c r="B25" s="9" t="str">
        <f>CONCATENATE("          ","6116"," - ","EDUCATIONAL BENEFITS")</f>
        <v xml:space="preserve">          6116 - EDUCATIONAL BENEFITS</v>
      </c>
      <c r="C25" s="9"/>
      <c r="D25" s="6"/>
      <c r="E25" s="3"/>
      <c r="F25" s="7">
        <f t="shared" si="0"/>
        <v>0</v>
      </c>
      <c r="G25" s="3"/>
      <c r="H25" s="6">
        <v>0</v>
      </c>
      <c r="I25" s="3"/>
      <c r="J25" s="7">
        <f t="shared" si="1"/>
        <v>0</v>
      </c>
      <c r="K25" s="3"/>
      <c r="L25" s="6">
        <f t="shared" si="2"/>
        <v>0</v>
      </c>
      <c r="M25" s="3"/>
      <c r="N25" s="7">
        <f t="shared" si="3"/>
        <v>0</v>
      </c>
      <c r="O25" s="9"/>
      <c r="P25" s="6"/>
      <c r="Q25" s="3"/>
      <c r="R25" s="7">
        <f t="shared" si="4"/>
        <v>0</v>
      </c>
      <c r="S25" s="3"/>
      <c r="T25" s="6">
        <v>0</v>
      </c>
      <c r="U25" s="3"/>
      <c r="V25" s="7">
        <f t="shared" si="5"/>
        <v>0</v>
      </c>
      <c r="W25" s="3"/>
      <c r="X25" s="6">
        <f t="shared" si="6"/>
        <v>0</v>
      </c>
      <c r="Y25" s="3"/>
      <c r="Z25" s="7">
        <f t="shared" si="7"/>
        <v>0</v>
      </c>
    </row>
    <row r="26" spans="1:26" s="70" customFormat="1" ht="15" hidden="1" customHeight="1" outlineLevel="2" x14ac:dyDescent="0.3">
      <c r="A26" s="21"/>
      <c r="B26" s="9" t="str">
        <f>CONCATENATE("          ","6118"," - ","VACATION")</f>
        <v xml:space="preserve">          6118 - VACATION</v>
      </c>
      <c r="C26" s="9"/>
      <c r="D26" s="6">
        <v>403.46</v>
      </c>
      <c r="E26" s="3"/>
      <c r="F26" s="7">
        <f t="shared" si="0"/>
        <v>0</v>
      </c>
      <c r="G26" s="3"/>
      <c r="H26" s="6">
        <v>346.08</v>
      </c>
      <c r="I26" s="3"/>
      <c r="J26" s="7">
        <f t="shared" si="1"/>
        <v>0</v>
      </c>
      <c r="K26" s="3"/>
      <c r="L26" s="6">
        <f t="shared" si="2"/>
        <v>57.379999999999995</v>
      </c>
      <c r="M26" s="3"/>
      <c r="N26" s="7">
        <f t="shared" si="3"/>
        <v>0.16579981507165972</v>
      </c>
      <c r="O26" s="9"/>
      <c r="P26" s="6">
        <v>5124.34</v>
      </c>
      <c r="Q26" s="3"/>
      <c r="R26" s="7">
        <f t="shared" si="4"/>
        <v>0</v>
      </c>
      <c r="S26" s="3"/>
      <c r="T26" s="6">
        <v>4499.04</v>
      </c>
      <c r="U26" s="3"/>
      <c r="V26" s="7">
        <f t="shared" si="5"/>
        <v>0</v>
      </c>
      <c r="W26" s="3"/>
      <c r="X26" s="6">
        <f t="shared" si="6"/>
        <v>625.30000000000018</v>
      </c>
      <c r="Y26" s="3"/>
      <c r="Z26" s="7">
        <f t="shared" si="7"/>
        <v>0.13898520573277859</v>
      </c>
    </row>
    <row r="27" spans="1:26" s="70" customFormat="1" ht="15" hidden="1" customHeight="1" outlineLevel="2" x14ac:dyDescent="0.3">
      <c r="A27" s="21"/>
      <c r="B27" s="9" t="str">
        <f>CONCATENATE("          ","6119"," - ","SICK LEAVE")</f>
        <v xml:space="preserve">          6119 - SICK LEAVE</v>
      </c>
      <c r="C27" s="9"/>
      <c r="D27" s="6">
        <v>201.46</v>
      </c>
      <c r="E27" s="3"/>
      <c r="F27" s="7">
        <f t="shared" si="0"/>
        <v>0</v>
      </c>
      <c r="G27" s="3"/>
      <c r="H27" s="6">
        <v>86.52</v>
      </c>
      <c r="I27" s="3"/>
      <c r="J27" s="7">
        <f t="shared" si="1"/>
        <v>0</v>
      </c>
      <c r="K27" s="3"/>
      <c r="L27" s="6">
        <f t="shared" si="2"/>
        <v>114.94000000000001</v>
      </c>
      <c r="M27" s="3"/>
      <c r="N27" s="7">
        <f t="shared" si="3"/>
        <v>1.3284789644012946</v>
      </c>
      <c r="O27" s="9"/>
      <c r="P27" s="6">
        <v>3338.42</v>
      </c>
      <c r="Q27" s="3"/>
      <c r="R27" s="7">
        <f t="shared" si="4"/>
        <v>0</v>
      </c>
      <c r="S27" s="3"/>
      <c r="T27" s="6">
        <v>1124.76</v>
      </c>
      <c r="U27" s="3"/>
      <c r="V27" s="7">
        <f t="shared" si="5"/>
        <v>0</v>
      </c>
      <c r="W27" s="3"/>
      <c r="X27" s="6">
        <f t="shared" si="6"/>
        <v>2213.66</v>
      </c>
      <c r="Y27" s="3"/>
      <c r="Z27" s="7">
        <f t="shared" si="7"/>
        <v>1.9681176428749243</v>
      </c>
    </row>
    <row r="28" spans="1:26" s="70" customFormat="1" ht="15" hidden="1" customHeight="1" outlineLevel="2" x14ac:dyDescent="0.3">
      <c r="A28" s="21"/>
      <c r="B28" s="9" t="str">
        <f>CONCATENATE("          ","6156"," - ","EMPLOYEE MEALS")</f>
        <v xml:space="preserve">          6156 - EMPLOYEE MEALS</v>
      </c>
      <c r="C28" s="9"/>
      <c r="D28" s="6">
        <v>208.04</v>
      </c>
      <c r="E28" s="3"/>
      <c r="F28" s="7">
        <f t="shared" si="0"/>
        <v>0</v>
      </c>
      <c r="G28" s="3"/>
      <c r="H28" s="6">
        <v>175</v>
      </c>
      <c r="I28" s="3"/>
      <c r="J28" s="7">
        <f t="shared" si="1"/>
        <v>0</v>
      </c>
      <c r="K28" s="3"/>
      <c r="L28" s="6">
        <f t="shared" si="2"/>
        <v>33.039999999999992</v>
      </c>
      <c r="M28" s="3"/>
      <c r="N28" s="7">
        <f t="shared" si="3"/>
        <v>0.18879999999999997</v>
      </c>
      <c r="O28" s="9"/>
      <c r="P28" s="6">
        <v>2054.5700000000002</v>
      </c>
      <c r="Q28" s="3"/>
      <c r="R28" s="7">
        <f t="shared" si="4"/>
        <v>0</v>
      </c>
      <c r="S28" s="3"/>
      <c r="T28" s="6">
        <v>2100</v>
      </c>
      <c r="U28" s="3"/>
      <c r="V28" s="7">
        <f t="shared" si="5"/>
        <v>0</v>
      </c>
      <c r="W28" s="3"/>
      <c r="X28" s="6">
        <f t="shared" si="6"/>
        <v>-45.429999999999836</v>
      </c>
      <c r="Y28" s="3"/>
      <c r="Z28" s="7">
        <f t="shared" si="7"/>
        <v>-2.1633333333333254E-2</v>
      </c>
    </row>
    <row r="29" spans="1:26" s="69" customFormat="1" ht="15" customHeight="1" outlineLevel="1" collapsed="1" x14ac:dyDescent="0.3">
      <c r="A29" s="20"/>
      <c r="B29" s="11" t="str">
        <f>CONCATENATE("     ","*Payroll                                          ")</f>
        <v xml:space="preserve">     *Payroll                                          </v>
      </c>
      <c r="C29" s="11"/>
      <c r="D29" s="2">
        <f>SUM(OSRRefD22_1x_0)</f>
        <v>4367.72</v>
      </c>
      <c r="E29" s="2"/>
      <c r="F29" s="5">
        <f t="shared" si="0"/>
        <v>0</v>
      </c>
      <c r="G29" s="2"/>
      <c r="H29" s="2">
        <f>SUM(OSRRefH22_1x_0)</f>
        <v>4023.18</v>
      </c>
      <c r="I29" s="2"/>
      <c r="J29" s="5">
        <f t="shared" si="1"/>
        <v>0</v>
      </c>
      <c r="K29" s="2"/>
      <c r="L29" s="2">
        <f t="shared" si="2"/>
        <v>344.54000000000042</v>
      </c>
      <c r="M29" s="2"/>
      <c r="N29" s="5">
        <f t="shared" si="3"/>
        <v>8.5638723596756908E-2</v>
      </c>
      <c r="O29" s="11"/>
      <c r="P29" s="2">
        <f>SUM(OSRRefP22_1x_0)</f>
        <v>49665.51</v>
      </c>
      <c r="Q29" s="2"/>
      <c r="R29" s="5">
        <f t="shared" si="4"/>
        <v>0</v>
      </c>
      <c r="S29" s="2"/>
      <c r="T29" s="2">
        <f>SUM(OSRRefT22_1x_0)</f>
        <v>52301.34</v>
      </c>
      <c r="U29" s="2"/>
      <c r="V29" s="5">
        <f t="shared" si="5"/>
        <v>0</v>
      </c>
      <c r="W29" s="2"/>
      <c r="X29" s="2">
        <f t="shared" si="6"/>
        <v>-2635.8299999999945</v>
      </c>
      <c r="Y29" s="2"/>
      <c r="Z29" s="5">
        <f t="shared" si="7"/>
        <v>-5.0396987916561879E-2</v>
      </c>
    </row>
    <row r="30" spans="1:26" s="70" customFormat="1" ht="15" hidden="1" customHeight="1" outlineLevel="2" x14ac:dyDescent="0.3">
      <c r="A30" s="21"/>
      <c r="B30" s="9" t="str">
        <f>CONCATENATE("          ","6001"," - ","ADMINISTRATIVE SALARIES")</f>
        <v xml:space="preserve">          6001 - ADMINISTRATIVE SALARIES</v>
      </c>
      <c r="C30" s="9"/>
      <c r="D30" s="6"/>
      <c r="E30" s="3"/>
      <c r="F30" s="7">
        <f t="shared" si="0"/>
        <v>0</v>
      </c>
      <c r="G30" s="3"/>
      <c r="H30" s="6">
        <v>0</v>
      </c>
      <c r="I30" s="3"/>
      <c r="J30" s="7">
        <f t="shared" si="1"/>
        <v>0</v>
      </c>
      <c r="K30" s="3"/>
      <c r="L30" s="6">
        <f t="shared" si="2"/>
        <v>0</v>
      </c>
      <c r="M30" s="3"/>
      <c r="N30" s="7">
        <f t="shared" si="3"/>
        <v>0</v>
      </c>
      <c r="O30" s="9"/>
      <c r="P30" s="6"/>
      <c r="Q30" s="3"/>
      <c r="R30" s="7">
        <f t="shared" si="4"/>
        <v>0</v>
      </c>
      <c r="S30" s="3"/>
      <c r="T30" s="6">
        <v>0</v>
      </c>
      <c r="U30" s="3"/>
      <c r="V30" s="7">
        <f t="shared" si="5"/>
        <v>0</v>
      </c>
      <c r="W30" s="3"/>
      <c r="X30" s="6">
        <f t="shared" si="6"/>
        <v>0</v>
      </c>
      <c r="Y30" s="3"/>
      <c r="Z30" s="7">
        <f t="shared" si="7"/>
        <v>0</v>
      </c>
    </row>
    <row r="31" spans="1:26" s="70" customFormat="1" ht="15" hidden="1" customHeight="1" outlineLevel="2" x14ac:dyDescent="0.3">
      <c r="A31" s="21"/>
      <c r="B31" s="9" t="str">
        <f>CONCATENATE("          ","6002"," - ","STAFF SALARIES")</f>
        <v xml:space="preserve">          6002 - STAFF SALARIES</v>
      </c>
      <c r="C31" s="9"/>
      <c r="D31" s="6">
        <v>4367.72</v>
      </c>
      <c r="E31" s="3"/>
      <c r="F31" s="7">
        <f t="shared" si="0"/>
        <v>0</v>
      </c>
      <c r="G31" s="3"/>
      <c r="H31" s="6">
        <v>0</v>
      </c>
      <c r="I31" s="3"/>
      <c r="J31" s="7">
        <f t="shared" si="1"/>
        <v>0</v>
      </c>
      <c r="K31" s="3"/>
      <c r="L31" s="6">
        <f t="shared" si="2"/>
        <v>4367.72</v>
      </c>
      <c r="M31" s="3"/>
      <c r="N31" s="7">
        <f t="shared" si="3"/>
        <v>0</v>
      </c>
      <c r="O31" s="9"/>
      <c r="P31" s="6">
        <v>49665.51</v>
      </c>
      <c r="Q31" s="3"/>
      <c r="R31" s="7">
        <f t="shared" si="4"/>
        <v>0</v>
      </c>
      <c r="S31" s="3"/>
      <c r="T31" s="6">
        <v>0</v>
      </c>
      <c r="U31" s="3"/>
      <c r="V31" s="7">
        <f t="shared" si="5"/>
        <v>0</v>
      </c>
      <c r="W31" s="3"/>
      <c r="X31" s="6">
        <f t="shared" si="6"/>
        <v>49665.51</v>
      </c>
      <c r="Y31" s="3"/>
      <c r="Z31" s="7">
        <f t="shared" si="7"/>
        <v>0</v>
      </c>
    </row>
    <row r="32" spans="1:26" s="70" customFormat="1" ht="15" hidden="1" customHeight="1" outlineLevel="2" x14ac:dyDescent="0.3">
      <c r="A32" s="21"/>
      <c r="B32" s="9" t="str">
        <f>CONCATENATE("          ","6003"," - ","STAFF HOURLY-9 MONTH")</f>
        <v xml:space="preserve">          6003 - STAFF HOURLY-9 MONTH</v>
      </c>
      <c r="C32" s="9"/>
      <c r="D32" s="6"/>
      <c r="E32" s="3"/>
      <c r="F32" s="7">
        <f t="shared" si="0"/>
        <v>0</v>
      </c>
      <c r="G32" s="3"/>
      <c r="H32" s="6">
        <v>0</v>
      </c>
      <c r="I32" s="3"/>
      <c r="J32" s="7">
        <f t="shared" si="1"/>
        <v>0</v>
      </c>
      <c r="K32" s="3"/>
      <c r="L32" s="6">
        <f t="shared" si="2"/>
        <v>0</v>
      </c>
      <c r="M32" s="3"/>
      <c r="N32" s="7">
        <f t="shared" si="3"/>
        <v>0</v>
      </c>
      <c r="O32" s="9"/>
      <c r="P32" s="6"/>
      <c r="Q32" s="3"/>
      <c r="R32" s="7">
        <f t="shared" si="4"/>
        <v>0</v>
      </c>
      <c r="S32" s="3"/>
      <c r="T32" s="6">
        <v>0</v>
      </c>
      <c r="U32" s="3"/>
      <c r="V32" s="7">
        <f t="shared" si="5"/>
        <v>0</v>
      </c>
      <c r="W32" s="3"/>
      <c r="X32" s="6">
        <f t="shared" si="6"/>
        <v>0</v>
      </c>
      <c r="Y32" s="3"/>
      <c r="Z32" s="7">
        <f t="shared" si="7"/>
        <v>0</v>
      </c>
    </row>
    <row r="33" spans="1:26" s="70" customFormat="1" ht="15" hidden="1" customHeight="1" outlineLevel="2" x14ac:dyDescent="0.3">
      <c r="A33" s="21"/>
      <c r="B33" s="9" t="str">
        <f>CONCATENATE("          ","6004"," - ","STAFF HOURLY")</f>
        <v xml:space="preserve">          6004 - STAFF HOURLY</v>
      </c>
      <c r="C33" s="9"/>
      <c r="D33" s="6"/>
      <c r="E33" s="3"/>
      <c r="F33" s="7">
        <f t="shared" si="0"/>
        <v>0</v>
      </c>
      <c r="G33" s="3"/>
      <c r="H33" s="6">
        <v>4023.18</v>
      </c>
      <c r="I33" s="3"/>
      <c r="J33" s="7">
        <f t="shared" si="1"/>
        <v>0</v>
      </c>
      <c r="K33" s="3"/>
      <c r="L33" s="6">
        <f t="shared" si="2"/>
        <v>-4023.18</v>
      </c>
      <c r="M33" s="3"/>
      <c r="N33" s="7">
        <f t="shared" si="3"/>
        <v>-1</v>
      </c>
      <c r="O33" s="9"/>
      <c r="P33" s="6"/>
      <c r="Q33" s="3"/>
      <c r="R33" s="7">
        <f t="shared" si="4"/>
        <v>0</v>
      </c>
      <c r="S33" s="3"/>
      <c r="T33" s="6">
        <v>52301.34</v>
      </c>
      <c r="U33" s="3"/>
      <c r="V33" s="7">
        <f t="shared" si="5"/>
        <v>0</v>
      </c>
      <c r="W33" s="3"/>
      <c r="X33" s="6">
        <f t="shared" si="6"/>
        <v>-52301.34</v>
      </c>
      <c r="Y33" s="3"/>
      <c r="Z33" s="7">
        <f t="shared" si="7"/>
        <v>-1</v>
      </c>
    </row>
    <row r="34" spans="1:26" s="70" customFormat="1" ht="15" hidden="1" customHeight="1" outlineLevel="2" x14ac:dyDescent="0.3">
      <c r="A34" s="21"/>
      <c r="B34" s="9" t="str">
        <f>CONCATENATE("          ","6005"," - ","TEMPORARY WAGES-HOURLY")</f>
        <v xml:space="preserve">          6005 - TEMPORARY WAGES-HOURLY</v>
      </c>
      <c r="C34" s="9"/>
      <c r="D34" s="6"/>
      <c r="E34" s="3"/>
      <c r="F34" s="7">
        <f t="shared" si="0"/>
        <v>0</v>
      </c>
      <c r="G34" s="3"/>
      <c r="H34" s="6">
        <v>0</v>
      </c>
      <c r="I34" s="3"/>
      <c r="J34" s="7">
        <f t="shared" si="1"/>
        <v>0</v>
      </c>
      <c r="K34" s="3"/>
      <c r="L34" s="6">
        <f t="shared" si="2"/>
        <v>0</v>
      </c>
      <c r="M34" s="3"/>
      <c r="N34" s="7">
        <f t="shared" si="3"/>
        <v>0</v>
      </c>
      <c r="O34" s="9"/>
      <c r="P34" s="6"/>
      <c r="Q34" s="3"/>
      <c r="R34" s="7">
        <f t="shared" si="4"/>
        <v>0</v>
      </c>
      <c r="S34" s="3"/>
      <c r="T34" s="6">
        <v>0</v>
      </c>
      <c r="U34" s="3"/>
      <c r="V34" s="7">
        <f t="shared" si="5"/>
        <v>0</v>
      </c>
      <c r="W34" s="3"/>
      <c r="X34" s="6">
        <f t="shared" si="6"/>
        <v>0</v>
      </c>
      <c r="Y34" s="3"/>
      <c r="Z34" s="7">
        <f t="shared" si="7"/>
        <v>0</v>
      </c>
    </row>
    <row r="35" spans="1:26" s="70" customFormat="1" ht="15" hidden="1" customHeight="1" outlineLevel="2" x14ac:dyDescent="0.3">
      <c r="A35" s="21"/>
      <c r="B35" s="9" t="str">
        <f>CONCATENATE("          ","6006"," - ","TEMPORARY PART TIME")</f>
        <v xml:space="preserve">          6006 - TEMPORARY PART TIME</v>
      </c>
      <c r="C35" s="9"/>
      <c r="D35" s="6"/>
      <c r="E35" s="3"/>
      <c r="F35" s="7">
        <f t="shared" si="0"/>
        <v>0</v>
      </c>
      <c r="G35" s="3"/>
      <c r="H35" s="6">
        <v>0</v>
      </c>
      <c r="I35" s="3"/>
      <c r="J35" s="7">
        <f t="shared" si="1"/>
        <v>0</v>
      </c>
      <c r="K35" s="3"/>
      <c r="L35" s="6">
        <f t="shared" si="2"/>
        <v>0</v>
      </c>
      <c r="M35" s="3"/>
      <c r="N35" s="7">
        <f t="shared" si="3"/>
        <v>0</v>
      </c>
      <c r="O35" s="9"/>
      <c r="P35" s="6"/>
      <c r="Q35" s="3"/>
      <c r="R35" s="7">
        <f t="shared" si="4"/>
        <v>0</v>
      </c>
      <c r="S35" s="3"/>
      <c r="T35" s="6">
        <v>0</v>
      </c>
      <c r="U35" s="3"/>
      <c r="V35" s="7">
        <f t="shared" si="5"/>
        <v>0</v>
      </c>
      <c r="W35" s="3"/>
      <c r="X35" s="6">
        <f t="shared" si="6"/>
        <v>0</v>
      </c>
      <c r="Y35" s="3"/>
      <c r="Z35" s="7">
        <f t="shared" si="7"/>
        <v>0</v>
      </c>
    </row>
    <row r="36" spans="1:26" s="70" customFormat="1" ht="15" hidden="1" customHeight="1" outlineLevel="2" x14ac:dyDescent="0.3">
      <c r="A36" s="21"/>
      <c r="B36" s="9" t="str">
        <f>CONCATENATE("          ","6007"," - ","STUDENT HOURLY")</f>
        <v xml:space="preserve">          6007 - STUDENT HOURLY</v>
      </c>
      <c r="C36" s="9"/>
      <c r="D36" s="6"/>
      <c r="E36" s="3"/>
      <c r="F36" s="7">
        <f t="shared" si="0"/>
        <v>0</v>
      </c>
      <c r="G36" s="3"/>
      <c r="H36" s="6">
        <v>0</v>
      </c>
      <c r="I36" s="3"/>
      <c r="J36" s="7">
        <f t="shared" si="1"/>
        <v>0</v>
      </c>
      <c r="K36" s="3"/>
      <c r="L36" s="6">
        <f t="shared" si="2"/>
        <v>0</v>
      </c>
      <c r="M36" s="3"/>
      <c r="N36" s="7">
        <f t="shared" si="3"/>
        <v>0</v>
      </c>
      <c r="O36" s="9"/>
      <c r="P36" s="6"/>
      <c r="Q36" s="3"/>
      <c r="R36" s="7">
        <f t="shared" si="4"/>
        <v>0</v>
      </c>
      <c r="S36" s="3"/>
      <c r="T36" s="6">
        <v>0</v>
      </c>
      <c r="U36" s="3"/>
      <c r="V36" s="7">
        <f t="shared" si="5"/>
        <v>0</v>
      </c>
      <c r="W36" s="3"/>
      <c r="X36" s="6">
        <f t="shared" si="6"/>
        <v>0</v>
      </c>
      <c r="Y36" s="3"/>
      <c r="Z36" s="7">
        <f t="shared" si="7"/>
        <v>0</v>
      </c>
    </row>
    <row r="37" spans="1:26" s="70" customFormat="1" ht="15" hidden="1" customHeight="1" outlineLevel="2" x14ac:dyDescent="0.3">
      <c r="A37" s="21"/>
      <c r="B37" s="9" t="str">
        <f>CONCATENATE("          ","6008"," - ","STUDENT HOURLY-FICA EXEMPT")</f>
        <v xml:space="preserve">          6008 - STUDENT HOURLY-FICA EXEMPT</v>
      </c>
      <c r="C37" s="9"/>
      <c r="D37" s="6"/>
      <c r="E37" s="3"/>
      <c r="F37" s="7">
        <f t="shared" si="0"/>
        <v>0</v>
      </c>
      <c r="G37" s="3"/>
      <c r="H37" s="6">
        <v>0</v>
      </c>
      <c r="I37" s="3"/>
      <c r="J37" s="7">
        <f t="shared" si="1"/>
        <v>0</v>
      </c>
      <c r="K37" s="3"/>
      <c r="L37" s="6">
        <f t="shared" si="2"/>
        <v>0</v>
      </c>
      <c r="M37" s="3"/>
      <c r="N37" s="7">
        <f t="shared" si="3"/>
        <v>0</v>
      </c>
      <c r="O37" s="9"/>
      <c r="P37" s="6"/>
      <c r="Q37" s="3"/>
      <c r="R37" s="7">
        <f t="shared" si="4"/>
        <v>0</v>
      </c>
      <c r="S37" s="3"/>
      <c r="T37" s="6">
        <v>0</v>
      </c>
      <c r="U37" s="3"/>
      <c r="V37" s="7">
        <f t="shared" si="5"/>
        <v>0</v>
      </c>
      <c r="W37" s="3"/>
      <c r="X37" s="6">
        <f t="shared" si="6"/>
        <v>0</v>
      </c>
      <c r="Y37" s="3"/>
      <c r="Z37" s="7">
        <f t="shared" si="7"/>
        <v>0</v>
      </c>
    </row>
    <row r="38" spans="1:26" s="70" customFormat="1" ht="15" hidden="1" customHeight="1" outlineLevel="2" x14ac:dyDescent="0.3">
      <c r="A38" s="21"/>
      <c r="B38" s="9" t="str">
        <f>CONCATENATE("          ","6009"," - ","TEMPORARY-SEASONAL")</f>
        <v xml:space="preserve">          6009 - TEMPORARY-SEASONAL</v>
      </c>
      <c r="C38" s="9"/>
      <c r="D38" s="6"/>
      <c r="E38" s="3"/>
      <c r="F38" s="7">
        <f t="shared" si="0"/>
        <v>0</v>
      </c>
      <c r="G38" s="3"/>
      <c r="H38" s="6">
        <v>0</v>
      </c>
      <c r="I38" s="3"/>
      <c r="J38" s="7">
        <f t="shared" si="1"/>
        <v>0</v>
      </c>
      <c r="K38" s="3"/>
      <c r="L38" s="6">
        <f t="shared" si="2"/>
        <v>0</v>
      </c>
      <c r="M38" s="3"/>
      <c r="N38" s="7">
        <f t="shared" si="3"/>
        <v>0</v>
      </c>
      <c r="O38" s="9"/>
      <c r="P38" s="6"/>
      <c r="Q38" s="3"/>
      <c r="R38" s="7">
        <f t="shared" si="4"/>
        <v>0</v>
      </c>
      <c r="S38" s="3"/>
      <c r="T38" s="6">
        <v>0</v>
      </c>
      <c r="U38" s="3"/>
      <c r="V38" s="7">
        <f t="shared" si="5"/>
        <v>0</v>
      </c>
      <c r="W38" s="3"/>
      <c r="X38" s="6">
        <f t="shared" si="6"/>
        <v>0</v>
      </c>
      <c r="Y38" s="3"/>
      <c r="Z38" s="7">
        <f t="shared" si="7"/>
        <v>0</v>
      </c>
    </row>
    <row r="39" spans="1:26" s="70" customFormat="1" ht="15" hidden="1" customHeight="1" outlineLevel="2" x14ac:dyDescent="0.3">
      <c r="A39" s="21"/>
      <c r="B39" s="9" t="str">
        <f>CONCATENATE("          ","6010"," - ","GRATUITY")</f>
        <v xml:space="preserve">          6010 - GRATUITY</v>
      </c>
      <c r="C39" s="9"/>
      <c r="D39" s="6"/>
      <c r="E39" s="3"/>
      <c r="F39" s="7">
        <f t="shared" si="0"/>
        <v>0</v>
      </c>
      <c r="G39" s="3"/>
      <c r="H39" s="6">
        <v>0</v>
      </c>
      <c r="I39" s="3"/>
      <c r="J39" s="7">
        <f t="shared" si="1"/>
        <v>0</v>
      </c>
      <c r="K39" s="3"/>
      <c r="L39" s="6">
        <f t="shared" si="2"/>
        <v>0</v>
      </c>
      <c r="M39" s="3"/>
      <c r="N39" s="7">
        <f t="shared" si="3"/>
        <v>0</v>
      </c>
      <c r="O39" s="9"/>
      <c r="P39" s="6"/>
      <c r="Q39" s="3"/>
      <c r="R39" s="7">
        <f t="shared" si="4"/>
        <v>0</v>
      </c>
      <c r="S39" s="3"/>
      <c r="T39" s="6">
        <v>0</v>
      </c>
      <c r="U39" s="3"/>
      <c r="V39" s="7">
        <f t="shared" si="5"/>
        <v>0</v>
      </c>
      <c r="W39" s="3"/>
      <c r="X39" s="6">
        <f t="shared" si="6"/>
        <v>0</v>
      </c>
      <c r="Y39" s="3"/>
      <c r="Z39" s="7">
        <f t="shared" si="7"/>
        <v>0</v>
      </c>
    </row>
    <row r="40" spans="1:26" s="69" customFormat="1" ht="15" customHeight="1" outlineLevel="1" collapsed="1" x14ac:dyDescent="0.3">
      <c r="A40" s="20"/>
      <c r="B40" s="11" t="str">
        <f>CONCATENATE("     ","General                                           ")</f>
        <v xml:space="preserve">     General                                           </v>
      </c>
      <c r="C40" s="11"/>
      <c r="D40" s="2">
        <f>SUM(OSRRefD22_2x_0)</f>
        <v>0</v>
      </c>
      <c r="E40" s="2"/>
      <c r="F40" s="5">
        <f t="shared" si="0"/>
        <v>0</v>
      </c>
      <c r="G40" s="2"/>
      <c r="H40" s="2">
        <f>SUM(OSRRefH22_2x_0)</f>
        <v>0</v>
      </c>
      <c r="I40" s="2"/>
      <c r="J40" s="5">
        <f t="shared" si="1"/>
        <v>0</v>
      </c>
      <c r="K40" s="2"/>
      <c r="L40" s="2">
        <f t="shared" si="2"/>
        <v>0</v>
      </c>
      <c r="M40" s="2"/>
      <c r="N40" s="5">
        <f t="shared" si="3"/>
        <v>0</v>
      </c>
      <c r="O40" s="11"/>
      <c r="P40" s="2">
        <f>SUM(OSRRefP22_2x_0)</f>
        <v>-1613.22</v>
      </c>
      <c r="Q40" s="2"/>
      <c r="R40" s="5">
        <f t="shared" si="4"/>
        <v>0</v>
      </c>
      <c r="S40" s="2"/>
      <c r="T40" s="2">
        <f>SUM(OSRRefT22_2x_0)</f>
        <v>-750</v>
      </c>
      <c r="U40" s="2"/>
      <c r="V40" s="5">
        <f t="shared" si="5"/>
        <v>0</v>
      </c>
      <c r="W40" s="2"/>
      <c r="X40" s="2">
        <f t="shared" si="6"/>
        <v>-863.22</v>
      </c>
      <c r="Y40" s="2"/>
      <c r="Z40" s="5">
        <f t="shared" si="7"/>
        <v>1.15096</v>
      </c>
    </row>
    <row r="41" spans="1:26" s="70" customFormat="1" ht="15" hidden="1" customHeight="1" outlineLevel="2" x14ac:dyDescent="0.3">
      <c r="A41" s="21"/>
      <c r="B41" s="9" t="str">
        <f>CONCATENATE("          ","6279"," - ","GENERAL EXPENSE")</f>
        <v xml:space="preserve">          6279 - GENERAL EXPENSE</v>
      </c>
      <c r="C41" s="9"/>
      <c r="D41" s="6"/>
      <c r="E41" s="3"/>
      <c r="F41" s="7">
        <f t="shared" si="0"/>
        <v>0</v>
      </c>
      <c r="G41" s="3"/>
      <c r="H41" s="6">
        <v>0</v>
      </c>
      <c r="I41" s="3"/>
      <c r="J41" s="7">
        <f t="shared" si="1"/>
        <v>0</v>
      </c>
      <c r="K41" s="3"/>
      <c r="L41" s="6">
        <f t="shared" si="2"/>
        <v>0</v>
      </c>
      <c r="M41" s="3"/>
      <c r="N41" s="7">
        <f t="shared" si="3"/>
        <v>0</v>
      </c>
      <c r="O41" s="9"/>
      <c r="P41" s="6">
        <v>-1613.22</v>
      </c>
      <c r="Q41" s="3"/>
      <c r="R41" s="7">
        <f t="shared" si="4"/>
        <v>0</v>
      </c>
      <c r="S41" s="3"/>
      <c r="T41" s="6">
        <v>-750</v>
      </c>
      <c r="U41" s="3"/>
      <c r="V41" s="7">
        <f t="shared" si="5"/>
        <v>0</v>
      </c>
      <c r="W41" s="3"/>
      <c r="X41" s="6">
        <f t="shared" si="6"/>
        <v>-863.22</v>
      </c>
      <c r="Y41" s="3"/>
      <c r="Z41" s="7">
        <f t="shared" si="7"/>
        <v>1.15096</v>
      </c>
    </row>
    <row r="42" spans="1:26" s="69" customFormat="1" ht="15" customHeight="1" outlineLevel="1" collapsed="1" x14ac:dyDescent="0.3">
      <c r="A42" s="20"/>
      <c r="B42" s="11" t="str">
        <f>CONCATENATE("     ","Insurance                                         ")</f>
        <v xml:space="preserve">     Insurance                                         </v>
      </c>
      <c r="C42" s="11"/>
      <c r="D42" s="2">
        <f>SUM(OSRRefD22_3x_0)</f>
        <v>-10.37</v>
      </c>
      <c r="E42" s="2"/>
      <c r="F42" s="5">
        <f t="shared" si="0"/>
        <v>0</v>
      </c>
      <c r="G42" s="2"/>
      <c r="H42" s="2">
        <f>SUM(OSRRefH22_3x_0)</f>
        <v>35</v>
      </c>
      <c r="I42" s="2"/>
      <c r="J42" s="5">
        <f t="shared" si="1"/>
        <v>0</v>
      </c>
      <c r="K42" s="2"/>
      <c r="L42" s="2">
        <f t="shared" si="2"/>
        <v>-45.37</v>
      </c>
      <c r="M42" s="2"/>
      <c r="N42" s="5">
        <f t="shared" si="3"/>
        <v>-1.2962857142857143</v>
      </c>
      <c r="O42" s="11"/>
      <c r="P42" s="2">
        <f>SUM(OSRRefP22_3x_0)</f>
        <v>356.81</v>
      </c>
      <c r="Q42" s="2"/>
      <c r="R42" s="5">
        <f t="shared" si="4"/>
        <v>0</v>
      </c>
      <c r="S42" s="2"/>
      <c r="T42" s="2">
        <f>SUM(OSRRefT22_3x_0)</f>
        <v>420</v>
      </c>
      <c r="U42" s="2"/>
      <c r="V42" s="5">
        <f t="shared" si="5"/>
        <v>0</v>
      </c>
      <c r="W42" s="2"/>
      <c r="X42" s="2">
        <f t="shared" si="6"/>
        <v>-63.19</v>
      </c>
      <c r="Y42" s="2"/>
      <c r="Z42" s="5">
        <f t="shared" si="7"/>
        <v>-0.15045238095238095</v>
      </c>
    </row>
    <row r="43" spans="1:26" s="70" customFormat="1" ht="15" hidden="1" customHeight="1" outlineLevel="2" x14ac:dyDescent="0.3">
      <c r="A43" s="21"/>
      <c r="B43" s="9" t="str">
        <f>CONCATENATE("          ","6314"," - ","LIABILITY INSURANCE")</f>
        <v xml:space="preserve">          6314 - LIABILITY INSURANCE</v>
      </c>
      <c r="C43" s="9"/>
      <c r="D43" s="6">
        <v>-10.37</v>
      </c>
      <c r="E43" s="3"/>
      <c r="F43" s="7">
        <f t="shared" si="0"/>
        <v>0</v>
      </c>
      <c r="G43" s="3"/>
      <c r="H43" s="6">
        <v>35</v>
      </c>
      <c r="I43" s="3"/>
      <c r="J43" s="7">
        <f t="shared" si="1"/>
        <v>0</v>
      </c>
      <c r="K43" s="3"/>
      <c r="L43" s="6">
        <f t="shared" si="2"/>
        <v>-45.37</v>
      </c>
      <c r="M43" s="3"/>
      <c r="N43" s="7">
        <f t="shared" si="3"/>
        <v>-1.2962857142857143</v>
      </c>
      <c r="O43" s="9"/>
      <c r="P43" s="6">
        <v>356.81</v>
      </c>
      <c r="Q43" s="3"/>
      <c r="R43" s="7">
        <f t="shared" si="4"/>
        <v>0</v>
      </c>
      <c r="S43" s="3"/>
      <c r="T43" s="6">
        <v>420</v>
      </c>
      <c r="U43" s="3"/>
      <c r="V43" s="7">
        <f t="shared" si="5"/>
        <v>0</v>
      </c>
      <c r="W43" s="3"/>
      <c r="X43" s="6">
        <f t="shared" si="6"/>
        <v>-63.19</v>
      </c>
      <c r="Y43" s="3"/>
      <c r="Z43" s="7">
        <f t="shared" si="7"/>
        <v>-0.15045238095238095</v>
      </c>
    </row>
    <row r="44" spans="1:26" s="69" customFormat="1" ht="15" customHeight="1" outlineLevel="1" collapsed="1" x14ac:dyDescent="0.3">
      <c r="A44" s="20"/>
      <c r="B44" s="11" t="str">
        <f>CONCATENATE("     ","Repair and Maintenance                            ")</f>
        <v xml:space="preserve">     Repair and Maintenance                            </v>
      </c>
      <c r="C44" s="11"/>
      <c r="D44" s="2">
        <f>SUM(OSRRefD22_4x_0)</f>
        <v>946.3</v>
      </c>
      <c r="E44" s="2"/>
      <c r="F44" s="5">
        <f t="shared" si="0"/>
        <v>0</v>
      </c>
      <c r="G44" s="2"/>
      <c r="H44" s="2">
        <f>SUM(OSRRefH22_4x_0)</f>
        <v>1500</v>
      </c>
      <c r="I44" s="2"/>
      <c r="J44" s="5">
        <f t="shared" si="1"/>
        <v>0</v>
      </c>
      <c r="K44" s="2"/>
      <c r="L44" s="2">
        <f t="shared" si="2"/>
        <v>-553.70000000000005</v>
      </c>
      <c r="M44" s="2"/>
      <c r="N44" s="5">
        <f t="shared" si="3"/>
        <v>-0.36913333333333337</v>
      </c>
      <c r="O44" s="11"/>
      <c r="P44" s="2">
        <f>SUM(OSRRefP22_4x_0)</f>
        <v>19855.91</v>
      </c>
      <c r="Q44" s="2"/>
      <c r="R44" s="5">
        <f t="shared" si="4"/>
        <v>0</v>
      </c>
      <c r="S44" s="2"/>
      <c r="T44" s="2">
        <f>SUM(OSRRefT22_4x_0)</f>
        <v>21600</v>
      </c>
      <c r="U44" s="2"/>
      <c r="V44" s="5">
        <f t="shared" si="5"/>
        <v>0</v>
      </c>
      <c r="W44" s="2"/>
      <c r="X44" s="2">
        <f t="shared" si="6"/>
        <v>-1744.0900000000001</v>
      </c>
      <c r="Y44" s="2"/>
      <c r="Z44" s="5">
        <f t="shared" si="7"/>
        <v>-8.0744907407407418E-2</v>
      </c>
    </row>
    <row r="45" spans="1:26" s="70" customFormat="1" ht="15" hidden="1" customHeight="1" outlineLevel="2" x14ac:dyDescent="0.3">
      <c r="A45" s="21"/>
      <c r="B45" s="9" t="str">
        <f>CONCATENATE("          ","6371"," - ","COMPUTER SOFTWARE MAINTENANCE")</f>
        <v xml:space="preserve">          6371 - COMPUTER SOFTWARE MAINTENANCE</v>
      </c>
      <c r="C45" s="9"/>
      <c r="D45" s="6"/>
      <c r="E45" s="3"/>
      <c r="F45" s="7">
        <f t="shared" si="0"/>
        <v>0</v>
      </c>
      <c r="G45" s="3"/>
      <c r="H45" s="6"/>
      <c r="I45" s="3"/>
      <c r="J45" s="7">
        <f t="shared" si="1"/>
        <v>0</v>
      </c>
      <c r="K45" s="3"/>
      <c r="L45" s="6">
        <f t="shared" si="2"/>
        <v>0</v>
      </c>
      <c r="M45" s="3"/>
      <c r="N45" s="7">
        <f t="shared" si="3"/>
        <v>0</v>
      </c>
      <c r="O45" s="9"/>
      <c r="P45" s="6">
        <v>5739.17</v>
      </c>
      <c r="Q45" s="3"/>
      <c r="R45" s="7">
        <f t="shared" si="4"/>
        <v>0</v>
      </c>
      <c r="S45" s="3"/>
      <c r="T45" s="6">
        <v>5000</v>
      </c>
      <c r="U45" s="3"/>
      <c r="V45" s="7">
        <f t="shared" si="5"/>
        <v>0</v>
      </c>
      <c r="W45" s="3"/>
      <c r="X45" s="6">
        <f t="shared" si="6"/>
        <v>739.17000000000007</v>
      </c>
      <c r="Y45" s="3"/>
      <c r="Z45" s="7">
        <f t="shared" si="7"/>
        <v>0.14783400000000002</v>
      </c>
    </row>
    <row r="46" spans="1:26" s="70" customFormat="1" ht="15" hidden="1" customHeight="1" outlineLevel="2" x14ac:dyDescent="0.3">
      <c r="A46" s="21"/>
      <c r="B46" s="9" t="str">
        <f>CONCATENATE("          ","6373"," - ","MAINTENANCE CONTRACTS")</f>
        <v xml:space="preserve">          6373 - MAINTENANCE CONTRACTS</v>
      </c>
      <c r="C46" s="9"/>
      <c r="D46" s="6">
        <v>946.3</v>
      </c>
      <c r="E46" s="3"/>
      <c r="F46" s="7">
        <f t="shared" si="0"/>
        <v>0</v>
      </c>
      <c r="G46" s="3"/>
      <c r="H46" s="6">
        <v>1500</v>
      </c>
      <c r="I46" s="3"/>
      <c r="J46" s="7">
        <f t="shared" si="1"/>
        <v>0</v>
      </c>
      <c r="K46" s="3"/>
      <c r="L46" s="6">
        <f t="shared" si="2"/>
        <v>-553.70000000000005</v>
      </c>
      <c r="M46" s="3"/>
      <c r="N46" s="7">
        <f t="shared" si="3"/>
        <v>-0.36913333333333337</v>
      </c>
      <c r="O46" s="9"/>
      <c r="P46" s="6">
        <v>13938.48</v>
      </c>
      <c r="Q46" s="3"/>
      <c r="R46" s="7">
        <f t="shared" si="4"/>
        <v>0</v>
      </c>
      <c r="S46" s="3"/>
      <c r="T46" s="6">
        <v>16600</v>
      </c>
      <c r="U46" s="3"/>
      <c r="V46" s="7">
        <f t="shared" si="5"/>
        <v>0</v>
      </c>
      <c r="W46" s="3"/>
      <c r="X46" s="6">
        <f t="shared" si="6"/>
        <v>-2661.5200000000004</v>
      </c>
      <c r="Y46" s="3"/>
      <c r="Z46" s="7">
        <f t="shared" si="7"/>
        <v>-0.16033253012048196</v>
      </c>
    </row>
    <row r="47" spans="1:26" s="70" customFormat="1" ht="15" hidden="1" customHeight="1" outlineLevel="2" x14ac:dyDescent="0.3">
      <c r="A47" s="21"/>
      <c r="B47" s="9" t="str">
        <f>CONCATENATE("          ","6375"," - ","OUTSIDE REPAIRS &amp; MAINTENANCE")</f>
        <v xml:space="preserve">          6375 - OUTSIDE REPAIRS &amp; MAINTENANCE</v>
      </c>
      <c r="C47" s="9"/>
      <c r="D47" s="6"/>
      <c r="E47" s="3"/>
      <c r="F47" s="7">
        <f t="shared" si="0"/>
        <v>0</v>
      </c>
      <c r="G47" s="3"/>
      <c r="H47" s="6"/>
      <c r="I47" s="3"/>
      <c r="J47" s="7">
        <f t="shared" si="1"/>
        <v>0</v>
      </c>
      <c r="K47" s="3"/>
      <c r="L47" s="6">
        <f t="shared" si="2"/>
        <v>0</v>
      </c>
      <c r="M47" s="3"/>
      <c r="N47" s="7">
        <f t="shared" si="3"/>
        <v>0</v>
      </c>
      <c r="O47" s="9"/>
      <c r="P47" s="6">
        <v>178.26</v>
      </c>
      <c r="Q47" s="3"/>
      <c r="R47" s="7">
        <f t="shared" si="4"/>
        <v>0</v>
      </c>
      <c r="S47" s="3"/>
      <c r="T47" s="6"/>
      <c r="U47" s="3"/>
      <c r="V47" s="7">
        <f t="shared" si="5"/>
        <v>0</v>
      </c>
      <c r="W47" s="3"/>
      <c r="X47" s="6">
        <f t="shared" si="6"/>
        <v>178.26</v>
      </c>
      <c r="Y47" s="3"/>
      <c r="Z47" s="7">
        <f t="shared" si="7"/>
        <v>0</v>
      </c>
    </row>
    <row r="48" spans="1:26" s="69" customFormat="1" ht="15" customHeight="1" outlineLevel="1" collapsed="1" x14ac:dyDescent="0.3">
      <c r="A48" s="20"/>
      <c r="B48" s="11" t="str">
        <f>CONCATENATE("     ","Services                                          ")</f>
        <v xml:space="preserve">     Services                                          </v>
      </c>
      <c r="C48" s="11"/>
      <c r="D48" s="2">
        <f>SUM(OSRRefD22_5x_0)</f>
        <v>0</v>
      </c>
      <c r="E48" s="2"/>
      <c r="F48" s="5">
        <f t="shared" si="0"/>
        <v>0</v>
      </c>
      <c r="G48" s="2"/>
      <c r="H48" s="2">
        <f>SUM(OSRRefH22_5x_0)</f>
        <v>25</v>
      </c>
      <c r="I48" s="2"/>
      <c r="J48" s="5">
        <f t="shared" si="1"/>
        <v>0</v>
      </c>
      <c r="K48" s="2"/>
      <c r="L48" s="2">
        <f t="shared" si="2"/>
        <v>-25</v>
      </c>
      <c r="M48" s="2"/>
      <c r="N48" s="5">
        <f t="shared" si="3"/>
        <v>-1</v>
      </c>
      <c r="O48" s="11"/>
      <c r="P48" s="2">
        <f>SUM(OSRRefP22_5x_0)</f>
        <v>0</v>
      </c>
      <c r="Q48" s="2"/>
      <c r="R48" s="5">
        <f t="shared" si="4"/>
        <v>0</v>
      </c>
      <c r="S48" s="2"/>
      <c r="T48" s="2">
        <f>SUM(OSRRefT22_5x_0)</f>
        <v>300</v>
      </c>
      <c r="U48" s="2"/>
      <c r="V48" s="5">
        <f t="shared" si="5"/>
        <v>0</v>
      </c>
      <c r="W48" s="2"/>
      <c r="X48" s="2">
        <f t="shared" si="6"/>
        <v>-300</v>
      </c>
      <c r="Y48" s="2"/>
      <c r="Z48" s="5">
        <f t="shared" si="7"/>
        <v>-1</v>
      </c>
    </row>
    <row r="49" spans="1:26" s="70" customFormat="1" ht="15" hidden="1" customHeight="1" outlineLevel="2" x14ac:dyDescent="0.3">
      <c r="A49" s="21"/>
      <c r="B49" s="9" t="str">
        <f>CONCATENATE("          ","6286"," - ","LAUNDRY EXPENSE")</f>
        <v xml:space="preserve">          6286 - LAUNDRY EXPENSE</v>
      </c>
      <c r="C49" s="9"/>
      <c r="D49" s="6"/>
      <c r="E49" s="3"/>
      <c r="F49" s="7">
        <f t="shared" si="0"/>
        <v>0</v>
      </c>
      <c r="G49" s="3"/>
      <c r="H49" s="6">
        <v>25</v>
      </c>
      <c r="I49" s="3"/>
      <c r="J49" s="7">
        <f t="shared" si="1"/>
        <v>0</v>
      </c>
      <c r="K49" s="3"/>
      <c r="L49" s="6">
        <f t="shared" si="2"/>
        <v>-25</v>
      </c>
      <c r="M49" s="3"/>
      <c r="N49" s="7">
        <f t="shared" si="3"/>
        <v>-1</v>
      </c>
      <c r="O49" s="9"/>
      <c r="P49" s="6"/>
      <c r="Q49" s="3"/>
      <c r="R49" s="7">
        <f t="shared" si="4"/>
        <v>0</v>
      </c>
      <c r="S49" s="3"/>
      <c r="T49" s="6">
        <v>300</v>
      </c>
      <c r="U49" s="3"/>
      <c r="V49" s="7">
        <f t="shared" si="5"/>
        <v>0</v>
      </c>
      <c r="W49" s="3"/>
      <c r="X49" s="6">
        <f t="shared" si="6"/>
        <v>-300</v>
      </c>
      <c r="Y49" s="3"/>
      <c r="Z49" s="7">
        <f t="shared" si="7"/>
        <v>-1</v>
      </c>
    </row>
    <row r="50" spans="1:26" s="69" customFormat="1" ht="15" customHeight="1" outlineLevel="1" collapsed="1" x14ac:dyDescent="0.3">
      <c r="A50" s="20"/>
      <c r="B50" s="11" t="str">
        <f>CONCATENATE("     ","Supplies                                          ")</f>
        <v xml:space="preserve">     Supplies                                          </v>
      </c>
      <c r="C50" s="11"/>
      <c r="D50" s="2">
        <f>SUM(OSRRefD22_6x_0)</f>
        <v>0</v>
      </c>
      <c r="E50" s="2"/>
      <c r="F50" s="5">
        <f t="shared" si="0"/>
        <v>0</v>
      </c>
      <c r="G50" s="2"/>
      <c r="H50" s="2">
        <f>SUM(OSRRefH22_6x_0)</f>
        <v>25</v>
      </c>
      <c r="I50" s="2"/>
      <c r="J50" s="5">
        <f t="shared" si="1"/>
        <v>0</v>
      </c>
      <c r="K50" s="2"/>
      <c r="L50" s="2">
        <f t="shared" si="2"/>
        <v>-25</v>
      </c>
      <c r="M50" s="2"/>
      <c r="N50" s="5">
        <f t="shared" si="3"/>
        <v>-1</v>
      </c>
      <c r="O50" s="11"/>
      <c r="P50" s="2">
        <f>SUM(OSRRefP22_6x_0)</f>
        <v>452.54999999999995</v>
      </c>
      <c r="Q50" s="2"/>
      <c r="R50" s="5">
        <f t="shared" si="4"/>
        <v>0</v>
      </c>
      <c r="S50" s="2"/>
      <c r="T50" s="2">
        <f>SUM(OSRRefT22_6x_0)</f>
        <v>5300</v>
      </c>
      <c r="U50" s="2"/>
      <c r="V50" s="5">
        <f t="shared" si="5"/>
        <v>0</v>
      </c>
      <c r="W50" s="2"/>
      <c r="X50" s="2">
        <f t="shared" si="6"/>
        <v>-4847.45</v>
      </c>
      <c r="Y50" s="2"/>
      <c r="Z50" s="5">
        <f t="shared" si="7"/>
        <v>-0.91461320754716979</v>
      </c>
    </row>
    <row r="51" spans="1:26" s="70" customFormat="1" ht="15" hidden="1" customHeight="1" outlineLevel="2" x14ac:dyDescent="0.3">
      <c r="A51" s="21"/>
      <c r="B51" s="9" t="str">
        <f>CONCATENATE("          ","6234"," - ","EXPENDABLE SUPPLIES &amp; EQUIPMEN")</f>
        <v xml:space="preserve">          6234 - EXPENDABLE SUPPLIES &amp; EQUIPMEN</v>
      </c>
      <c r="C51" s="9"/>
      <c r="D51" s="6"/>
      <c r="E51" s="3"/>
      <c r="F51" s="7">
        <f t="shared" si="0"/>
        <v>0</v>
      </c>
      <c r="G51" s="3"/>
      <c r="H51" s="6"/>
      <c r="I51" s="3"/>
      <c r="J51" s="7">
        <f t="shared" si="1"/>
        <v>0</v>
      </c>
      <c r="K51" s="3"/>
      <c r="L51" s="6">
        <f t="shared" si="2"/>
        <v>0</v>
      </c>
      <c r="M51" s="3"/>
      <c r="N51" s="7">
        <f t="shared" si="3"/>
        <v>0</v>
      </c>
      <c r="O51" s="9"/>
      <c r="P51" s="6">
        <v>242.35</v>
      </c>
      <c r="Q51" s="3"/>
      <c r="R51" s="7">
        <f t="shared" si="4"/>
        <v>0</v>
      </c>
      <c r="S51" s="3"/>
      <c r="T51" s="6"/>
      <c r="U51" s="3"/>
      <c r="V51" s="7">
        <f t="shared" si="5"/>
        <v>0</v>
      </c>
      <c r="W51" s="3"/>
      <c r="X51" s="6">
        <f t="shared" si="6"/>
        <v>242.35</v>
      </c>
      <c r="Y51" s="3"/>
      <c r="Z51" s="7">
        <f t="shared" si="7"/>
        <v>0</v>
      </c>
    </row>
    <row r="52" spans="1:26" s="70" customFormat="1" ht="15" hidden="1" customHeight="1" outlineLevel="2" x14ac:dyDescent="0.3">
      <c r="A52" s="21"/>
      <c r="B52" s="9" t="str">
        <f>CONCATENATE("          ","6241"," - ","OFFICE EXPENSE")</f>
        <v xml:space="preserve">          6241 - OFFICE EXPENSE</v>
      </c>
      <c r="C52" s="9"/>
      <c r="D52" s="6"/>
      <c r="E52" s="3"/>
      <c r="F52" s="7">
        <f t="shared" si="0"/>
        <v>0</v>
      </c>
      <c r="G52" s="3"/>
      <c r="H52" s="6">
        <v>25</v>
      </c>
      <c r="I52" s="3"/>
      <c r="J52" s="7">
        <f t="shared" si="1"/>
        <v>0</v>
      </c>
      <c r="K52" s="3"/>
      <c r="L52" s="6">
        <f t="shared" si="2"/>
        <v>-25</v>
      </c>
      <c r="M52" s="3"/>
      <c r="N52" s="7">
        <f t="shared" si="3"/>
        <v>-1</v>
      </c>
      <c r="O52" s="9"/>
      <c r="P52" s="6">
        <v>210.2</v>
      </c>
      <c r="Q52" s="3"/>
      <c r="R52" s="7">
        <f t="shared" si="4"/>
        <v>0</v>
      </c>
      <c r="S52" s="3"/>
      <c r="T52" s="6">
        <v>300</v>
      </c>
      <c r="U52" s="3"/>
      <c r="V52" s="7">
        <f t="shared" si="5"/>
        <v>0</v>
      </c>
      <c r="W52" s="3"/>
      <c r="X52" s="6">
        <f t="shared" si="6"/>
        <v>-89.800000000000011</v>
      </c>
      <c r="Y52" s="3"/>
      <c r="Z52" s="7">
        <f t="shared" si="7"/>
        <v>-0.2993333333333334</v>
      </c>
    </row>
    <row r="53" spans="1:26" s="70" customFormat="1" ht="15" hidden="1" customHeight="1" outlineLevel="2" x14ac:dyDescent="0.3">
      <c r="A53" s="21"/>
      <c r="B53" s="9" t="str">
        <f>CONCATENATE("          ","6247"," - ","STORE SUPPLIES")</f>
        <v xml:space="preserve">          6247 - STORE SUPPLIES</v>
      </c>
      <c r="C53" s="9"/>
      <c r="D53" s="6"/>
      <c r="E53" s="3"/>
      <c r="F53" s="7">
        <f t="shared" si="0"/>
        <v>0</v>
      </c>
      <c r="G53" s="3"/>
      <c r="H53" s="6"/>
      <c r="I53" s="3"/>
      <c r="J53" s="7">
        <f t="shared" si="1"/>
        <v>0</v>
      </c>
      <c r="K53" s="3"/>
      <c r="L53" s="6">
        <f t="shared" si="2"/>
        <v>0</v>
      </c>
      <c r="M53" s="3"/>
      <c r="N53" s="7">
        <f t="shared" si="3"/>
        <v>0</v>
      </c>
      <c r="O53" s="9"/>
      <c r="P53" s="6"/>
      <c r="Q53" s="3"/>
      <c r="R53" s="7">
        <f t="shared" si="4"/>
        <v>0</v>
      </c>
      <c r="S53" s="3"/>
      <c r="T53" s="6">
        <v>5000</v>
      </c>
      <c r="U53" s="3"/>
      <c r="V53" s="7">
        <f t="shared" si="5"/>
        <v>0</v>
      </c>
      <c r="W53" s="3"/>
      <c r="X53" s="6">
        <f t="shared" si="6"/>
        <v>-5000</v>
      </c>
      <c r="Y53" s="3"/>
      <c r="Z53" s="7">
        <f t="shared" si="7"/>
        <v>-1</v>
      </c>
    </row>
    <row r="54" spans="1:26" s="69" customFormat="1" ht="15" customHeight="1" outlineLevel="1" collapsed="1" x14ac:dyDescent="0.3">
      <c r="A54" s="20"/>
      <c r="B54" s="11" t="str">
        <f>CONCATENATE("     ","Telephone/Data Lines                              ")</f>
        <v xml:space="preserve">     Telephone/Data Lines                              </v>
      </c>
      <c r="C54" s="11"/>
      <c r="D54" s="2">
        <f>SUM(OSRRefD22_7x_0)</f>
        <v>23</v>
      </c>
      <c r="E54" s="2"/>
      <c r="F54" s="5">
        <f t="shared" si="0"/>
        <v>0</v>
      </c>
      <c r="G54" s="2"/>
      <c r="H54" s="2">
        <f>SUM(OSRRefH22_7x_0)</f>
        <v>125</v>
      </c>
      <c r="I54" s="2"/>
      <c r="J54" s="5">
        <f t="shared" si="1"/>
        <v>0</v>
      </c>
      <c r="K54" s="2"/>
      <c r="L54" s="2">
        <f t="shared" si="2"/>
        <v>-102</v>
      </c>
      <c r="M54" s="2"/>
      <c r="N54" s="5">
        <f t="shared" si="3"/>
        <v>-0.81599999999999995</v>
      </c>
      <c r="O54" s="11"/>
      <c r="P54" s="2">
        <f>SUM(OSRRefP22_7x_0)</f>
        <v>1126</v>
      </c>
      <c r="Q54" s="2"/>
      <c r="R54" s="5">
        <f t="shared" si="4"/>
        <v>0</v>
      </c>
      <c r="S54" s="2"/>
      <c r="T54" s="2">
        <f>SUM(OSRRefT22_7x_0)</f>
        <v>1500</v>
      </c>
      <c r="U54" s="2"/>
      <c r="V54" s="5">
        <f t="shared" si="5"/>
        <v>0</v>
      </c>
      <c r="W54" s="2"/>
      <c r="X54" s="2">
        <f t="shared" si="6"/>
        <v>-374</v>
      </c>
      <c r="Y54" s="2"/>
      <c r="Z54" s="5">
        <f t="shared" si="7"/>
        <v>-0.24933333333333332</v>
      </c>
    </row>
    <row r="55" spans="1:26" s="70" customFormat="1" ht="15" hidden="1" customHeight="1" outlineLevel="2" x14ac:dyDescent="0.3">
      <c r="A55" s="21"/>
      <c r="B55" s="9" t="str">
        <f>CONCATENATE("          ","6309"," - ","TELEPHONE")</f>
        <v xml:space="preserve">          6309 - TELEPHONE</v>
      </c>
      <c r="C55" s="9"/>
      <c r="D55" s="6">
        <v>23</v>
      </c>
      <c r="E55" s="3"/>
      <c r="F55" s="7">
        <f t="shared" si="0"/>
        <v>0</v>
      </c>
      <c r="G55" s="3"/>
      <c r="H55" s="6">
        <v>125</v>
      </c>
      <c r="I55" s="3"/>
      <c r="J55" s="7">
        <f t="shared" si="1"/>
        <v>0</v>
      </c>
      <c r="K55" s="3"/>
      <c r="L55" s="6">
        <f t="shared" si="2"/>
        <v>-102</v>
      </c>
      <c r="M55" s="3"/>
      <c r="N55" s="7">
        <f t="shared" si="3"/>
        <v>-0.81599999999999995</v>
      </c>
      <c r="O55" s="9"/>
      <c r="P55" s="6">
        <v>1126</v>
      </c>
      <c r="Q55" s="3"/>
      <c r="R55" s="7">
        <f t="shared" si="4"/>
        <v>0</v>
      </c>
      <c r="S55" s="3"/>
      <c r="T55" s="6">
        <v>1500</v>
      </c>
      <c r="U55" s="3"/>
      <c r="V55" s="7">
        <f t="shared" si="5"/>
        <v>0</v>
      </c>
      <c r="W55" s="3"/>
      <c r="X55" s="6">
        <f t="shared" si="6"/>
        <v>-374</v>
      </c>
      <c r="Y55" s="3"/>
      <c r="Z55" s="7">
        <f t="shared" si="7"/>
        <v>-0.24933333333333332</v>
      </c>
    </row>
    <row r="56" spans="1:26" s="65" customFormat="1" ht="15" customHeight="1" x14ac:dyDescent="0.3">
      <c r="A56" s="36"/>
      <c r="B56" s="36"/>
      <c r="C56" s="36"/>
      <c r="D56" s="2"/>
      <c r="E56" s="2"/>
      <c r="F56" s="5"/>
      <c r="G56" s="2"/>
      <c r="H56" s="2"/>
      <c r="I56" s="2"/>
      <c r="J56" s="5"/>
      <c r="K56" s="2"/>
      <c r="L56" s="2"/>
      <c r="M56" s="2"/>
      <c r="N56" s="5"/>
      <c r="O56" s="36"/>
      <c r="P56" s="2"/>
      <c r="Q56" s="2"/>
      <c r="R56" s="5"/>
      <c r="S56" s="2"/>
      <c r="T56" s="2"/>
      <c r="U56" s="2"/>
      <c r="V56" s="5"/>
      <c r="W56" s="2"/>
      <c r="X56" s="2"/>
      <c r="Y56" s="2"/>
      <c r="Z56" s="5"/>
    </row>
    <row r="57" spans="1:26" s="63" customFormat="1" ht="15" customHeight="1" x14ac:dyDescent="0.3">
      <c r="A57" s="13"/>
      <c r="B57" s="28" t="s">
        <v>291</v>
      </c>
      <c r="C57" s="13"/>
      <c r="D57" s="8">
        <f>SUM(0)</f>
        <v>0</v>
      </c>
      <c r="E57" s="8"/>
      <c r="F57" s="14">
        <f>IF(D$12=0,0,D57/D$12)</f>
        <v>0</v>
      </c>
      <c r="G57" s="8"/>
      <c r="H57" s="8">
        <f>SUM(0)</f>
        <v>0</v>
      </c>
      <c r="I57" s="8"/>
      <c r="J57" s="14">
        <f>IF(H$12=0,0,H57/H$12)</f>
        <v>0</v>
      </c>
      <c r="K57" s="8"/>
      <c r="L57" s="8">
        <f>+D57-H57</f>
        <v>0</v>
      </c>
      <c r="M57" s="8"/>
      <c r="N57" s="14">
        <f>IF(H57=0,0,L57/H57)</f>
        <v>0</v>
      </c>
      <c r="O57" s="13"/>
      <c r="P57" s="8">
        <f>SUM(0)</f>
        <v>0</v>
      </c>
      <c r="Q57" s="8"/>
      <c r="R57" s="14">
        <f>IF(P$12=0,0,P57/P$12)</f>
        <v>0</v>
      </c>
      <c r="S57" s="8"/>
      <c r="T57" s="8">
        <f>SUM(0)</f>
        <v>0</v>
      </c>
      <c r="U57" s="8"/>
      <c r="V57" s="14">
        <f>IF(T$12=0,0,T57/T$12)</f>
        <v>0</v>
      </c>
      <c r="W57" s="8"/>
      <c r="X57" s="8">
        <f>+P57-T57</f>
        <v>0</v>
      </c>
      <c r="Y57" s="8"/>
      <c r="Z57" s="14">
        <f>IF(T57=0,0,X57/T57)</f>
        <v>0</v>
      </c>
    </row>
    <row r="58" spans="1:26" ht="15" customHeight="1" x14ac:dyDescent="0.3">
      <c r="A58" s="12"/>
      <c r="B58" s="13"/>
      <c r="C58" s="13"/>
      <c r="D58" s="4"/>
      <c r="E58" s="4"/>
      <c r="F58" s="10"/>
      <c r="G58" s="4"/>
      <c r="H58" s="4"/>
      <c r="I58" s="4"/>
      <c r="J58" s="10"/>
      <c r="K58" s="4"/>
      <c r="L58" s="4"/>
      <c r="M58" s="4"/>
      <c r="N58" s="10"/>
      <c r="O58" s="13"/>
      <c r="P58" s="4"/>
      <c r="Q58" s="4"/>
      <c r="R58" s="10"/>
      <c r="S58" s="4"/>
      <c r="T58" s="4"/>
      <c r="U58" s="4"/>
      <c r="V58" s="10"/>
      <c r="W58" s="4"/>
      <c r="X58" s="4"/>
      <c r="Y58" s="4"/>
      <c r="Z58" s="10"/>
    </row>
    <row r="59" spans="1:26" s="63" customFormat="1" ht="15" customHeight="1" x14ac:dyDescent="0.3">
      <c r="A59" s="13"/>
      <c r="B59" s="27" t="s">
        <v>292</v>
      </c>
      <c r="C59" s="27"/>
      <c r="D59" s="23">
        <f>+D16-D18+D57</f>
        <v>-5248.0700000000006</v>
      </c>
      <c r="E59" s="15"/>
      <c r="F59" s="22">
        <f>IF(D$12=0,0,D59/D$12)</f>
        <v>0</v>
      </c>
      <c r="G59" s="15"/>
      <c r="H59" s="23">
        <f>+H16-H18+H57</f>
        <v>-7587.9665799999993</v>
      </c>
      <c r="I59" s="15"/>
      <c r="J59" s="22">
        <f>IF(H$12=0,0,H59/H$12)</f>
        <v>0</v>
      </c>
      <c r="K59" s="17"/>
      <c r="L59" s="23">
        <f>+D59-H59</f>
        <v>2339.8965799999987</v>
      </c>
      <c r="M59" s="17"/>
      <c r="N59" s="22">
        <f>IF(H59=0,0,L59/H59)</f>
        <v>-0.30836938398850972</v>
      </c>
      <c r="O59" s="28"/>
      <c r="P59" s="23">
        <f>+P16-P18+P57</f>
        <v>-99775.79</v>
      </c>
      <c r="Q59" s="15"/>
      <c r="R59" s="22">
        <f>IF(P$12=0,0,P59/P$12)</f>
        <v>0</v>
      </c>
      <c r="S59" s="15"/>
      <c r="T59" s="23">
        <f>+T16-T18+T57</f>
        <v>-104608.56554</v>
      </c>
      <c r="U59" s="15"/>
      <c r="V59" s="22">
        <f>IF(T$12=0,0,T59/T$12)</f>
        <v>0</v>
      </c>
      <c r="W59" s="17"/>
      <c r="X59" s="23">
        <f>+P59-T59</f>
        <v>4832.7755400000024</v>
      </c>
      <c r="Y59" s="17"/>
      <c r="Z59" s="22">
        <f>IF(T59=0,0,X59/T59)</f>
        <v>-4.619865988079204E-2</v>
      </c>
    </row>
    <row r="60" spans="1:26" ht="15" customHeight="1" x14ac:dyDescent="0.3">
      <c r="A60" s="12"/>
      <c r="B60" s="13"/>
      <c r="C60" s="12"/>
      <c r="D60" s="4"/>
      <c r="E60" s="4"/>
      <c r="F60" s="10"/>
      <c r="G60" s="4"/>
      <c r="H60" s="4"/>
      <c r="I60" s="4"/>
      <c r="J60" s="10"/>
      <c r="K60" s="4"/>
      <c r="L60" s="4"/>
      <c r="M60" s="4"/>
      <c r="N60" s="10"/>
      <c r="P60" s="4"/>
      <c r="Q60" s="4"/>
      <c r="R60" s="10"/>
      <c r="S60" s="4"/>
      <c r="T60" s="4"/>
      <c r="U60" s="4"/>
      <c r="V60" s="10"/>
      <c r="W60" s="4"/>
      <c r="X60" s="4"/>
      <c r="Y60" s="4"/>
      <c r="Z60" s="10"/>
    </row>
    <row r="61" spans="1:26" s="63" customFormat="1" ht="15" customHeight="1" x14ac:dyDescent="0.3">
      <c r="A61" s="49"/>
      <c r="B61" s="13" t="s">
        <v>293</v>
      </c>
      <c r="C61" s="13"/>
      <c r="D61" s="8"/>
      <c r="E61" s="8"/>
      <c r="F61" s="14">
        <f>IF(D$12=0,0,D61/D$12)</f>
        <v>0</v>
      </c>
      <c r="G61" s="8"/>
      <c r="H61" s="8"/>
      <c r="I61" s="8"/>
      <c r="J61" s="14">
        <f>IF(H$12=0,0,H61/H$12)</f>
        <v>0</v>
      </c>
      <c r="K61" s="8"/>
      <c r="L61" s="8">
        <f>+D61-H61</f>
        <v>0</v>
      </c>
      <c r="M61" s="8"/>
      <c r="N61" s="14">
        <f>IF(H61=0,0,L61/H61)</f>
        <v>0</v>
      </c>
      <c r="O61" s="13"/>
      <c r="P61" s="8"/>
      <c r="Q61" s="8"/>
      <c r="R61" s="14">
        <f>IF(P$12=0,0,P61/P$12)</f>
        <v>0</v>
      </c>
      <c r="S61" s="8"/>
      <c r="T61" s="8"/>
      <c r="U61" s="8"/>
      <c r="V61" s="14">
        <f>IF(T$12=0,0,T61/T$12)</f>
        <v>0</v>
      </c>
      <c r="W61" s="8"/>
      <c r="X61" s="8">
        <f>+P61-T61</f>
        <v>0</v>
      </c>
      <c r="Y61" s="8"/>
      <c r="Z61" s="14">
        <f>IF(T61=0,0,X61/T61)</f>
        <v>0</v>
      </c>
    </row>
    <row r="62" spans="1:26" ht="15" customHeight="1" x14ac:dyDescent="0.3">
      <c r="A62" s="12"/>
      <c r="B62" s="13"/>
      <c r="C62" s="13"/>
      <c r="D62" s="4"/>
      <c r="E62" s="4"/>
      <c r="F62" s="10"/>
      <c r="G62" s="4"/>
      <c r="H62" s="4"/>
      <c r="I62" s="4"/>
      <c r="J62" s="10"/>
      <c r="K62" s="4"/>
      <c r="L62" s="4"/>
      <c r="M62" s="4"/>
      <c r="N62" s="10"/>
      <c r="O62" s="13"/>
      <c r="P62" s="4"/>
      <c r="Q62" s="4"/>
      <c r="R62" s="10"/>
      <c r="S62" s="4"/>
      <c r="T62" s="4"/>
      <c r="U62" s="4"/>
      <c r="V62" s="10"/>
      <c r="W62" s="4"/>
      <c r="X62" s="4"/>
      <c r="Y62" s="4"/>
      <c r="Z62" s="10"/>
    </row>
    <row r="63" spans="1:26" s="63" customFormat="1" ht="15" customHeight="1" x14ac:dyDescent="0.3">
      <c r="A63" s="13"/>
      <c r="B63" s="27" t="s">
        <v>294</v>
      </c>
      <c r="C63" s="27"/>
      <c r="D63" s="30">
        <f>+D59-D61</f>
        <v>-5248.0700000000006</v>
      </c>
      <c r="E63" s="15"/>
      <c r="F63" s="35">
        <f>IF(D$12=0,0,D63/D$12)</f>
        <v>0</v>
      </c>
      <c r="G63" s="15"/>
      <c r="H63" s="30">
        <f>+H59-H61</f>
        <v>-7587.9665799999993</v>
      </c>
      <c r="I63" s="15"/>
      <c r="J63" s="35">
        <f>IF(H$12=0,0,H63/H$12)</f>
        <v>0</v>
      </c>
      <c r="K63" s="17"/>
      <c r="L63" s="30">
        <f>D63-H63</f>
        <v>2339.8965799999987</v>
      </c>
      <c r="M63" s="17"/>
      <c r="N63" s="35">
        <f>IF(H63=0,0,L63/H63)</f>
        <v>-0.30836938398850972</v>
      </c>
      <c r="O63" s="28"/>
      <c r="P63" s="30">
        <f>+P59-P61</f>
        <v>-99775.79</v>
      </c>
      <c r="Q63" s="15"/>
      <c r="R63" s="35">
        <f>IF(P$12=0,0,P63/P$12)</f>
        <v>0</v>
      </c>
      <c r="S63" s="15"/>
      <c r="T63" s="30">
        <f>+T59-T61</f>
        <v>-104608.56554</v>
      </c>
      <c r="U63" s="15"/>
      <c r="V63" s="35">
        <f>IF(T$12=0,0,T63/T$12)</f>
        <v>0</v>
      </c>
      <c r="W63" s="17"/>
      <c r="X63" s="30">
        <f>P63-T63</f>
        <v>4832.7755400000024</v>
      </c>
      <c r="Y63" s="17"/>
      <c r="Z63" s="35">
        <f>IF(T63=0,0,X63/T63)</f>
        <v>-4.619865988079204E-2</v>
      </c>
    </row>
    <row r="64" spans="1:26" ht="15" customHeight="1" x14ac:dyDescent="0.3">
      <c r="A64" s="12"/>
      <c r="B64" s="12"/>
      <c r="C64" s="12"/>
      <c r="D64" s="4"/>
      <c r="E64" s="4"/>
      <c r="F64" s="10"/>
      <c r="G64" s="4"/>
      <c r="H64" s="4"/>
      <c r="I64" s="4"/>
      <c r="J64" s="10"/>
      <c r="K64" s="4"/>
      <c r="L64" s="4"/>
      <c r="M64" s="4"/>
      <c r="N64" s="10"/>
      <c r="P64" s="4"/>
      <c r="Q64" s="4"/>
      <c r="R64" s="10"/>
      <c r="S64" s="4"/>
      <c r="T64" s="4"/>
      <c r="U64" s="4"/>
      <c r="V64" s="10"/>
      <c r="W64" s="4"/>
      <c r="X64" s="4"/>
      <c r="Y64" s="4"/>
      <c r="Z64" s="10"/>
    </row>
    <row r="65" spans="1:26" ht="15" customHeight="1" x14ac:dyDescent="0.3">
      <c r="A65" s="12"/>
      <c r="B65" s="12"/>
      <c r="C65" s="12"/>
      <c r="D65" s="4"/>
      <c r="E65" s="4"/>
      <c r="F65" s="10"/>
      <c r="G65" s="4"/>
      <c r="H65" s="4"/>
      <c r="I65" s="4"/>
      <c r="J65" s="10"/>
      <c r="K65" s="4"/>
      <c r="L65" s="4"/>
      <c r="M65" s="4"/>
      <c r="N65" s="10"/>
      <c r="P65" s="4"/>
      <c r="Q65" s="4"/>
      <c r="R65" s="10"/>
      <c r="S65" s="4"/>
      <c r="T65" s="4"/>
      <c r="U65" s="4"/>
      <c r="V65" s="10"/>
      <c r="W65" s="4"/>
      <c r="X65" s="4"/>
      <c r="Y65" s="4"/>
      <c r="Z65" s="10"/>
    </row>
    <row r="66" spans="1:26" s="63" customFormat="1" ht="15" customHeight="1" x14ac:dyDescent="0.3">
      <c r="A66" s="13"/>
      <c r="B66" s="27" t="s">
        <v>297</v>
      </c>
      <c r="C66" s="27"/>
      <c r="D66" s="33">
        <f>SUM(D63:D65)</f>
        <v>-5248.0700000000006</v>
      </c>
      <c r="E66" s="15"/>
      <c r="F66" s="31">
        <f>IF(D$12=0,0,D66/D$12)</f>
        <v>0</v>
      </c>
      <c r="G66" s="15"/>
      <c r="H66" s="33">
        <f>SUM(H63:H65)</f>
        <v>-7587.9665799999993</v>
      </c>
      <c r="I66" s="15"/>
      <c r="J66" s="31">
        <f>IF(H$12=0,0,H66/H$12)</f>
        <v>0</v>
      </c>
      <c r="K66" s="17"/>
      <c r="L66" s="33">
        <f>+D66-H66</f>
        <v>2339.8965799999987</v>
      </c>
      <c r="M66" s="17"/>
      <c r="N66" s="31">
        <f>IF(H66=0,0,L66/H66)</f>
        <v>-0.30836938398850972</v>
      </c>
      <c r="O66" s="28"/>
      <c r="P66" s="33">
        <f>SUM(P63:P65)</f>
        <v>-99775.79</v>
      </c>
      <c r="Q66" s="15"/>
      <c r="R66" s="31">
        <f>IF(P$12=0,0,P66/P$12)</f>
        <v>0</v>
      </c>
      <c r="S66" s="15"/>
      <c r="T66" s="33">
        <f>SUM(T63:T65)</f>
        <v>-104608.56554</v>
      </c>
      <c r="U66" s="15"/>
      <c r="V66" s="31">
        <f>IF(T$12=0,0,T66/T$12)</f>
        <v>0</v>
      </c>
      <c r="W66" s="17"/>
      <c r="X66" s="33">
        <f>+P66-T66</f>
        <v>4832.7755400000024</v>
      </c>
      <c r="Y66" s="17"/>
      <c r="Z66" s="31">
        <f>IF(T66=0,0,X66/T66)</f>
        <v>-4.619865988079204E-2</v>
      </c>
    </row>
    <row r="67" spans="1:26" ht="15" customHeight="1" x14ac:dyDescent="0.3">
      <c r="A67" s="12"/>
      <c r="C67" s="12"/>
      <c r="D67" s="19"/>
      <c r="E67" s="19"/>
      <c r="G67" s="19"/>
      <c r="H67" s="19"/>
      <c r="I67" s="19"/>
      <c r="J67" s="41"/>
      <c r="K67" s="19"/>
      <c r="L67" s="19"/>
      <c r="M67" s="19"/>
      <c r="P67" s="19"/>
      <c r="Q67" s="19"/>
      <c r="R67" s="41"/>
      <c r="S67" s="19"/>
      <c r="T67" s="19"/>
      <c r="U67" s="19"/>
      <c r="V67" s="41"/>
      <c r="W67" s="19"/>
      <c r="X67" s="19"/>
    </row>
    <row r="68" spans="1:26" ht="15" customHeight="1" x14ac:dyDescent="0.3">
      <c r="A68" s="12"/>
      <c r="B68" s="50">
        <v>44767.799547766204</v>
      </c>
      <c r="D68" s="19"/>
      <c r="E68" s="19"/>
      <c r="G68" s="19"/>
      <c r="H68" s="19"/>
      <c r="I68" s="19"/>
      <c r="J68" s="41"/>
      <c r="K68" s="19"/>
      <c r="L68" s="19"/>
      <c r="M68" s="19"/>
      <c r="P68" s="19"/>
      <c r="Q68" s="19"/>
      <c r="R68" s="41"/>
      <c r="S68" s="19"/>
      <c r="T68" s="19"/>
      <c r="U68" s="19"/>
      <c r="V68" s="41"/>
      <c r="W68" s="19"/>
      <c r="X68" s="19"/>
    </row>
    <row r="69" spans="1:26" ht="15" customHeight="1" x14ac:dyDescent="0.3">
      <c r="A69" s="12"/>
      <c r="B69" s="57" t="s">
        <v>298</v>
      </c>
      <c r="D69" s="19"/>
      <c r="E69" s="19"/>
      <c r="G69" s="19"/>
      <c r="H69" s="19"/>
      <c r="I69" s="19"/>
      <c r="J69" s="41"/>
      <c r="K69" s="19"/>
      <c r="L69" s="19"/>
      <c r="M69" s="19"/>
      <c r="P69" s="19"/>
      <c r="Q69" s="19"/>
      <c r="R69" s="41"/>
      <c r="S69" s="19"/>
      <c r="T69" s="19"/>
      <c r="U69" s="19"/>
      <c r="V69" s="41"/>
      <c r="W69" s="19"/>
      <c r="X69" s="19"/>
    </row>
    <row r="70" spans="1:26" ht="15" customHeight="1" x14ac:dyDescent="0.3">
      <c r="A70" s="12"/>
      <c r="B70" s="51"/>
      <c r="D70" s="19"/>
      <c r="E70" s="19"/>
      <c r="G70" s="19"/>
      <c r="H70" s="19"/>
      <c r="I70" s="19"/>
      <c r="J70" s="41"/>
      <c r="K70" s="19"/>
      <c r="L70" s="19"/>
      <c r="M70" s="19"/>
      <c r="P70" s="19"/>
      <c r="Q70" s="19"/>
      <c r="R70" s="41"/>
      <c r="S70" s="19"/>
      <c r="T70" s="19"/>
      <c r="U70" s="19"/>
      <c r="V70" s="41"/>
      <c r="W70" s="19"/>
      <c r="X70" s="19"/>
    </row>
    <row r="71" spans="1:26" ht="15" customHeight="1" x14ac:dyDescent="0.3">
      <c r="D71" s="19"/>
      <c r="E71" s="19"/>
      <c r="G71" s="19"/>
      <c r="H71" s="19"/>
      <c r="I71" s="19"/>
      <c r="J71" s="41"/>
      <c r="K71" s="19"/>
      <c r="L71" s="19"/>
      <c r="M71" s="19"/>
      <c r="P71" s="19"/>
      <c r="Q71" s="19"/>
      <c r="R71" s="41"/>
      <c r="S71" s="19"/>
      <c r="T71" s="19"/>
      <c r="U71" s="19"/>
      <c r="V71" s="41"/>
      <c r="W71" s="19"/>
      <c r="X71" s="19"/>
    </row>
  </sheetData>
  <pageMargins left="0.25" right="0.25" top="0.75" bottom="0.75" header="0.3" footer="0.3"/>
  <pageSetup scale="55" orientation="landscape" r:id="rId1"/>
  <headerFooter>
    <oddHeader>&amp;RPre-Audit</oddHeader>
    <oddFooter>&amp;L&amp;C&amp;R</oddFooter>
    <evenHeader>&amp;L&amp;C&amp;R</evenHeader>
    <evenFooter>&amp;L&amp;C&amp;R</even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03CD83-81C4-42D5-CB0F-99BB10D31457}">
  <sheetPr>
    <tabColor rgb="FF92D050"/>
    <outlinePr summaryBelow="0" summaryRight="0"/>
  </sheetPr>
  <dimension ref="A2:Z69"/>
  <sheetViews>
    <sheetView showGridLines="0" defaultGridColor="0" colorId="8" zoomScale="80" workbookViewId="0">
      <pane xSplit="3" ySplit="10" topLeftCell="D11" activePane="bottomRight" state="frozen"/>
      <selection activeCell="D78" sqref="D78"/>
      <selection pane="topRight" activeCell="D78" sqref="D78"/>
      <selection pane="bottomLeft" activeCell="D78" sqref="D78"/>
      <selection pane="bottomRight" activeCell="D78" sqref="D78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3" t="s">
        <v>276</v>
      </c>
    </row>
    <row r="3" spans="1:26" ht="15" customHeight="1" x14ac:dyDescent="0.3">
      <c r="D3" s="53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3" t="str">
        <f>CONCATENATE("Period ",RIGHT(202212,2),", ",2022)</f>
        <v>Period 12,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5"/>
      <c r="D5" s="60">
        <v>44742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5"/>
      <c r="B6" s="47"/>
      <c r="C6" s="47"/>
      <c r="D6" s="25" t="str">
        <f>CONCATENATE("Department ","206"," - ","Communications")</f>
        <v>Department 206 - Communications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4"/>
    </row>
    <row r="8" spans="1:26" ht="15" customHeight="1" x14ac:dyDescent="0.3">
      <c r="B8" s="54"/>
    </row>
    <row r="9" spans="1:26" ht="15" customHeight="1" x14ac:dyDescent="0.3">
      <c r="B9" s="12"/>
      <c r="C9" s="12"/>
      <c r="D9" s="16" t="s">
        <v>279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280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ht="15" customHeight="1" x14ac:dyDescent="0.3">
      <c r="A10" s="13"/>
      <c r="B10" s="52"/>
      <c r="C10" s="13"/>
      <c r="D10" s="40" t="s">
        <v>281</v>
      </c>
      <c r="E10" s="32"/>
      <c r="F10" s="39" t="s">
        <v>282</v>
      </c>
      <c r="G10" s="32"/>
      <c r="H10" s="45" t="s">
        <v>283</v>
      </c>
      <c r="I10" s="32"/>
      <c r="J10" s="42" t="s">
        <v>284</v>
      </c>
      <c r="K10" s="13"/>
      <c r="L10" s="40" t="s">
        <v>285</v>
      </c>
      <c r="M10" s="13"/>
      <c r="N10" s="39" t="s">
        <v>286</v>
      </c>
      <c r="O10" s="13"/>
      <c r="P10" s="55" t="s">
        <v>281</v>
      </c>
      <c r="Q10" s="32"/>
      <c r="R10" s="39" t="s">
        <v>282</v>
      </c>
      <c r="S10" s="32"/>
      <c r="T10" s="45" t="s">
        <v>283</v>
      </c>
      <c r="U10" s="32"/>
      <c r="V10" s="42" t="s">
        <v>284</v>
      </c>
      <c r="W10" s="13"/>
      <c r="X10" s="40" t="s">
        <v>285</v>
      </c>
      <c r="Y10" s="13"/>
      <c r="Z10" s="39" t="s">
        <v>286</v>
      </c>
    </row>
    <row r="11" spans="1:26" ht="16.5" customHeight="1" x14ac:dyDescent="0.3">
      <c r="A11" s="12"/>
      <c r="B11" s="58"/>
      <c r="C11" s="12"/>
      <c r="D11" s="12"/>
      <c r="E11" s="12"/>
      <c r="F11" s="10"/>
      <c r="G11" s="12"/>
      <c r="H11" s="12"/>
      <c r="I11" s="12"/>
      <c r="J11" s="43"/>
      <c r="K11" s="12"/>
      <c r="L11" s="12"/>
      <c r="M11" s="12"/>
      <c r="N11" s="10"/>
      <c r="P11" s="12"/>
      <c r="Q11" s="12"/>
      <c r="R11" s="10"/>
      <c r="S11" s="12"/>
      <c r="T11" s="12"/>
      <c r="U11" s="12"/>
      <c r="V11" s="43"/>
      <c r="W11" s="12"/>
      <c r="X11" s="12"/>
      <c r="Y11" s="12"/>
      <c r="Z11" s="10"/>
    </row>
    <row r="12" spans="1:26" s="63" customFormat="1" ht="15" customHeight="1" x14ac:dyDescent="0.3">
      <c r="A12" s="13"/>
      <c r="B12" s="28" t="s">
        <v>287</v>
      </c>
      <c r="C12" s="13"/>
      <c r="D12" s="8">
        <f>SUM(0)</f>
        <v>0</v>
      </c>
      <c r="E12" s="8"/>
      <c r="F12" s="14"/>
      <c r="G12" s="8"/>
      <c r="H12" s="8">
        <f>SUM(0)</f>
        <v>0</v>
      </c>
      <c r="I12" s="8"/>
      <c r="J12" s="14"/>
      <c r="K12" s="8"/>
      <c r="L12" s="8">
        <f>+D12-H12</f>
        <v>0</v>
      </c>
      <c r="M12" s="8"/>
      <c r="N12" s="14">
        <f>IF(H12=0,0,L12/H12)</f>
        <v>0</v>
      </c>
      <c r="O12" s="13"/>
      <c r="P12" s="8">
        <f>SUM(0)</f>
        <v>0</v>
      </c>
      <c r="Q12" s="8"/>
      <c r="R12" s="14"/>
      <c r="S12" s="8"/>
      <c r="T12" s="8">
        <f>SUM(0)</f>
        <v>0</v>
      </c>
      <c r="U12" s="8"/>
      <c r="V12" s="14"/>
      <c r="W12" s="8"/>
      <c r="X12" s="8">
        <f>+P12-T12</f>
        <v>0</v>
      </c>
      <c r="Y12" s="8"/>
      <c r="Z12" s="14">
        <f>IF(T12=0,0,X12/T12)</f>
        <v>0</v>
      </c>
    </row>
    <row r="13" spans="1:26" ht="15" customHeight="1" x14ac:dyDescent="0.3">
      <c r="A13" s="12"/>
      <c r="B13" s="13"/>
      <c r="C13" s="12"/>
      <c r="D13" s="4"/>
      <c r="E13" s="4"/>
      <c r="F13" s="10"/>
      <c r="G13" s="4"/>
      <c r="H13" s="4"/>
      <c r="I13" s="4"/>
      <c r="J13" s="10"/>
      <c r="K13" s="4"/>
      <c r="L13" s="4"/>
      <c r="M13" s="4"/>
      <c r="N13" s="10"/>
      <c r="P13" s="4"/>
      <c r="Q13" s="4"/>
      <c r="R13" s="10"/>
      <c r="S13" s="4"/>
      <c r="T13" s="4"/>
      <c r="U13" s="4"/>
      <c r="V13" s="10"/>
      <c r="W13" s="4"/>
      <c r="X13" s="4"/>
      <c r="Y13" s="4"/>
      <c r="Z13" s="10"/>
    </row>
    <row r="14" spans="1:26" s="63" customFormat="1" ht="15" customHeight="1" x14ac:dyDescent="0.3">
      <c r="A14" s="13"/>
      <c r="B14" s="28" t="s">
        <v>288</v>
      </c>
      <c r="C14" s="13"/>
      <c r="D14" s="8">
        <f>SUM(0)</f>
        <v>0</v>
      </c>
      <c r="E14" s="8"/>
      <c r="F14" s="14">
        <f>IF(D$12=0,0,D14/D$12)</f>
        <v>0</v>
      </c>
      <c r="G14" s="8"/>
      <c r="H14" s="8">
        <f>SUM(0)</f>
        <v>0</v>
      </c>
      <c r="I14" s="8"/>
      <c r="J14" s="14">
        <f>IF(H$12=0,0,H14/H$12)</f>
        <v>0</v>
      </c>
      <c r="K14" s="8"/>
      <c r="L14" s="8">
        <f>+D14-H14</f>
        <v>0</v>
      </c>
      <c r="M14" s="8"/>
      <c r="N14" s="14">
        <f>IF(H14=0,0,L14/H14)</f>
        <v>0</v>
      </c>
      <c r="O14" s="13"/>
      <c r="P14" s="8">
        <f>SUM(0)</f>
        <v>0</v>
      </c>
      <c r="Q14" s="8"/>
      <c r="R14" s="14">
        <f>IF(P$12=0,0,P14/P$12)</f>
        <v>0</v>
      </c>
      <c r="S14" s="8"/>
      <c r="T14" s="8">
        <f>SUM(0)</f>
        <v>0</v>
      </c>
      <c r="U14" s="8"/>
      <c r="V14" s="14">
        <f>IF(T$12=0,0,T14/T$12)</f>
        <v>0</v>
      </c>
      <c r="W14" s="8"/>
      <c r="X14" s="8">
        <f>+P14-T14</f>
        <v>0</v>
      </c>
      <c r="Y14" s="8"/>
      <c r="Z14" s="14">
        <f>IF(T14=0,0,X14/T14)</f>
        <v>0</v>
      </c>
    </row>
    <row r="15" spans="1:26" ht="15" customHeight="1" x14ac:dyDescent="0.3">
      <c r="A15" s="12"/>
      <c r="B15" s="13"/>
      <c r="C15" s="13"/>
      <c r="D15" s="4"/>
      <c r="E15" s="4"/>
      <c r="F15" s="10"/>
      <c r="G15" s="4"/>
      <c r="H15" s="4"/>
      <c r="I15" s="4"/>
      <c r="J15" s="10"/>
      <c r="K15" s="4"/>
      <c r="L15" s="4"/>
      <c r="M15" s="4"/>
      <c r="N15" s="10"/>
      <c r="O15" s="13"/>
      <c r="P15" s="4"/>
      <c r="Q15" s="4"/>
      <c r="R15" s="10"/>
      <c r="S15" s="4"/>
      <c r="T15" s="4"/>
      <c r="U15" s="4"/>
      <c r="V15" s="10"/>
      <c r="W15" s="4"/>
      <c r="X15" s="4"/>
      <c r="Y15" s="4"/>
      <c r="Z15" s="10"/>
    </row>
    <row r="16" spans="1:26" s="63" customFormat="1" ht="15" customHeight="1" x14ac:dyDescent="0.3">
      <c r="A16" s="13"/>
      <c r="B16" s="27" t="s">
        <v>289</v>
      </c>
      <c r="C16" s="27"/>
      <c r="D16" s="23">
        <f>D12-D14</f>
        <v>0</v>
      </c>
      <c r="E16" s="15"/>
      <c r="F16" s="22">
        <f>IF(D$12=0,0,D16/D$12)</f>
        <v>0</v>
      </c>
      <c r="G16" s="15"/>
      <c r="H16" s="23">
        <f>H12-H14</f>
        <v>0</v>
      </c>
      <c r="I16" s="15"/>
      <c r="J16" s="22">
        <f>IF(H$12=0,0,H16/H$12)</f>
        <v>0</v>
      </c>
      <c r="K16" s="17"/>
      <c r="L16" s="23">
        <f>+D16-H16</f>
        <v>0</v>
      </c>
      <c r="M16" s="17"/>
      <c r="N16" s="22">
        <f>IF(H16=0,0,L16/H16)</f>
        <v>0</v>
      </c>
      <c r="O16" s="28"/>
      <c r="P16" s="23">
        <f>P12-P14</f>
        <v>0</v>
      </c>
      <c r="Q16" s="15"/>
      <c r="R16" s="22">
        <f>IF(P$12=0,0,P16/P$12)</f>
        <v>0</v>
      </c>
      <c r="S16" s="15"/>
      <c r="T16" s="23">
        <f>T12-T14</f>
        <v>0</v>
      </c>
      <c r="U16" s="15"/>
      <c r="V16" s="22">
        <f>IF(T$12=0,0,T16/T$12)</f>
        <v>0</v>
      </c>
      <c r="W16" s="17"/>
      <c r="X16" s="23">
        <f>+P16-T16</f>
        <v>0</v>
      </c>
      <c r="Y16" s="17"/>
      <c r="Z16" s="22">
        <f>IF(T16=0,0,X16/T16)</f>
        <v>0</v>
      </c>
    </row>
    <row r="17" spans="1:26" ht="15" customHeight="1" x14ac:dyDescent="0.3">
      <c r="A17" s="12"/>
      <c r="B17" s="13"/>
      <c r="C17" s="12"/>
      <c r="D17" s="2"/>
      <c r="E17" s="2"/>
      <c r="F17" s="5"/>
      <c r="G17" s="2"/>
      <c r="H17" s="2"/>
      <c r="I17" s="2"/>
      <c r="J17" s="5"/>
      <c r="K17" s="2"/>
      <c r="L17" s="2"/>
      <c r="M17" s="2"/>
      <c r="N17" s="5"/>
      <c r="O17" s="36"/>
      <c r="P17" s="2"/>
      <c r="Q17" s="2"/>
      <c r="R17" s="5"/>
      <c r="S17" s="2"/>
      <c r="T17" s="2"/>
      <c r="U17" s="2"/>
      <c r="V17" s="5"/>
      <c r="W17" s="2"/>
      <c r="X17" s="2"/>
      <c r="Y17" s="2"/>
      <c r="Z17" s="5"/>
    </row>
    <row r="18" spans="1:26" s="63" customFormat="1" ht="15" customHeight="1" x14ac:dyDescent="0.3">
      <c r="A18" s="13"/>
      <c r="B18" s="28" t="s">
        <v>290</v>
      </c>
      <c r="C18" s="13"/>
      <c r="D18" s="24" cm="1">
        <f t="array" ref="D18">SUM(OSRRefD22x_0)</f>
        <v>7774.49</v>
      </c>
      <c r="E18" s="24"/>
      <c r="F18" s="34">
        <f t="shared" ref="F18:F53" si="0">IF(D$12=0,0,D18/D$12)</f>
        <v>0</v>
      </c>
      <c r="G18" s="24"/>
      <c r="H18" s="24" cm="1">
        <f t="array" ref="H18">SUM(OSRRefH22x_0)</f>
        <v>12232.75742769231</v>
      </c>
      <c r="I18" s="24"/>
      <c r="J18" s="34">
        <f t="shared" ref="J18:J53" si="1">IF(H$12=0,0,H18/H$12)</f>
        <v>0</v>
      </c>
      <c r="K18" s="8"/>
      <c r="L18" s="24">
        <f t="shared" ref="L18:L53" si="2">+D18-H18</f>
        <v>-4458.2674276923099</v>
      </c>
      <c r="M18" s="8"/>
      <c r="N18" s="34">
        <f t="shared" ref="N18:N53" si="3">IF(H18=0,0,L18/H18)</f>
        <v>-0.36445318678516092</v>
      </c>
      <c r="O18" s="13"/>
      <c r="P18" s="24" cm="1">
        <f t="array" ref="P18">SUM(OSRRefP22x_0)</f>
        <v>107399.45</v>
      </c>
      <c r="Q18" s="24"/>
      <c r="R18" s="34">
        <f t="shared" ref="R18:R53" si="4">IF(P$12=0,0,P18/P$12)</f>
        <v>0</v>
      </c>
      <c r="S18" s="24"/>
      <c r="T18" s="24" cm="1">
        <f t="array" ref="T18">SUM(OSRRefT22x_0)</f>
        <v>158346.57616</v>
      </c>
      <c r="U18" s="24"/>
      <c r="V18" s="34">
        <f t="shared" ref="V18:V53" si="5">IF(T$12=0,0,T18/T$12)</f>
        <v>0</v>
      </c>
      <c r="W18" s="8"/>
      <c r="X18" s="24">
        <f t="shared" ref="X18:X53" si="6">+P18-T18</f>
        <v>-50947.12616</v>
      </c>
      <c r="Y18" s="8"/>
      <c r="Z18" s="34">
        <f t="shared" ref="Z18:Z53" si="7">IF(T18=0,0,X18/T18)</f>
        <v>-0.32174441276533122</v>
      </c>
    </row>
    <row r="19" spans="1:26" s="69" customFormat="1" ht="15" customHeight="1" outlineLevel="1" collapsed="1" x14ac:dyDescent="0.3">
      <c r="A19" s="20"/>
      <c r="B19" s="11" t="str">
        <f>CONCATENATE("     ","*Benefits                                         ")</f>
        <v xml:space="preserve">     *Benefits                                         </v>
      </c>
      <c r="C19" s="11"/>
      <c r="D19" s="2">
        <f>SUM(OSRRefD22_0x_0)</f>
        <v>1275.17</v>
      </c>
      <c r="E19" s="2"/>
      <c r="F19" s="5">
        <f t="shared" si="0"/>
        <v>0</v>
      </c>
      <c r="G19" s="2"/>
      <c r="H19" s="2">
        <f>SUM(OSRRefH22_0x_0)</f>
        <v>2192.0774276923098</v>
      </c>
      <c r="I19" s="2"/>
      <c r="J19" s="5">
        <f t="shared" si="1"/>
        <v>0</v>
      </c>
      <c r="K19" s="2"/>
      <c r="L19" s="2">
        <f t="shared" si="2"/>
        <v>-916.90742769230974</v>
      </c>
      <c r="M19" s="2"/>
      <c r="N19" s="5">
        <f t="shared" si="3"/>
        <v>-0.41828240923842547</v>
      </c>
      <c r="O19" s="11"/>
      <c r="P19" s="2">
        <f>SUM(OSRRefP22_0x_0)</f>
        <v>20871.2</v>
      </c>
      <c r="Q19" s="2"/>
      <c r="R19" s="5">
        <f t="shared" si="4"/>
        <v>0</v>
      </c>
      <c r="S19" s="2"/>
      <c r="T19" s="2">
        <f>SUM(OSRRefT22_0x_0)</f>
        <v>28958.73616</v>
      </c>
      <c r="U19" s="2"/>
      <c r="V19" s="5">
        <f t="shared" si="5"/>
        <v>0</v>
      </c>
      <c r="W19" s="2"/>
      <c r="X19" s="2">
        <f t="shared" si="6"/>
        <v>-8087.5361599999997</v>
      </c>
      <c r="Y19" s="2"/>
      <c r="Z19" s="5">
        <f t="shared" si="7"/>
        <v>-0.27927793931736278</v>
      </c>
    </row>
    <row r="20" spans="1:26" s="70" customFormat="1" ht="15" hidden="1" customHeight="1" outlineLevel="2" x14ac:dyDescent="0.3">
      <c r="A20" s="21"/>
      <c r="B20" s="9" t="str">
        <f>CONCATENATE("          ","6111"," - ","F.I.C.A.")</f>
        <v xml:space="preserve">          6111 - F.I.C.A.</v>
      </c>
      <c r="C20" s="9"/>
      <c r="D20" s="6">
        <v>639.16999999999996</v>
      </c>
      <c r="E20" s="3"/>
      <c r="F20" s="7">
        <f t="shared" si="0"/>
        <v>0</v>
      </c>
      <c r="G20" s="3"/>
      <c r="H20" s="6">
        <v>378.36432000000002</v>
      </c>
      <c r="I20" s="3"/>
      <c r="J20" s="7">
        <f t="shared" si="1"/>
        <v>0</v>
      </c>
      <c r="K20" s="3"/>
      <c r="L20" s="6">
        <f t="shared" si="2"/>
        <v>260.80567999999994</v>
      </c>
      <c r="M20" s="3"/>
      <c r="N20" s="7">
        <f t="shared" si="3"/>
        <v>0.68929776465180415</v>
      </c>
      <c r="O20" s="9"/>
      <c r="P20" s="6">
        <v>6201.48</v>
      </c>
      <c r="Q20" s="3"/>
      <c r="R20" s="7">
        <f t="shared" si="4"/>
        <v>0</v>
      </c>
      <c r="S20" s="3"/>
      <c r="T20" s="6">
        <v>5555.46576</v>
      </c>
      <c r="U20" s="3"/>
      <c r="V20" s="7">
        <f t="shared" si="5"/>
        <v>0</v>
      </c>
      <c r="W20" s="3"/>
      <c r="X20" s="6">
        <f t="shared" si="6"/>
        <v>646.01423999999952</v>
      </c>
      <c r="Y20" s="3"/>
      <c r="Z20" s="7">
        <f t="shared" si="7"/>
        <v>0.11628444272870463</v>
      </c>
    </row>
    <row r="21" spans="1:26" s="70" customFormat="1" ht="15" hidden="1" customHeight="1" outlineLevel="2" x14ac:dyDescent="0.3">
      <c r="A21" s="21"/>
      <c r="B21" s="9" t="str">
        <f>CONCATENATE("          ","6112"," - ","COMPENSATION INSURANCE")</f>
        <v xml:space="preserve">          6112 - COMPENSATION INSURANCE</v>
      </c>
      <c r="C21" s="9"/>
      <c r="D21" s="6">
        <v>-161.21</v>
      </c>
      <c r="E21" s="3"/>
      <c r="F21" s="7">
        <f t="shared" si="0"/>
        <v>0</v>
      </c>
      <c r="G21" s="3"/>
      <c r="H21" s="6">
        <v>23.2624</v>
      </c>
      <c r="I21" s="3"/>
      <c r="J21" s="7">
        <f t="shared" si="1"/>
        <v>0</v>
      </c>
      <c r="K21" s="3"/>
      <c r="L21" s="6">
        <f t="shared" si="2"/>
        <v>-184.47239999999999</v>
      </c>
      <c r="M21" s="3"/>
      <c r="N21" s="7">
        <f t="shared" si="3"/>
        <v>-7.930067404910929</v>
      </c>
      <c r="O21" s="9"/>
      <c r="P21" s="6">
        <v>874.96</v>
      </c>
      <c r="Q21" s="3"/>
      <c r="R21" s="7">
        <f t="shared" si="4"/>
        <v>0</v>
      </c>
      <c r="S21" s="3"/>
      <c r="T21" s="6">
        <v>302.41120000000001</v>
      </c>
      <c r="U21" s="3"/>
      <c r="V21" s="7">
        <f t="shared" si="5"/>
        <v>0</v>
      </c>
      <c r="W21" s="3"/>
      <c r="X21" s="6">
        <f t="shared" si="6"/>
        <v>572.54880000000003</v>
      </c>
      <c r="Y21" s="3"/>
      <c r="Z21" s="7">
        <f t="shared" si="7"/>
        <v>1.8932790849016174</v>
      </c>
    </row>
    <row r="22" spans="1:26" s="70" customFormat="1" ht="15" hidden="1" customHeight="1" outlineLevel="2" x14ac:dyDescent="0.3">
      <c r="A22" s="21"/>
      <c r="B22" s="9" t="str">
        <f>CONCATENATE("          ","6113"," - ","GROUP INSURANCE")</f>
        <v xml:space="preserve">          6113 - GROUP INSURANCE</v>
      </c>
      <c r="C22" s="9"/>
      <c r="D22" s="6">
        <v>39.83</v>
      </c>
      <c r="E22" s="3"/>
      <c r="F22" s="7">
        <f t="shared" si="0"/>
        <v>0</v>
      </c>
      <c r="G22" s="3"/>
      <c r="H22" s="6">
        <v>1275.6923076923099</v>
      </c>
      <c r="I22" s="3"/>
      <c r="J22" s="7">
        <f t="shared" si="1"/>
        <v>0</v>
      </c>
      <c r="K22" s="3"/>
      <c r="L22" s="6">
        <f t="shared" si="2"/>
        <v>-1235.86230769231</v>
      </c>
      <c r="M22" s="3"/>
      <c r="N22" s="7">
        <f t="shared" si="3"/>
        <v>-0.96877773757838892</v>
      </c>
      <c r="O22" s="9"/>
      <c r="P22" s="6">
        <v>4455.45</v>
      </c>
      <c r="Q22" s="3"/>
      <c r="R22" s="7">
        <f t="shared" si="4"/>
        <v>0</v>
      </c>
      <c r="S22" s="3"/>
      <c r="T22" s="6">
        <v>16584</v>
      </c>
      <c r="U22" s="3"/>
      <c r="V22" s="7">
        <f t="shared" si="5"/>
        <v>0</v>
      </c>
      <c r="W22" s="3"/>
      <c r="X22" s="6">
        <f t="shared" si="6"/>
        <v>-12128.55</v>
      </c>
      <c r="Y22" s="3"/>
      <c r="Z22" s="7">
        <f t="shared" si="7"/>
        <v>-0.73134044862518088</v>
      </c>
    </row>
    <row r="23" spans="1:26" s="70" customFormat="1" ht="15" hidden="1" customHeight="1" outlineLevel="2" x14ac:dyDescent="0.3">
      <c r="A23" s="21"/>
      <c r="B23" s="9" t="str">
        <f>CONCATENATE("          ","6114"," - ","STATE UNEMPLOYMENT INSURANCE")</f>
        <v xml:space="preserve">          6114 - STATE UNEMPLOYMENT INSURANCE</v>
      </c>
      <c r="C23" s="9"/>
      <c r="D23" s="6"/>
      <c r="E23" s="3"/>
      <c r="F23" s="7">
        <f t="shared" si="0"/>
        <v>0</v>
      </c>
      <c r="G23" s="3"/>
      <c r="H23" s="6">
        <v>15.7584</v>
      </c>
      <c r="I23" s="3"/>
      <c r="J23" s="7">
        <f t="shared" si="1"/>
        <v>0</v>
      </c>
      <c r="K23" s="3"/>
      <c r="L23" s="6">
        <f t="shared" si="2"/>
        <v>-15.7584</v>
      </c>
      <c r="M23" s="3"/>
      <c r="N23" s="7">
        <f t="shared" si="3"/>
        <v>-1</v>
      </c>
      <c r="O23" s="9"/>
      <c r="P23" s="6">
        <v>208.85</v>
      </c>
      <c r="Q23" s="3"/>
      <c r="R23" s="7">
        <f t="shared" si="4"/>
        <v>0</v>
      </c>
      <c r="S23" s="3"/>
      <c r="T23" s="6">
        <v>204.85919999999999</v>
      </c>
      <c r="U23" s="3"/>
      <c r="V23" s="7">
        <f t="shared" si="5"/>
        <v>0</v>
      </c>
      <c r="W23" s="3"/>
      <c r="X23" s="6">
        <f t="shared" si="6"/>
        <v>3.9908000000000072</v>
      </c>
      <c r="Y23" s="3"/>
      <c r="Z23" s="7">
        <f t="shared" si="7"/>
        <v>1.9480696986027512E-2</v>
      </c>
    </row>
    <row r="24" spans="1:26" s="70" customFormat="1" ht="15" hidden="1" customHeight="1" outlineLevel="2" x14ac:dyDescent="0.3">
      <c r="A24" s="21"/>
      <c r="B24" s="9" t="str">
        <f>CONCATENATE("          ","6115"," - ","P.E.R.S.")</f>
        <v xml:space="preserve">          6115 - P.E.R.S.</v>
      </c>
      <c r="C24" s="9"/>
      <c r="D24" s="6"/>
      <c r="E24" s="3"/>
      <c r="F24" s="7">
        <f t="shared" si="0"/>
        <v>0</v>
      </c>
      <c r="G24" s="3"/>
      <c r="H24" s="6">
        <v>0</v>
      </c>
      <c r="I24" s="3"/>
      <c r="J24" s="7">
        <f t="shared" si="1"/>
        <v>0</v>
      </c>
      <c r="K24" s="3"/>
      <c r="L24" s="6">
        <f t="shared" si="2"/>
        <v>0</v>
      </c>
      <c r="M24" s="3"/>
      <c r="N24" s="7">
        <f t="shared" si="3"/>
        <v>0</v>
      </c>
      <c r="O24" s="9"/>
      <c r="P24" s="6"/>
      <c r="Q24" s="3"/>
      <c r="R24" s="7">
        <f t="shared" si="4"/>
        <v>0</v>
      </c>
      <c r="S24" s="3"/>
      <c r="T24" s="6">
        <v>0</v>
      </c>
      <c r="U24" s="3"/>
      <c r="V24" s="7">
        <f t="shared" si="5"/>
        <v>0</v>
      </c>
      <c r="W24" s="3"/>
      <c r="X24" s="6">
        <f t="shared" si="6"/>
        <v>0</v>
      </c>
      <c r="Y24" s="3"/>
      <c r="Z24" s="7">
        <f t="shared" si="7"/>
        <v>0</v>
      </c>
    </row>
    <row r="25" spans="1:26" s="70" customFormat="1" ht="15" hidden="1" customHeight="1" outlineLevel="2" x14ac:dyDescent="0.3">
      <c r="A25" s="21"/>
      <c r="B25" s="9" t="str">
        <f>CONCATENATE("          ","6116"," - ","EDUCATIONAL BENEFITS")</f>
        <v xml:space="preserve">          6116 - EDUCATIONAL BENEFITS</v>
      </c>
      <c r="C25" s="9"/>
      <c r="D25" s="6"/>
      <c r="E25" s="3"/>
      <c r="F25" s="7">
        <f t="shared" si="0"/>
        <v>0</v>
      </c>
      <c r="G25" s="3"/>
      <c r="H25" s="6">
        <v>0</v>
      </c>
      <c r="I25" s="3"/>
      <c r="J25" s="7">
        <f t="shared" si="1"/>
        <v>0</v>
      </c>
      <c r="K25" s="3"/>
      <c r="L25" s="6">
        <f t="shared" si="2"/>
        <v>0</v>
      </c>
      <c r="M25" s="3"/>
      <c r="N25" s="7">
        <f t="shared" si="3"/>
        <v>0</v>
      </c>
      <c r="O25" s="9"/>
      <c r="P25" s="6"/>
      <c r="Q25" s="3"/>
      <c r="R25" s="7">
        <f t="shared" si="4"/>
        <v>0</v>
      </c>
      <c r="S25" s="3"/>
      <c r="T25" s="6">
        <v>0</v>
      </c>
      <c r="U25" s="3"/>
      <c r="V25" s="7">
        <f t="shared" si="5"/>
        <v>0</v>
      </c>
      <c r="W25" s="3"/>
      <c r="X25" s="6">
        <f t="shared" si="6"/>
        <v>0</v>
      </c>
      <c r="Y25" s="3"/>
      <c r="Z25" s="7">
        <f t="shared" si="7"/>
        <v>0</v>
      </c>
    </row>
    <row r="26" spans="1:26" s="70" customFormat="1" ht="15" hidden="1" customHeight="1" outlineLevel="2" x14ac:dyDescent="0.3">
      <c r="A26" s="21"/>
      <c r="B26" s="9" t="str">
        <f>CONCATENATE("          ","6118"," - ","VACATION")</f>
        <v xml:space="preserve">          6118 - VACATION</v>
      </c>
      <c r="C26" s="9"/>
      <c r="D26" s="6">
        <v>287.66000000000003</v>
      </c>
      <c r="E26" s="3"/>
      <c r="F26" s="7">
        <f t="shared" si="0"/>
        <v>0</v>
      </c>
      <c r="G26" s="3"/>
      <c r="H26" s="6">
        <v>148.32</v>
      </c>
      <c r="I26" s="3"/>
      <c r="J26" s="7">
        <f t="shared" si="1"/>
        <v>0</v>
      </c>
      <c r="K26" s="3"/>
      <c r="L26" s="6">
        <f t="shared" si="2"/>
        <v>139.34000000000003</v>
      </c>
      <c r="M26" s="3"/>
      <c r="N26" s="7">
        <f t="shared" si="3"/>
        <v>0.93945523193096037</v>
      </c>
      <c r="O26" s="9"/>
      <c r="P26" s="6">
        <v>3746.61</v>
      </c>
      <c r="Q26" s="3"/>
      <c r="R26" s="7">
        <f t="shared" si="4"/>
        <v>0</v>
      </c>
      <c r="S26" s="3"/>
      <c r="T26" s="6">
        <v>1928.16</v>
      </c>
      <c r="U26" s="3"/>
      <c r="V26" s="7">
        <f t="shared" si="5"/>
        <v>0</v>
      </c>
      <c r="W26" s="3"/>
      <c r="X26" s="6">
        <f t="shared" si="6"/>
        <v>1818.45</v>
      </c>
      <c r="Y26" s="3"/>
      <c r="Z26" s="7">
        <f t="shared" si="7"/>
        <v>0.94310119492158329</v>
      </c>
    </row>
    <row r="27" spans="1:26" s="70" customFormat="1" ht="15" hidden="1" customHeight="1" outlineLevel="2" x14ac:dyDescent="0.3">
      <c r="A27" s="21"/>
      <c r="B27" s="9" t="str">
        <f>CONCATENATE("          ","6119"," - ","SICK LEAVE")</f>
        <v xml:space="preserve">          6119 - SICK LEAVE</v>
      </c>
      <c r="C27" s="9"/>
      <c r="D27" s="6">
        <v>230.26</v>
      </c>
      <c r="E27" s="3"/>
      <c r="F27" s="7">
        <f t="shared" si="0"/>
        <v>0</v>
      </c>
      <c r="G27" s="3"/>
      <c r="H27" s="6">
        <v>175.68</v>
      </c>
      <c r="I27" s="3"/>
      <c r="J27" s="7">
        <f t="shared" si="1"/>
        <v>0</v>
      </c>
      <c r="K27" s="3"/>
      <c r="L27" s="6">
        <f t="shared" si="2"/>
        <v>54.579999999999984</v>
      </c>
      <c r="M27" s="3"/>
      <c r="N27" s="7">
        <f t="shared" si="3"/>
        <v>0.31067850637522759</v>
      </c>
      <c r="O27" s="9"/>
      <c r="P27" s="6">
        <v>3262.92</v>
      </c>
      <c r="Q27" s="3"/>
      <c r="R27" s="7">
        <f t="shared" si="4"/>
        <v>0</v>
      </c>
      <c r="S27" s="3"/>
      <c r="T27" s="6">
        <v>2283.84</v>
      </c>
      <c r="U27" s="3"/>
      <c r="V27" s="7">
        <f t="shared" si="5"/>
        <v>0</v>
      </c>
      <c r="W27" s="3"/>
      <c r="X27" s="6">
        <f t="shared" si="6"/>
        <v>979.07999999999993</v>
      </c>
      <c r="Y27" s="3"/>
      <c r="Z27" s="7">
        <f t="shared" si="7"/>
        <v>0.42869903320722985</v>
      </c>
    </row>
    <row r="28" spans="1:26" s="70" customFormat="1" ht="15" hidden="1" customHeight="1" outlineLevel="2" x14ac:dyDescent="0.3">
      <c r="A28" s="21"/>
      <c r="B28" s="9" t="str">
        <f>CONCATENATE("          ","6156"," - ","EMPLOYEE MEALS")</f>
        <v xml:space="preserve">          6156 - EMPLOYEE MEALS</v>
      </c>
      <c r="C28" s="9"/>
      <c r="D28" s="6">
        <v>239.46</v>
      </c>
      <c r="E28" s="3"/>
      <c r="F28" s="7">
        <f t="shared" si="0"/>
        <v>0</v>
      </c>
      <c r="G28" s="3"/>
      <c r="H28" s="6">
        <v>175</v>
      </c>
      <c r="I28" s="3"/>
      <c r="J28" s="7">
        <f t="shared" si="1"/>
        <v>0</v>
      </c>
      <c r="K28" s="3"/>
      <c r="L28" s="6">
        <f t="shared" si="2"/>
        <v>64.460000000000008</v>
      </c>
      <c r="M28" s="3"/>
      <c r="N28" s="7">
        <f t="shared" si="3"/>
        <v>0.36834285714285719</v>
      </c>
      <c r="O28" s="9"/>
      <c r="P28" s="6">
        <v>2120.9299999999998</v>
      </c>
      <c r="Q28" s="3"/>
      <c r="R28" s="7">
        <f t="shared" si="4"/>
        <v>0</v>
      </c>
      <c r="S28" s="3"/>
      <c r="T28" s="6">
        <v>2100</v>
      </c>
      <c r="U28" s="3"/>
      <c r="V28" s="7">
        <f t="shared" si="5"/>
        <v>0</v>
      </c>
      <c r="W28" s="3"/>
      <c r="X28" s="6">
        <f t="shared" si="6"/>
        <v>20.929999999999836</v>
      </c>
      <c r="Y28" s="3"/>
      <c r="Z28" s="7">
        <f t="shared" si="7"/>
        <v>9.966666666666589E-3</v>
      </c>
    </row>
    <row r="29" spans="1:26" s="69" customFormat="1" ht="15" customHeight="1" outlineLevel="1" collapsed="1" x14ac:dyDescent="0.3">
      <c r="A29" s="20"/>
      <c r="B29" s="11" t="str">
        <f>CONCATENATE("     ","*Payroll                                          ")</f>
        <v xml:space="preserve">     *Payroll                                          </v>
      </c>
      <c r="C29" s="11"/>
      <c r="D29" s="2">
        <f>SUM(OSRRefD22_1x_0)</f>
        <v>6108.8</v>
      </c>
      <c r="E29" s="2"/>
      <c r="F29" s="5">
        <f t="shared" si="0"/>
        <v>0</v>
      </c>
      <c r="G29" s="2"/>
      <c r="H29" s="2">
        <f>SUM(OSRRefH22_1x_0)</f>
        <v>7355.68</v>
      </c>
      <c r="I29" s="2"/>
      <c r="J29" s="5">
        <f t="shared" si="1"/>
        <v>0</v>
      </c>
      <c r="K29" s="2"/>
      <c r="L29" s="2">
        <f t="shared" si="2"/>
        <v>-1246.8800000000001</v>
      </c>
      <c r="M29" s="2"/>
      <c r="N29" s="5">
        <f t="shared" si="3"/>
        <v>-0.16951253996911231</v>
      </c>
      <c r="O29" s="11"/>
      <c r="P29" s="2">
        <f>SUM(OSRRefP22_1x_0)</f>
        <v>83570.39</v>
      </c>
      <c r="Q29" s="2"/>
      <c r="R29" s="5">
        <f t="shared" si="4"/>
        <v>0</v>
      </c>
      <c r="S29" s="2"/>
      <c r="T29" s="2">
        <f>SUM(OSRRefT22_1x_0)</f>
        <v>95623.84</v>
      </c>
      <c r="U29" s="2"/>
      <c r="V29" s="5">
        <f t="shared" si="5"/>
        <v>0</v>
      </c>
      <c r="W29" s="2"/>
      <c r="X29" s="2">
        <f t="shared" si="6"/>
        <v>-12053.449999999997</v>
      </c>
      <c r="Y29" s="2"/>
      <c r="Z29" s="5">
        <f t="shared" si="7"/>
        <v>-0.1260506794121633</v>
      </c>
    </row>
    <row r="30" spans="1:26" s="70" customFormat="1" ht="15" hidden="1" customHeight="1" outlineLevel="2" x14ac:dyDescent="0.3">
      <c r="A30" s="21"/>
      <c r="B30" s="9" t="str">
        <f>CONCATENATE("          ","6001"," - ","ADMINISTRATIVE SALARIES")</f>
        <v xml:space="preserve">          6001 - ADMINISTRATIVE SALARIES</v>
      </c>
      <c r="C30" s="9"/>
      <c r="D30" s="6"/>
      <c r="E30" s="3"/>
      <c r="F30" s="7">
        <f t="shared" si="0"/>
        <v>0</v>
      </c>
      <c r="G30" s="3"/>
      <c r="H30" s="6">
        <v>0</v>
      </c>
      <c r="I30" s="3"/>
      <c r="J30" s="7">
        <f t="shared" si="1"/>
        <v>0</v>
      </c>
      <c r="K30" s="3"/>
      <c r="L30" s="6">
        <f t="shared" si="2"/>
        <v>0</v>
      </c>
      <c r="M30" s="3"/>
      <c r="N30" s="7">
        <f t="shared" si="3"/>
        <v>0</v>
      </c>
      <c r="O30" s="9"/>
      <c r="P30" s="6"/>
      <c r="Q30" s="3"/>
      <c r="R30" s="7">
        <f t="shared" si="4"/>
        <v>0</v>
      </c>
      <c r="S30" s="3"/>
      <c r="T30" s="6">
        <v>0</v>
      </c>
      <c r="U30" s="3"/>
      <c r="V30" s="7">
        <f t="shared" si="5"/>
        <v>0</v>
      </c>
      <c r="W30" s="3"/>
      <c r="X30" s="6">
        <f t="shared" si="6"/>
        <v>0</v>
      </c>
      <c r="Y30" s="3"/>
      <c r="Z30" s="7">
        <f t="shared" si="7"/>
        <v>0</v>
      </c>
    </row>
    <row r="31" spans="1:26" s="70" customFormat="1" ht="15" hidden="1" customHeight="1" outlineLevel="2" x14ac:dyDescent="0.3">
      <c r="A31" s="21"/>
      <c r="B31" s="9" t="str">
        <f>CONCATENATE("          ","6002"," - ","STAFF SALARIES")</f>
        <v xml:space="preserve">          6002 - STAFF SALARIES</v>
      </c>
      <c r="C31" s="9"/>
      <c r="D31" s="6"/>
      <c r="E31" s="3"/>
      <c r="F31" s="7">
        <f t="shared" si="0"/>
        <v>0</v>
      </c>
      <c r="G31" s="3"/>
      <c r="H31" s="6">
        <v>0</v>
      </c>
      <c r="I31" s="3"/>
      <c r="J31" s="7">
        <f t="shared" si="1"/>
        <v>0</v>
      </c>
      <c r="K31" s="3"/>
      <c r="L31" s="6">
        <f t="shared" si="2"/>
        <v>0</v>
      </c>
      <c r="M31" s="3"/>
      <c r="N31" s="7">
        <f t="shared" si="3"/>
        <v>0</v>
      </c>
      <c r="O31" s="9"/>
      <c r="P31" s="6"/>
      <c r="Q31" s="3"/>
      <c r="R31" s="7">
        <f t="shared" si="4"/>
        <v>0</v>
      </c>
      <c r="S31" s="3"/>
      <c r="T31" s="6">
        <v>0</v>
      </c>
      <c r="U31" s="3"/>
      <c r="V31" s="7">
        <f t="shared" si="5"/>
        <v>0</v>
      </c>
      <c r="W31" s="3"/>
      <c r="X31" s="6">
        <f t="shared" si="6"/>
        <v>0</v>
      </c>
      <c r="Y31" s="3"/>
      <c r="Z31" s="7">
        <f t="shared" si="7"/>
        <v>0</v>
      </c>
    </row>
    <row r="32" spans="1:26" s="70" customFormat="1" ht="15" hidden="1" customHeight="1" outlineLevel="2" x14ac:dyDescent="0.3">
      <c r="A32" s="21"/>
      <c r="B32" s="9" t="str">
        <f>CONCATENATE("          ","6003"," - ","STAFF HOURLY-9 MONTH")</f>
        <v xml:space="preserve">          6003 - STAFF HOURLY-9 MONTH</v>
      </c>
      <c r="C32" s="9"/>
      <c r="D32" s="6"/>
      <c r="E32" s="3"/>
      <c r="F32" s="7">
        <f t="shared" si="0"/>
        <v>0</v>
      </c>
      <c r="G32" s="3"/>
      <c r="H32" s="6">
        <v>0</v>
      </c>
      <c r="I32" s="3"/>
      <c r="J32" s="7">
        <f t="shared" si="1"/>
        <v>0</v>
      </c>
      <c r="K32" s="3"/>
      <c r="L32" s="6">
        <f t="shared" si="2"/>
        <v>0</v>
      </c>
      <c r="M32" s="3"/>
      <c r="N32" s="7">
        <f t="shared" si="3"/>
        <v>0</v>
      </c>
      <c r="O32" s="9"/>
      <c r="P32" s="6"/>
      <c r="Q32" s="3"/>
      <c r="R32" s="7">
        <f t="shared" si="4"/>
        <v>0</v>
      </c>
      <c r="S32" s="3"/>
      <c r="T32" s="6">
        <v>0</v>
      </c>
      <c r="U32" s="3"/>
      <c r="V32" s="7">
        <f t="shared" si="5"/>
        <v>0</v>
      </c>
      <c r="W32" s="3"/>
      <c r="X32" s="6">
        <f t="shared" si="6"/>
        <v>0</v>
      </c>
      <c r="Y32" s="3"/>
      <c r="Z32" s="7">
        <f t="shared" si="7"/>
        <v>0</v>
      </c>
    </row>
    <row r="33" spans="1:26" s="70" customFormat="1" ht="15" hidden="1" customHeight="1" outlineLevel="2" x14ac:dyDescent="0.3">
      <c r="A33" s="21"/>
      <c r="B33" s="9" t="str">
        <f>CONCATENATE("          ","6004"," - ","STAFF HOURLY")</f>
        <v xml:space="preserve">          6004 - STAFF HOURLY</v>
      </c>
      <c r="C33" s="9"/>
      <c r="D33" s="6">
        <v>2825.9</v>
      </c>
      <c r="E33" s="3"/>
      <c r="F33" s="7">
        <f t="shared" si="0"/>
        <v>0</v>
      </c>
      <c r="G33" s="3"/>
      <c r="H33" s="6">
        <v>4795.68</v>
      </c>
      <c r="I33" s="3"/>
      <c r="J33" s="7">
        <f t="shared" si="1"/>
        <v>0</v>
      </c>
      <c r="K33" s="3"/>
      <c r="L33" s="6">
        <f t="shared" si="2"/>
        <v>-1969.7800000000002</v>
      </c>
      <c r="M33" s="3"/>
      <c r="N33" s="7">
        <f t="shared" si="3"/>
        <v>-0.4107404997831382</v>
      </c>
      <c r="O33" s="9"/>
      <c r="P33" s="6">
        <v>58397.86</v>
      </c>
      <c r="Q33" s="3"/>
      <c r="R33" s="7">
        <f t="shared" si="4"/>
        <v>0</v>
      </c>
      <c r="S33" s="3"/>
      <c r="T33" s="6">
        <v>62343.839999999997</v>
      </c>
      <c r="U33" s="3"/>
      <c r="V33" s="7">
        <f t="shared" si="5"/>
        <v>0</v>
      </c>
      <c r="W33" s="3"/>
      <c r="X33" s="6">
        <f t="shared" si="6"/>
        <v>-3945.9799999999959</v>
      </c>
      <c r="Y33" s="3"/>
      <c r="Z33" s="7">
        <f t="shared" si="7"/>
        <v>-6.3293823415432798E-2</v>
      </c>
    </row>
    <row r="34" spans="1:26" s="70" customFormat="1" ht="15" hidden="1" customHeight="1" outlineLevel="2" x14ac:dyDescent="0.3">
      <c r="A34" s="21"/>
      <c r="B34" s="9" t="str">
        <f>CONCATENATE("          ","6005"," - ","TEMPORARY WAGES-HOURLY")</f>
        <v xml:space="preserve">          6005 - TEMPORARY WAGES-HOURLY</v>
      </c>
      <c r="C34" s="9"/>
      <c r="D34" s="6">
        <v>3282.9</v>
      </c>
      <c r="E34" s="3"/>
      <c r="F34" s="7">
        <f t="shared" si="0"/>
        <v>0</v>
      </c>
      <c r="G34" s="3"/>
      <c r="H34" s="6">
        <v>0</v>
      </c>
      <c r="I34" s="3"/>
      <c r="J34" s="7">
        <f t="shared" si="1"/>
        <v>0</v>
      </c>
      <c r="K34" s="3"/>
      <c r="L34" s="6">
        <f t="shared" si="2"/>
        <v>3282.9</v>
      </c>
      <c r="M34" s="3"/>
      <c r="N34" s="7">
        <f t="shared" si="3"/>
        <v>0</v>
      </c>
      <c r="O34" s="9"/>
      <c r="P34" s="6">
        <v>13697.33</v>
      </c>
      <c r="Q34" s="3"/>
      <c r="R34" s="7">
        <f t="shared" si="4"/>
        <v>0</v>
      </c>
      <c r="S34" s="3"/>
      <c r="T34" s="6">
        <v>0</v>
      </c>
      <c r="U34" s="3"/>
      <c r="V34" s="7">
        <f t="shared" si="5"/>
        <v>0</v>
      </c>
      <c r="W34" s="3"/>
      <c r="X34" s="6">
        <f t="shared" si="6"/>
        <v>13697.33</v>
      </c>
      <c r="Y34" s="3"/>
      <c r="Z34" s="7">
        <f t="shared" si="7"/>
        <v>0</v>
      </c>
    </row>
    <row r="35" spans="1:26" s="70" customFormat="1" ht="15" hidden="1" customHeight="1" outlineLevel="2" x14ac:dyDescent="0.3">
      <c r="A35" s="21"/>
      <c r="B35" s="9" t="str">
        <f>CONCATENATE("          ","6006"," - ","TEMPORARY PART TIME")</f>
        <v xml:space="preserve">          6006 - TEMPORARY PART TIME</v>
      </c>
      <c r="C35" s="9"/>
      <c r="D35" s="6"/>
      <c r="E35" s="3"/>
      <c r="F35" s="7">
        <f t="shared" si="0"/>
        <v>0</v>
      </c>
      <c r="G35" s="3"/>
      <c r="H35" s="6">
        <v>0</v>
      </c>
      <c r="I35" s="3"/>
      <c r="J35" s="7">
        <f t="shared" si="1"/>
        <v>0</v>
      </c>
      <c r="K35" s="3"/>
      <c r="L35" s="6">
        <f t="shared" si="2"/>
        <v>0</v>
      </c>
      <c r="M35" s="3"/>
      <c r="N35" s="7">
        <f t="shared" si="3"/>
        <v>0</v>
      </c>
      <c r="O35" s="9"/>
      <c r="P35" s="6"/>
      <c r="Q35" s="3"/>
      <c r="R35" s="7">
        <f t="shared" si="4"/>
        <v>0</v>
      </c>
      <c r="S35" s="3"/>
      <c r="T35" s="6">
        <v>0</v>
      </c>
      <c r="U35" s="3"/>
      <c r="V35" s="7">
        <f t="shared" si="5"/>
        <v>0</v>
      </c>
      <c r="W35" s="3"/>
      <c r="X35" s="6">
        <f t="shared" si="6"/>
        <v>0</v>
      </c>
      <c r="Y35" s="3"/>
      <c r="Z35" s="7">
        <f t="shared" si="7"/>
        <v>0</v>
      </c>
    </row>
    <row r="36" spans="1:26" s="70" customFormat="1" ht="15" hidden="1" customHeight="1" outlineLevel="2" x14ac:dyDescent="0.3">
      <c r="A36" s="21"/>
      <c r="B36" s="9" t="str">
        <f>CONCATENATE("          ","6007"," - ","STUDENT HOURLY")</f>
        <v xml:space="preserve">          6007 - STUDENT HOURLY</v>
      </c>
      <c r="C36" s="9"/>
      <c r="D36" s="6"/>
      <c r="E36" s="3"/>
      <c r="F36" s="7">
        <f t="shared" si="0"/>
        <v>0</v>
      </c>
      <c r="G36" s="3"/>
      <c r="H36" s="6">
        <v>0</v>
      </c>
      <c r="I36" s="3"/>
      <c r="J36" s="7">
        <f t="shared" si="1"/>
        <v>0</v>
      </c>
      <c r="K36" s="3"/>
      <c r="L36" s="6">
        <f t="shared" si="2"/>
        <v>0</v>
      </c>
      <c r="M36" s="3"/>
      <c r="N36" s="7">
        <f t="shared" si="3"/>
        <v>0</v>
      </c>
      <c r="O36" s="9"/>
      <c r="P36" s="6">
        <v>0</v>
      </c>
      <c r="Q36" s="3"/>
      <c r="R36" s="7">
        <f t="shared" si="4"/>
        <v>0</v>
      </c>
      <c r="S36" s="3"/>
      <c r="T36" s="6">
        <v>8320</v>
      </c>
      <c r="U36" s="3"/>
      <c r="V36" s="7">
        <f t="shared" si="5"/>
        <v>0</v>
      </c>
      <c r="W36" s="3"/>
      <c r="X36" s="6">
        <f t="shared" si="6"/>
        <v>-8320</v>
      </c>
      <c r="Y36" s="3"/>
      <c r="Z36" s="7">
        <f t="shared" si="7"/>
        <v>-1</v>
      </c>
    </row>
    <row r="37" spans="1:26" s="70" customFormat="1" ht="15" hidden="1" customHeight="1" outlineLevel="2" x14ac:dyDescent="0.3">
      <c r="A37" s="21"/>
      <c r="B37" s="9" t="str">
        <f>CONCATENATE("          ","6008"," - ","STUDENT HOURLY-FICA EXEMPT")</f>
        <v xml:space="preserve">          6008 - STUDENT HOURLY-FICA EXEMPT</v>
      </c>
      <c r="C37" s="9"/>
      <c r="D37" s="6"/>
      <c r="E37" s="3"/>
      <c r="F37" s="7">
        <f t="shared" si="0"/>
        <v>0</v>
      </c>
      <c r="G37" s="3"/>
      <c r="H37" s="6">
        <v>2560</v>
      </c>
      <c r="I37" s="3"/>
      <c r="J37" s="7">
        <f t="shared" si="1"/>
        <v>0</v>
      </c>
      <c r="K37" s="3"/>
      <c r="L37" s="6">
        <f t="shared" si="2"/>
        <v>-2560</v>
      </c>
      <c r="M37" s="3"/>
      <c r="N37" s="7">
        <f t="shared" si="3"/>
        <v>-1</v>
      </c>
      <c r="O37" s="9"/>
      <c r="P37" s="6">
        <v>11475.2</v>
      </c>
      <c r="Q37" s="3"/>
      <c r="R37" s="7">
        <f t="shared" si="4"/>
        <v>0</v>
      </c>
      <c r="S37" s="3"/>
      <c r="T37" s="6">
        <v>24960</v>
      </c>
      <c r="U37" s="3"/>
      <c r="V37" s="7">
        <f t="shared" si="5"/>
        <v>0</v>
      </c>
      <c r="W37" s="3"/>
      <c r="X37" s="6">
        <f t="shared" si="6"/>
        <v>-13484.8</v>
      </c>
      <c r="Y37" s="3"/>
      <c r="Z37" s="7">
        <f t="shared" si="7"/>
        <v>-0.54025641025641025</v>
      </c>
    </row>
    <row r="38" spans="1:26" s="70" customFormat="1" ht="15" hidden="1" customHeight="1" outlineLevel="2" x14ac:dyDescent="0.3">
      <c r="A38" s="21"/>
      <c r="B38" s="9" t="str">
        <f>CONCATENATE("          ","6009"," - ","TEMPORARY-SEASONAL")</f>
        <v xml:space="preserve">          6009 - TEMPORARY-SEASONAL</v>
      </c>
      <c r="C38" s="9"/>
      <c r="D38" s="6"/>
      <c r="E38" s="3"/>
      <c r="F38" s="7">
        <f t="shared" si="0"/>
        <v>0</v>
      </c>
      <c r="G38" s="3"/>
      <c r="H38" s="6">
        <v>0</v>
      </c>
      <c r="I38" s="3"/>
      <c r="J38" s="7">
        <f t="shared" si="1"/>
        <v>0</v>
      </c>
      <c r="K38" s="3"/>
      <c r="L38" s="6">
        <f t="shared" si="2"/>
        <v>0</v>
      </c>
      <c r="M38" s="3"/>
      <c r="N38" s="7">
        <f t="shared" si="3"/>
        <v>0</v>
      </c>
      <c r="O38" s="9"/>
      <c r="P38" s="6"/>
      <c r="Q38" s="3"/>
      <c r="R38" s="7">
        <f t="shared" si="4"/>
        <v>0</v>
      </c>
      <c r="S38" s="3"/>
      <c r="T38" s="6">
        <v>0</v>
      </c>
      <c r="U38" s="3"/>
      <c r="V38" s="7">
        <f t="shared" si="5"/>
        <v>0</v>
      </c>
      <c r="W38" s="3"/>
      <c r="X38" s="6">
        <f t="shared" si="6"/>
        <v>0</v>
      </c>
      <c r="Y38" s="3"/>
      <c r="Z38" s="7">
        <f t="shared" si="7"/>
        <v>0</v>
      </c>
    </row>
    <row r="39" spans="1:26" s="70" customFormat="1" ht="15" hidden="1" customHeight="1" outlineLevel="2" x14ac:dyDescent="0.3">
      <c r="A39" s="21"/>
      <c r="B39" s="9" t="str">
        <f>CONCATENATE("          ","6010"," - ","GRATUITY")</f>
        <v xml:space="preserve">          6010 - GRATUITY</v>
      </c>
      <c r="C39" s="9"/>
      <c r="D39" s="6"/>
      <c r="E39" s="3"/>
      <c r="F39" s="7">
        <f t="shared" si="0"/>
        <v>0</v>
      </c>
      <c r="G39" s="3"/>
      <c r="H39" s="6">
        <v>0</v>
      </c>
      <c r="I39" s="3"/>
      <c r="J39" s="7">
        <f t="shared" si="1"/>
        <v>0</v>
      </c>
      <c r="K39" s="3"/>
      <c r="L39" s="6">
        <f t="shared" si="2"/>
        <v>0</v>
      </c>
      <c r="M39" s="3"/>
      <c r="N39" s="7">
        <f t="shared" si="3"/>
        <v>0</v>
      </c>
      <c r="O39" s="9"/>
      <c r="P39" s="6"/>
      <c r="Q39" s="3"/>
      <c r="R39" s="7">
        <f t="shared" si="4"/>
        <v>0</v>
      </c>
      <c r="S39" s="3"/>
      <c r="T39" s="6">
        <v>0</v>
      </c>
      <c r="U39" s="3"/>
      <c r="V39" s="7">
        <f t="shared" si="5"/>
        <v>0</v>
      </c>
      <c r="W39" s="3"/>
      <c r="X39" s="6">
        <f t="shared" si="6"/>
        <v>0</v>
      </c>
      <c r="Y39" s="3"/>
      <c r="Z39" s="7">
        <f t="shared" si="7"/>
        <v>0</v>
      </c>
    </row>
    <row r="40" spans="1:26" s="69" customFormat="1" ht="15" customHeight="1" outlineLevel="1" collapsed="1" x14ac:dyDescent="0.3">
      <c r="A40" s="20"/>
      <c r="B40" s="11" t="str">
        <f>CONCATENATE("     ","Advertising/Promo                                 ")</f>
        <v xml:space="preserve">     Advertising/Promo                                 </v>
      </c>
      <c r="C40" s="11"/>
      <c r="D40" s="2">
        <f>SUM(OSRRefD22_2x_0)</f>
        <v>173.21</v>
      </c>
      <c r="E40" s="2"/>
      <c r="F40" s="5">
        <f t="shared" si="0"/>
        <v>0</v>
      </c>
      <c r="G40" s="2"/>
      <c r="H40" s="2">
        <f>SUM(OSRRefH22_2x_0)</f>
        <v>413</v>
      </c>
      <c r="I40" s="2"/>
      <c r="J40" s="5">
        <f t="shared" si="1"/>
        <v>0</v>
      </c>
      <c r="K40" s="2"/>
      <c r="L40" s="2">
        <f t="shared" si="2"/>
        <v>-239.79</v>
      </c>
      <c r="M40" s="2"/>
      <c r="N40" s="5">
        <f t="shared" si="3"/>
        <v>-0.58060532687651334</v>
      </c>
      <c r="O40" s="11"/>
      <c r="P40" s="2">
        <f>SUM(OSRRefP22_2x_0)</f>
        <v>2138.75</v>
      </c>
      <c r="Q40" s="2"/>
      <c r="R40" s="5">
        <f t="shared" si="4"/>
        <v>0</v>
      </c>
      <c r="S40" s="2"/>
      <c r="T40" s="2">
        <f>SUM(OSRRefT22_2x_0)</f>
        <v>5000</v>
      </c>
      <c r="U40" s="2"/>
      <c r="V40" s="5">
        <f t="shared" si="5"/>
        <v>0</v>
      </c>
      <c r="W40" s="2"/>
      <c r="X40" s="2">
        <f t="shared" si="6"/>
        <v>-2861.25</v>
      </c>
      <c r="Y40" s="2"/>
      <c r="Z40" s="5">
        <f t="shared" si="7"/>
        <v>-0.57225000000000004</v>
      </c>
    </row>
    <row r="41" spans="1:26" s="70" customFormat="1" ht="15" hidden="1" customHeight="1" outlineLevel="2" x14ac:dyDescent="0.3">
      <c r="A41" s="21"/>
      <c r="B41" s="9" t="str">
        <f>CONCATENATE("          ","6362"," - ","ADVERTISING EXPENSE")</f>
        <v xml:space="preserve">          6362 - ADVERTISING EXPENSE</v>
      </c>
      <c r="C41" s="9"/>
      <c r="D41" s="6">
        <v>173.21</v>
      </c>
      <c r="E41" s="3"/>
      <c r="F41" s="7">
        <f t="shared" si="0"/>
        <v>0</v>
      </c>
      <c r="G41" s="3"/>
      <c r="H41" s="6">
        <v>413</v>
      </c>
      <c r="I41" s="3"/>
      <c r="J41" s="7">
        <f t="shared" si="1"/>
        <v>0</v>
      </c>
      <c r="K41" s="3"/>
      <c r="L41" s="6">
        <f t="shared" si="2"/>
        <v>-239.79</v>
      </c>
      <c r="M41" s="3"/>
      <c r="N41" s="7">
        <f t="shared" si="3"/>
        <v>-0.58060532687651334</v>
      </c>
      <c r="O41" s="9"/>
      <c r="P41" s="6">
        <v>2138.75</v>
      </c>
      <c r="Q41" s="3"/>
      <c r="R41" s="7">
        <f t="shared" si="4"/>
        <v>0</v>
      </c>
      <c r="S41" s="3"/>
      <c r="T41" s="6">
        <v>5000</v>
      </c>
      <c r="U41" s="3"/>
      <c r="V41" s="7">
        <f t="shared" si="5"/>
        <v>0</v>
      </c>
      <c r="W41" s="3"/>
      <c r="X41" s="6">
        <f t="shared" si="6"/>
        <v>-2861.25</v>
      </c>
      <c r="Y41" s="3"/>
      <c r="Z41" s="7">
        <f t="shared" si="7"/>
        <v>-0.57225000000000004</v>
      </c>
    </row>
    <row r="42" spans="1:26" s="69" customFormat="1" ht="15" customHeight="1" outlineLevel="1" collapsed="1" x14ac:dyDescent="0.3">
      <c r="A42" s="20"/>
      <c r="B42" s="11" t="str">
        <f>CONCATENATE("     ","Employees' Appreciation                           ")</f>
        <v xml:space="preserve">     Employees' Appreciation                           </v>
      </c>
      <c r="C42" s="11"/>
      <c r="D42" s="2">
        <f>SUM(OSRRefD22_3x_0)</f>
        <v>0</v>
      </c>
      <c r="E42" s="2"/>
      <c r="F42" s="5">
        <f t="shared" si="0"/>
        <v>0</v>
      </c>
      <c r="G42" s="2"/>
      <c r="H42" s="2">
        <f>SUM(OSRRefH22_3x_0)</f>
        <v>0</v>
      </c>
      <c r="I42" s="2"/>
      <c r="J42" s="5">
        <f t="shared" si="1"/>
        <v>0</v>
      </c>
      <c r="K42" s="2"/>
      <c r="L42" s="2">
        <f t="shared" si="2"/>
        <v>0</v>
      </c>
      <c r="M42" s="2"/>
      <c r="N42" s="5">
        <f t="shared" si="3"/>
        <v>0</v>
      </c>
      <c r="O42" s="11"/>
      <c r="P42" s="2">
        <f>SUM(OSRRefP22_3x_0)</f>
        <v>0</v>
      </c>
      <c r="Q42" s="2"/>
      <c r="R42" s="5">
        <f t="shared" si="4"/>
        <v>0</v>
      </c>
      <c r="S42" s="2"/>
      <c r="T42" s="2">
        <f>SUM(OSRRefT22_3x_0)</f>
        <v>500</v>
      </c>
      <c r="U42" s="2"/>
      <c r="V42" s="5">
        <f t="shared" si="5"/>
        <v>0</v>
      </c>
      <c r="W42" s="2"/>
      <c r="X42" s="2">
        <f t="shared" si="6"/>
        <v>-500</v>
      </c>
      <c r="Y42" s="2"/>
      <c r="Z42" s="5">
        <f t="shared" si="7"/>
        <v>-1</v>
      </c>
    </row>
    <row r="43" spans="1:26" s="70" customFormat="1" ht="15" hidden="1" customHeight="1" outlineLevel="2" x14ac:dyDescent="0.3">
      <c r="A43" s="21"/>
      <c r="B43" s="9" t="str">
        <f>CONCATENATE("          ","6277"," - ","EMPLOYEE APPRECIATION")</f>
        <v xml:space="preserve">          6277 - EMPLOYEE APPRECIATION</v>
      </c>
      <c r="C43" s="9"/>
      <c r="D43" s="6"/>
      <c r="E43" s="3"/>
      <c r="F43" s="7">
        <f t="shared" si="0"/>
        <v>0</v>
      </c>
      <c r="G43" s="3"/>
      <c r="H43" s="6"/>
      <c r="I43" s="3"/>
      <c r="J43" s="7">
        <f t="shared" si="1"/>
        <v>0</v>
      </c>
      <c r="K43" s="3"/>
      <c r="L43" s="6">
        <f t="shared" si="2"/>
        <v>0</v>
      </c>
      <c r="M43" s="3"/>
      <c r="N43" s="7">
        <f t="shared" si="3"/>
        <v>0</v>
      </c>
      <c r="O43" s="9"/>
      <c r="P43" s="6"/>
      <c r="Q43" s="3"/>
      <c r="R43" s="7">
        <f t="shared" si="4"/>
        <v>0</v>
      </c>
      <c r="S43" s="3"/>
      <c r="T43" s="6">
        <v>500</v>
      </c>
      <c r="U43" s="3"/>
      <c r="V43" s="7">
        <f t="shared" si="5"/>
        <v>0</v>
      </c>
      <c r="W43" s="3"/>
      <c r="X43" s="6">
        <f t="shared" si="6"/>
        <v>-500</v>
      </c>
      <c r="Y43" s="3"/>
      <c r="Z43" s="7">
        <f t="shared" si="7"/>
        <v>-1</v>
      </c>
    </row>
    <row r="44" spans="1:26" s="69" customFormat="1" ht="15" customHeight="1" outlineLevel="1" collapsed="1" x14ac:dyDescent="0.3">
      <c r="A44" s="20"/>
      <c r="B44" s="11" t="str">
        <f>CONCATENATE("     ","Repair and Maintenance                            ")</f>
        <v xml:space="preserve">     Repair and Maintenance                            </v>
      </c>
      <c r="C44" s="11"/>
      <c r="D44" s="2">
        <f>SUM(OSRRefD22_4x_0)</f>
        <v>0</v>
      </c>
      <c r="E44" s="2"/>
      <c r="F44" s="5">
        <f t="shared" si="0"/>
        <v>0</v>
      </c>
      <c r="G44" s="2"/>
      <c r="H44" s="2">
        <f>SUM(OSRRefH22_4x_0)</f>
        <v>1600</v>
      </c>
      <c r="I44" s="2"/>
      <c r="J44" s="5">
        <f t="shared" si="1"/>
        <v>0</v>
      </c>
      <c r="K44" s="2"/>
      <c r="L44" s="2">
        <f t="shared" si="2"/>
        <v>-1600</v>
      </c>
      <c r="M44" s="2"/>
      <c r="N44" s="5">
        <f t="shared" si="3"/>
        <v>-1</v>
      </c>
      <c r="O44" s="11"/>
      <c r="P44" s="2">
        <f>SUM(OSRRefP22_4x_0)</f>
        <v>63.36</v>
      </c>
      <c r="Q44" s="2"/>
      <c r="R44" s="5">
        <f t="shared" si="4"/>
        <v>0</v>
      </c>
      <c r="S44" s="2"/>
      <c r="T44" s="2">
        <f>SUM(OSRRefT22_4x_0)</f>
        <v>19200</v>
      </c>
      <c r="U44" s="2"/>
      <c r="V44" s="5">
        <f t="shared" si="5"/>
        <v>0</v>
      </c>
      <c r="W44" s="2"/>
      <c r="X44" s="2">
        <f t="shared" si="6"/>
        <v>-19136.64</v>
      </c>
      <c r="Y44" s="2"/>
      <c r="Z44" s="5">
        <f t="shared" si="7"/>
        <v>-0.99669999999999992</v>
      </c>
    </row>
    <row r="45" spans="1:26" s="70" customFormat="1" ht="15" hidden="1" customHeight="1" outlineLevel="2" x14ac:dyDescent="0.3">
      <c r="A45" s="21"/>
      <c r="B45" s="9" t="str">
        <f>CONCATENATE("          ","6371"," - ","COMPUTER SOFTWARE MAINTENANCE")</f>
        <v xml:space="preserve">          6371 - COMPUTER SOFTWARE MAINTENANCE</v>
      </c>
      <c r="C45" s="9"/>
      <c r="D45" s="6"/>
      <c r="E45" s="3"/>
      <c r="F45" s="7">
        <f t="shared" si="0"/>
        <v>0</v>
      </c>
      <c r="G45" s="3"/>
      <c r="H45" s="6">
        <v>1600</v>
      </c>
      <c r="I45" s="3"/>
      <c r="J45" s="7">
        <f t="shared" si="1"/>
        <v>0</v>
      </c>
      <c r="K45" s="3"/>
      <c r="L45" s="6">
        <f t="shared" si="2"/>
        <v>-1600</v>
      </c>
      <c r="M45" s="3"/>
      <c r="N45" s="7">
        <f t="shared" si="3"/>
        <v>-1</v>
      </c>
      <c r="O45" s="9"/>
      <c r="P45" s="6"/>
      <c r="Q45" s="3"/>
      <c r="R45" s="7">
        <f t="shared" si="4"/>
        <v>0</v>
      </c>
      <c r="S45" s="3"/>
      <c r="T45" s="6">
        <v>19200</v>
      </c>
      <c r="U45" s="3"/>
      <c r="V45" s="7">
        <f t="shared" si="5"/>
        <v>0</v>
      </c>
      <c r="W45" s="3"/>
      <c r="X45" s="6">
        <f t="shared" si="6"/>
        <v>-19200</v>
      </c>
      <c r="Y45" s="3"/>
      <c r="Z45" s="7">
        <f t="shared" si="7"/>
        <v>-1</v>
      </c>
    </row>
    <row r="46" spans="1:26" s="70" customFormat="1" ht="15" hidden="1" customHeight="1" outlineLevel="2" x14ac:dyDescent="0.3">
      <c r="A46" s="21"/>
      <c r="B46" s="9" t="str">
        <f>CONCATENATE("          ","6375"," - ","OUTSIDE REPAIRS &amp; MAINTENANCE")</f>
        <v xml:space="preserve">          6375 - OUTSIDE REPAIRS &amp; MAINTENANCE</v>
      </c>
      <c r="C46" s="9"/>
      <c r="D46" s="6"/>
      <c r="E46" s="3"/>
      <c r="F46" s="7">
        <f t="shared" si="0"/>
        <v>0</v>
      </c>
      <c r="G46" s="3"/>
      <c r="H46" s="6"/>
      <c r="I46" s="3"/>
      <c r="J46" s="7">
        <f t="shared" si="1"/>
        <v>0</v>
      </c>
      <c r="K46" s="3"/>
      <c r="L46" s="6">
        <f t="shared" si="2"/>
        <v>0</v>
      </c>
      <c r="M46" s="3"/>
      <c r="N46" s="7">
        <f t="shared" si="3"/>
        <v>0</v>
      </c>
      <c r="O46" s="9"/>
      <c r="P46" s="6">
        <v>63.36</v>
      </c>
      <c r="Q46" s="3"/>
      <c r="R46" s="7">
        <f t="shared" si="4"/>
        <v>0</v>
      </c>
      <c r="S46" s="3"/>
      <c r="T46" s="6"/>
      <c r="U46" s="3"/>
      <c r="V46" s="7">
        <f t="shared" si="5"/>
        <v>0</v>
      </c>
      <c r="W46" s="3"/>
      <c r="X46" s="6">
        <f t="shared" si="6"/>
        <v>63.36</v>
      </c>
      <c r="Y46" s="3"/>
      <c r="Z46" s="7">
        <f t="shared" si="7"/>
        <v>0</v>
      </c>
    </row>
    <row r="47" spans="1:26" s="69" customFormat="1" ht="15" customHeight="1" outlineLevel="1" collapsed="1" x14ac:dyDescent="0.3">
      <c r="A47" s="20"/>
      <c r="B47" s="11" t="str">
        <f>CONCATENATE("     ","Supplies                                          ")</f>
        <v xml:space="preserve">     Supplies                                          </v>
      </c>
      <c r="C47" s="11"/>
      <c r="D47" s="2">
        <f>SUM(OSRRefD22_5x_0)</f>
        <v>181.31</v>
      </c>
      <c r="E47" s="2"/>
      <c r="F47" s="5">
        <f t="shared" si="0"/>
        <v>0</v>
      </c>
      <c r="G47" s="2"/>
      <c r="H47" s="2">
        <f>SUM(OSRRefH22_5x_0)</f>
        <v>600</v>
      </c>
      <c r="I47" s="2"/>
      <c r="J47" s="5">
        <f t="shared" si="1"/>
        <v>0</v>
      </c>
      <c r="K47" s="2"/>
      <c r="L47" s="2">
        <f t="shared" si="2"/>
        <v>-418.69</v>
      </c>
      <c r="M47" s="2"/>
      <c r="N47" s="5">
        <f t="shared" si="3"/>
        <v>-0.69781666666666664</v>
      </c>
      <c r="O47" s="11"/>
      <c r="P47" s="2">
        <f>SUM(OSRRefP22_5x_0)</f>
        <v>251.35</v>
      </c>
      <c r="Q47" s="2"/>
      <c r="R47" s="5">
        <f t="shared" si="4"/>
        <v>0</v>
      </c>
      <c r="S47" s="2"/>
      <c r="T47" s="2">
        <f>SUM(OSRRefT22_5x_0)</f>
        <v>7200</v>
      </c>
      <c r="U47" s="2"/>
      <c r="V47" s="5">
        <f t="shared" si="5"/>
        <v>0</v>
      </c>
      <c r="W47" s="2"/>
      <c r="X47" s="2">
        <f t="shared" si="6"/>
        <v>-6948.65</v>
      </c>
      <c r="Y47" s="2"/>
      <c r="Z47" s="5">
        <f t="shared" si="7"/>
        <v>-0.96509027777777767</v>
      </c>
    </row>
    <row r="48" spans="1:26" s="70" customFormat="1" ht="15" hidden="1" customHeight="1" outlineLevel="2" x14ac:dyDescent="0.3">
      <c r="A48" s="21"/>
      <c r="B48" s="9" t="str">
        <f>CONCATENATE("          ","6241"," - ","OFFICE EXPENSE")</f>
        <v xml:space="preserve">          6241 - OFFICE EXPENSE</v>
      </c>
      <c r="C48" s="9"/>
      <c r="D48" s="6">
        <v>181.31</v>
      </c>
      <c r="E48" s="3"/>
      <c r="F48" s="7">
        <f t="shared" si="0"/>
        <v>0</v>
      </c>
      <c r="G48" s="3"/>
      <c r="H48" s="6">
        <v>600</v>
      </c>
      <c r="I48" s="3"/>
      <c r="J48" s="7">
        <f t="shared" si="1"/>
        <v>0</v>
      </c>
      <c r="K48" s="3"/>
      <c r="L48" s="6">
        <f t="shared" si="2"/>
        <v>-418.69</v>
      </c>
      <c r="M48" s="3"/>
      <c r="N48" s="7">
        <f t="shared" si="3"/>
        <v>-0.69781666666666664</v>
      </c>
      <c r="O48" s="9"/>
      <c r="P48" s="6">
        <v>251.35</v>
      </c>
      <c r="Q48" s="3"/>
      <c r="R48" s="7">
        <f t="shared" si="4"/>
        <v>0</v>
      </c>
      <c r="S48" s="3"/>
      <c r="T48" s="6">
        <v>7200</v>
      </c>
      <c r="U48" s="3"/>
      <c r="V48" s="7">
        <f t="shared" si="5"/>
        <v>0</v>
      </c>
      <c r="W48" s="3"/>
      <c r="X48" s="6">
        <f t="shared" si="6"/>
        <v>-6948.65</v>
      </c>
      <c r="Y48" s="3"/>
      <c r="Z48" s="7">
        <f t="shared" si="7"/>
        <v>-0.96509027777777767</v>
      </c>
    </row>
    <row r="49" spans="1:26" s="69" customFormat="1" ht="15" customHeight="1" outlineLevel="1" collapsed="1" x14ac:dyDescent="0.3">
      <c r="A49" s="20"/>
      <c r="B49" s="11" t="str">
        <f>CONCATENATE("     ","Telephone/Data Lines                              ")</f>
        <v xml:space="preserve">     Telephone/Data Lines                              </v>
      </c>
      <c r="C49" s="11"/>
      <c r="D49" s="2">
        <f>SUM(OSRRefD22_6x_0)</f>
        <v>36</v>
      </c>
      <c r="E49" s="2"/>
      <c r="F49" s="5">
        <f t="shared" si="0"/>
        <v>0</v>
      </c>
      <c r="G49" s="2"/>
      <c r="H49" s="2">
        <f>SUM(OSRRefH22_6x_0)</f>
        <v>72</v>
      </c>
      <c r="I49" s="2"/>
      <c r="J49" s="5">
        <f t="shared" si="1"/>
        <v>0</v>
      </c>
      <c r="K49" s="2"/>
      <c r="L49" s="2">
        <f t="shared" si="2"/>
        <v>-36</v>
      </c>
      <c r="M49" s="2"/>
      <c r="N49" s="5">
        <f t="shared" si="3"/>
        <v>-0.5</v>
      </c>
      <c r="O49" s="11"/>
      <c r="P49" s="2">
        <f>SUM(OSRRefP22_6x_0)</f>
        <v>504.4</v>
      </c>
      <c r="Q49" s="2"/>
      <c r="R49" s="5">
        <f t="shared" si="4"/>
        <v>0</v>
      </c>
      <c r="S49" s="2"/>
      <c r="T49" s="2">
        <f>SUM(OSRRefT22_6x_0)</f>
        <v>864</v>
      </c>
      <c r="U49" s="2"/>
      <c r="V49" s="5">
        <f t="shared" si="5"/>
        <v>0</v>
      </c>
      <c r="W49" s="2"/>
      <c r="X49" s="2">
        <f t="shared" si="6"/>
        <v>-359.6</v>
      </c>
      <c r="Y49" s="2"/>
      <c r="Z49" s="5">
        <f t="shared" si="7"/>
        <v>-0.41620370370370374</v>
      </c>
    </row>
    <row r="50" spans="1:26" s="70" customFormat="1" ht="15" hidden="1" customHeight="1" outlineLevel="2" x14ac:dyDescent="0.3">
      <c r="A50" s="21"/>
      <c r="B50" s="9" t="str">
        <f>CONCATENATE("          ","6303"," - ","DATA PHONE LINES")</f>
        <v xml:space="preserve">          6303 - DATA PHONE LINES</v>
      </c>
      <c r="C50" s="9"/>
      <c r="D50" s="6"/>
      <c r="E50" s="3"/>
      <c r="F50" s="7">
        <f t="shared" si="0"/>
        <v>0</v>
      </c>
      <c r="G50" s="3"/>
      <c r="H50" s="6">
        <v>36</v>
      </c>
      <c r="I50" s="3"/>
      <c r="J50" s="7">
        <f t="shared" si="1"/>
        <v>0</v>
      </c>
      <c r="K50" s="3"/>
      <c r="L50" s="6">
        <f t="shared" si="2"/>
        <v>-36</v>
      </c>
      <c r="M50" s="3"/>
      <c r="N50" s="7">
        <f t="shared" si="3"/>
        <v>-1</v>
      </c>
      <c r="O50" s="9"/>
      <c r="P50" s="6"/>
      <c r="Q50" s="3"/>
      <c r="R50" s="7">
        <f t="shared" si="4"/>
        <v>0</v>
      </c>
      <c r="S50" s="3"/>
      <c r="T50" s="6">
        <v>432</v>
      </c>
      <c r="U50" s="3"/>
      <c r="V50" s="7">
        <f t="shared" si="5"/>
        <v>0</v>
      </c>
      <c r="W50" s="3"/>
      <c r="X50" s="6">
        <f t="shared" si="6"/>
        <v>-432</v>
      </c>
      <c r="Y50" s="3"/>
      <c r="Z50" s="7">
        <f t="shared" si="7"/>
        <v>-1</v>
      </c>
    </row>
    <row r="51" spans="1:26" s="70" customFormat="1" ht="15" hidden="1" customHeight="1" outlineLevel="2" x14ac:dyDescent="0.3">
      <c r="A51" s="21"/>
      <c r="B51" s="9" t="str">
        <f>CONCATENATE("          ","6309"," - ","TELEPHONE")</f>
        <v xml:space="preserve">          6309 - TELEPHONE</v>
      </c>
      <c r="C51" s="9"/>
      <c r="D51" s="6">
        <v>36</v>
      </c>
      <c r="E51" s="3"/>
      <c r="F51" s="7">
        <f t="shared" si="0"/>
        <v>0</v>
      </c>
      <c r="G51" s="3"/>
      <c r="H51" s="6">
        <v>36</v>
      </c>
      <c r="I51" s="3"/>
      <c r="J51" s="7">
        <f t="shared" si="1"/>
        <v>0</v>
      </c>
      <c r="K51" s="3"/>
      <c r="L51" s="6">
        <f t="shared" si="2"/>
        <v>0</v>
      </c>
      <c r="M51" s="3"/>
      <c r="N51" s="7">
        <f t="shared" si="3"/>
        <v>0</v>
      </c>
      <c r="O51" s="9"/>
      <c r="P51" s="6">
        <v>504.4</v>
      </c>
      <c r="Q51" s="3"/>
      <c r="R51" s="7">
        <f t="shared" si="4"/>
        <v>0</v>
      </c>
      <c r="S51" s="3"/>
      <c r="T51" s="6">
        <v>432</v>
      </c>
      <c r="U51" s="3"/>
      <c r="V51" s="7">
        <f t="shared" si="5"/>
        <v>0</v>
      </c>
      <c r="W51" s="3"/>
      <c r="X51" s="6">
        <f t="shared" si="6"/>
        <v>72.399999999999977</v>
      </c>
      <c r="Y51" s="3"/>
      <c r="Z51" s="7">
        <f t="shared" si="7"/>
        <v>0.16759259259259254</v>
      </c>
    </row>
    <row r="52" spans="1:26" s="69" customFormat="1" ht="15" customHeight="1" outlineLevel="1" collapsed="1" x14ac:dyDescent="0.3">
      <c r="A52" s="20"/>
      <c r="B52" s="11" t="str">
        <f>CONCATENATE("     ","Training                                          ")</f>
        <v xml:space="preserve">     Training                                          </v>
      </c>
      <c r="C52" s="11"/>
      <c r="D52" s="2">
        <f>SUM(OSRRefD22_7x_0)</f>
        <v>0</v>
      </c>
      <c r="E52" s="2"/>
      <c r="F52" s="5">
        <f t="shared" si="0"/>
        <v>0</v>
      </c>
      <c r="G52" s="2"/>
      <c r="H52" s="2">
        <f>SUM(OSRRefH22_7x_0)</f>
        <v>0</v>
      </c>
      <c r="I52" s="2"/>
      <c r="J52" s="5">
        <f t="shared" si="1"/>
        <v>0</v>
      </c>
      <c r="K52" s="2"/>
      <c r="L52" s="2">
        <f t="shared" si="2"/>
        <v>0</v>
      </c>
      <c r="M52" s="2"/>
      <c r="N52" s="5">
        <f t="shared" si="3"/>
        <v>0</v>
      </c>
      <c r="O52" s="11"/>
      <c r="P52" s="2">
        <f>SUM(OSRRefP22_7x_0)</f>
        <v>0</v>
      </c>
      <c r="Q52" s="2"/>
      <c r="R52" s="5">
        <f t="shared" si="4"/>
        <v>0</v>
      </c>
      <c r="S52" s="2"/>
      <c r="T52" s="2">
        <f>SUM(OSRRefT22_7x_0)</f>
        <v>1000</v>
      </c>
      <c r="U52" s="2"/>
      <c r="V52" s="5">
        <f t="shared" si="5"/>
        <v>0</v>
      </c>
      <c r="W52" s="2"/>
      <c r="X52" s="2">
        <f t="shared" si="6"/>
        <v>-1000</v>
      </c>
      <c r="Y52" s="2"/>
      <c r="Z52" s="5">
        <f t="shared" si="7"/>
        <v>-1</v>
      </c>
    </row>
    <row r="53" spans="1:26" s="70" customFormat="1" ht="15" hidden="1" customHeight="1" outlineLevel="2" x14ac:dyDescent="0.3">
      <c r="A53" s="21"/>
      <c r="B53" s="9" t="str">
        <f>CONCATENATE("          ","6376"," - ","TRAINING")</f>
        <v xml:space="preserve">          6376 - TRAINING</v>
      </c>
      <c r="C53" s="9"/>
      <c r="D53" s="6"/>
      <c r="E53" s="3"/>
      <c r="F53" s="7">
        <f t="shared" si="0"/>
        <v>0</v>
      </c>
      <c r="G53" s="3"/>
      <c r="H53" s="6"/>
      <c r="I53" s="3"/>
      <c r="J53" s="7">
        <f t="shared" si="1"/>
        <v>0</v>
      </c>
      <c r="K53" s="3"/>
      <c r="L53" s="6">
        <f t="shared" si="2"/>
        <v>0</v>
      </c>
      <c r="M53" s="3"/>
      <c r="N53" s="7">
        <f t="shared" si="3"/>
        <v>0</v>
      </c>
      <c r="O53" s="9"/>
      <c r="P53" s="6"/>
      <c r="Q53" s="3"/>
      <c r="R53" s="7">
        <f t="shared" si="4"/>
        <v>0</v>
      </c>
      <c r="S53" s="3"/>
      <c r="T53" s="6">
        <v>1000</v>
      </c>
      <c r="U53" s="3"/>
      <c r="V53" s="7">
        <f t="shared" si="5"/>
        <v>0</v>
      </c>
      <c r="W53" s="3"/>
      <c r="X53" s="6">
        <f t="shared" si="6"/>
        <v>-1000</v>
      </c>
      <c r="Y53" s="3"/>
      <c r="Z53" s="7">
        <f t="shared" si="7"/>
        <v>-1</v>
      </c>
    </row>
    <row r="54" spans="1:26" s="65" customFormat="1" ht="15" customHeight="1" x14ac:dyDescent="0.3">
      <c r="A54" s="36"/>
      <c r="B54" s="36"/>
      <c r="C54" s="36"/>
      <c r="D54" s="2"/>
      <c r="E54" s="2"/>
      <c r="F54" s="5"/>
      <c r="G54" s="2"/>
      <c r="H54" s="2"/>
      <c r="I54" s="2"/>
      <c r="J54" s="5"/>
      <c r="K54" s="2"/>
      <c r="L54" s="2"/>
      <c r="M54" s="2"/>
      <c r="N54" s="5"/>
      <c r="O54" s="36"/>
      <c r="P54" s="2"/>
      <c r="Q54" s="2"/>
      <c r="R54" s="5"/>
      <c r="S54" s="2"/>
      <c r="T54" s="2"/>
      <c r="U54" s="2"/>
      <c r="V54" s="5"/>
      <c r="W54" s="2"/>
      <c r="X54" s="2"/>
      <c r="Y54" s="2"/>
      <c r="Z54" s="5"/>
    </row>
    <row r="55" spans="1:26" s="63" customFormat="1" ht="15" customHeight="1" x14ac:dyDescent="0.3">
      <c r="A55" s="13"/>
      <c r="B55" s="28" t="s">
        <v>291</v>
      </c>
      <c r="C55" s="13"/>
      <c r="D55" s="8">
        <f>SUM(0)</f>
        <v>0</v>
      </c>
      <c r="E55" s="8"/>
      <c r="F55" s="14">
        <f>IF(D$12=0,0,D55/D$12)</f>
        <v>0</v>
      </c>
      <c r="G55" s="8"/>
      <c r="H55" s="8">
        <f>SUM(0)</f>
        <v>0</v>
      </c>
      <c r="I55" s="8"/>
      <c r="J55" s="14">
        <f>IF(H$12=0,0,H55/H$12)</f>
        <v>0</v>
      </c>
      <c r="K55" s="8"/>
      <c r="L55" s="8">
        <f>+D55-H55</f>
        <v>0</v>
      </c>
      <c r="M55" s="8"/>
      <c r="N55" s="14">
        <f>IF(H55=0,0,L55/H55)</f>
        <v>0</v>
      </c>
      <c r="O55" s="13"/>
      <c r="P55" s="8">
        <f>SUM(0)</f>
        <v>0</v>
      </c>
      <c r="Q55" s="8"/>
      <c r="R55" s="14">
        <f>IF(P$12=0,0,P55/P$12)</f>
        <v>0</v>
      </c>
      <c r="S55" s="8"/>
      <c r="T55" s="8">
        <f>SUM(0)</f>
        <v>0</v>
      </c>
      <c r="U55" s="8"/>
      <c r="V55" s="14">
        <f>IF(T$12=0,0,T55/T$12)</f>
        <v>0</v>
      </c>
      <c r="W55" s="8"/>
      <c r="X55" s="8">
        <f>+P55-T55</f>
        <v>0</v>
      </c>
      <c r="Y55" s="8"/>
      <c r="Z55" s="14">
        <f>IF(T55=0,0,X55/T55)</f>
        <v>0</v>
      </c>
    </row>
    <row r="56" spans="1:26" ht="15" customHeight="1" x14ac:dyDescent="0.3">
      <c r="A56" s="12"/>
      <c r="B56" s="13"/>
      <c r="C56" s="13"/>
      <c r="D56" s="4"/>
      <c r="E56" s="4"/>
      <c r="F56" s="10"/>
      <c r="G56" s="4"/>
      <c r="H56" s="4"/>
      <c r="I56" s="4"/>
      <c r="J56" s="10"/>
      <c r="K56" s="4"/>
      <c r="L56" s="4"/>
      <c r="M56" s="4"/>
      <c r="N56" s="10"/>
      <c r="O56" s="13"/>
      <c r="P56" s="4"/>
      <c r="Q56" s="4"/>
      <c r="R56" s="10"/>
      <c r="S56" s="4"/>
      <c r="T56" s="4"/>
      <c r="U56" s="4"/>
      <c r="V56" s="10"/>
      <c r="W56" s="4"/>
      <c r="X56" s="4"/>
      <c r="Y56" s="4"/>
      <c r="Z56" s="10"/>
    </row>
    <row r="57" spans="1:26" s="63" customFormat="1" ht="15" customHeight="1" x14ac:dyDescent="0.3">
      <c r="A57" s="13"/>
      <c r="B57" s="27" t="s">
        <v>292</v>
      </c>
      <c r="C57" s="27"/>
      <c r="D57" s="23">
        <f>+D16-D18+D55</f>
        <v>-7774.49</v>
      </c>
      <c r="E57" s="15"/>
      <c r="F57" s="22">
        <f>IF(D$12=0,0,D57/D$12)</f>
        <v>0</v>
      </c>
      <c r="G57" s="15"/>
      <c r="H57" s="23">
        <f>+H16-H18+H55</f>
        <v>-12232.75742769231</v>
      </c>
      <c r="I57" s="15"/>
      <c r="J57" s="22">
        <f>IF(H$12=0,0,H57/H$12)</f>
        <v>0</v>
      </c>
      <c r="K57" s="17"/>
      <c r="L57" s="23">
        <f>+D57-H57</f>
        <v>4458.2674276923099</v>
      </c>
      <c r="M57" s="17"/>
      <c r="N57" s="22">
        <f>IF(H57=0,0,L57/H57)</f>
        <v>-0.36445318678516092</v>
      </c>
      <c r="O57" s="28"/>
      <c r="P57" s="23">
        <f>+P16-P18+P55</f>
        <v>-107399.45</v>
      </c>
      <c r="Q57" s="15"/>
      <c r="R57" s="22">
        <f>IF(P$12=0,0,P57/P$12)</f>
        <v>0</v>
      </c>
      <c r="S57" s="15"/>
      <c r="T57" s="23">
        <f>+T16-T18+T55</f>
        <v>-158346.57616</v>
      </c>
      <c r="U57" s="15"/>
      <c r="V57" s="22">
        <f>IF(T$12=0,0,T57/T$12)</f>
        <v>0</v>
      </c>
      <c r="W57" s="17"/>
      <c r="X57" s="23">
        <f>+P57-T57</f>
        <v>50947.12616</v>
      </c>
      <c r="Y57" s="17"/>
      <c r="Z57" s="22">
        <f>IF(T57=0,0,X57/T57)</f>
        <v>-0.32174441276533122</v>
      </c>
    </row>
    <row r="58" spans="1:26" ht="15" customHeight="1" x14ac:dyDescent="0.3">
      <c r="A58" s="12"/>
      <c r="B58" s="13"/>
      <c r="C58" s="12"/>
      <c r="D58" s="4"/>
      <c r="E58" s="4"/>
      <c r="F58" s="10"/>
      <c r="G58" s="4"/>
      <c r="H58" s="4"/>
      <c r="I58" s="4"/>
      <c r="J58" s="10"/>
      <c r="K58" s="4"/>
      <c r="L58" s="4"/>
      <c r="M58" s="4"/>
      <c r="N58" s="10"/>
      <c r="P58" s="4"/>
      <c r="Q58" s="4"/>
      <c r="R58" s="10"/>
      <c r="S58" s="4"/>
      <c r="T58" s="4"/>
      <c r="U58" s="4"/>
      <c r="V58" s="10"/>
      <c r="W58" s="4"/>
      <c r="X58" s="4"/>
      <c r="Y58" s="4"/>
      <c r="Z58" s="10"/>
    </row>
    <row r="59" spans="1:26" s="63" customFormat="1" ht="15" customHeight="1" x14ac:dyDescent="0.3">
      <c r="A59" s="49"/>
      <c r="B59" s="13" t="s">
        <v>293</v>
      </c>
      <c r="C59" s="13"/>
      <c r="D59" s="8"/>
      <c r="E59" s="8"/>
      <c r="F59" s="14">
        <f>IF(D$12=0,0,D59/D$12)</f>
        <v>0</v>
      </c>
      <c r="G59" s="8"/>
      <c r="H59" s="8"/>
      <c r="I59" s="8"/>
      <c r="J59" s="14">
        <f>IF(H$12=0,0,H59/H$12)</f>
        <v>0</v>
      </c>
      <c r="K59" s="8"/>
      <c r="L59" s="8">
        <f>+D59-H59</f>
        <v>0</v>
      </c>
      <c r="M59" s="8"/>
      <c r="N59" s="14">
        <f>IF(H59=0,0,L59/H59)</f>
        <v>0</v>
      </c>
      <c r="O59" s="13"/>
      <c r="P59" s="8"/>
      <c r="Q59" s="8"/>
      <c r="R59" s="14">
        <f>IF(P$12=0,0,P59/P$12)</f>
        <v>0</v>
      </c>
      <c r="S59" s="8"/>
      <c r="T59" s="8"/>
      <c r="U59" s="8"/>
      <c r="V59" s="14">
        <f>IF(T$12=0,0,T59/T$12)</f>
        <v>0</v>
      </c>
      <c r="W59" s="8"/>
      <c r="X59" s="8">
        <f>+P59-T59</f>
        <v>0</v>
      </c>
      <c r="Y59" s="8"/>
      <c r="Z59" s="14">
        <f>IF(T59=0,0,X59/T59)</f>
        <v>0</v>
      </c>
    </row>
    <row r="60" spans="1:26" ht="15" customHeight="1" x14ac:dyDescent="0.3">
      <c r="A60" s="12"/>
      <c r="B60" s="13"/>
      <c r="C60" s="13"/>
      <c r="D60" s="4"/>
      <c r="E60" s="4"/>
      <c r="F60" s="10"/>
      <c r="G60" s="4"/>
      <c r="H60" s="4"/>
      <c r="I60" s="4"/>
      <c r="J60" s="10"/>
      <c r="K60" s="4"/>
      <c r="L60" s="4"/>
      <c r="M60" s="4"/>
      <c r="N60" s="10"/>
      <c r="O60" s="13"/>
      <c r="P60" s="4"/>
      <c r="Q60" s="4"/>
      <c r="R60" s="10"/>
      <c r="S60" s="4"/>
      <c r="T60" s="4"/>
      <c r="U60" s="4"/>
      <c r="V60" s="10"/>
      <c r="W60" s="4"/>
      <c r="X60" s="4"/>
      <c r="Y60" s="4"/>
      <c r="Z60" s="10"/>
    </row>
    <row r="61" spans="1:26" s="63" customFormat="1" ht="15" customHeight="1" x14ac:dyDescent="0.3">
      <c r="A61" s="13"/>
      <c r="B61" s="27" t="s">
        <v>294</v>
      </c>
      <c r="C61" s="27"/>
      <c r="D61" s="30">
        <f>+D57-D59</f>
        <v>-7774.49</v>
      </c>
      <c r="E61" s="15"/>
      <c r="F61" s="35">
        <f>IF(D$12=0,0,D61/D$12)</f>
        <v>0</v>
      </c>
      <c r="G61" s="15"/>
      <c r="H61" s="30">
        <f>+H57-H59</f>
        <v>-12232.75742769231</v>
      </c>
      <c r="I61" s="15"/>
      <c r="J61" s="35">
        <f>IF(H$12=0,0,H61/H$12)</f>
        <v>0</v>
      </c>
      <c r="K61" s="17"/>
      <c r="L61" s="30">
        <f>D61-H61</f>
        <v>4458.2674276923099</v>
      </c>
      <c r="M61" s="17"/>
      <c r="N61" s="35">
        <f>IF(H61=0,0,L61/H61)</f>
        <v>-0.36445318678516092</v>
      </c>
      <c r="O61" s="28"/>
      <c r="P61" s="30">
        <f>+P57-P59</f>
        <v>-107399.45</v>
      </c>
      <c r="Q61" s="15"/>
      <c r="R61" s="35">
        <f>IF(P$12=0,0,P61/P$12)</f>
        <v>0</v>
      </c>
      <c r="S61" s="15"/>
      <c r="T61" s="30">
        <f>+T57-T59</f>
        <v>-158346.57616</v>
      </c>
      <c r="U61" s="15"/>
      <c r="V61" s="35">
        <f>IF(T$12=0,0,T61/T$12)</f>
        <v>0</v>
      </c>
      <c r="W61" s="17"/>
      <c r="X61" s="30">
        <f>P61-T61</f>
        <v>50947.12616</v>
      </c>
      <c r="Y61" s="17"/>
      <c r="Z61" s="35">
        <f>IF(T61=0,0,X61/T61)</f>
        <v>-0.32174441276533122</v>
      </c>
    </row>
    <row r="62" spans="1:26" ht="15" customHeight="1" x14ac:dyDescent="0.3">
      <c r="A62" s="12"/>
      <c r="B62" s="12"/>
      <c r="C62" s="12"/>
      <c r="D62" s="4"/>
      <c r="E62" s="4"/>
      <c r="F62" s="10"/>
      <c r="G62" s="4"/>
      <c r="H62" s="4"/>
      <c r="I62" s="4"/>
      <c r="J62" s="10"/>
      <c r="K62" s="4"/>
      <c r="L62" s="4"/>
      <c r="M62" s="4"/>
      <c r="N62" s="10"/>
      <c r="P62" s="4"/>
      <c r="Q62" s="4"/>
      <c r="R62" s="10"/>
      <c r="S62" s="4"/>
      <c r="T62" s="4"/>
      <c r="U62" s="4"/>
      <c r="V62" s="10"/>
      <c r="W62" s="4"/>
      <c r="X62" s="4"/>
      <c r="Y62" s="4"/>
      <c r="Z62" s="10"/>
    </row>
    <row r="63" spans="1:26" ht="15" customHeight="1" x14ac:dyDescent="0.3">
      <c r="A63" s="12"/>
      <c r="B63" s="12"/>
      <c r="C63" s="12"/>
      <c r="D63" s="4"/>
      <c r="E63" s="4"/>
      <c r="F63" s="10"/>
      <c r="G63" s="4"/>
      <c r="H63" s="4"/>
      <c r="I63" s="4"/>
      <c r="J63" s="10"/>
      <c r="K63" s="4"/>
      <c r="L63" s="4"/>
      <c r="M63" s="4"/>
      <c r="N63" s="10"/>
      <c r="P63" s="4"/>
      <c r="Q63" s="4"/>
      <c r="R63" s="10"/>
      <c r="S63" s="4"/>
      <c r="T63" s="4"/>
      <c r="U63" s="4"/>
      <c r="V63" s="10"/>
      <c r="W63" s="4"/>
      <c r="X63" s="4"/>
      <c r="Y63" s="4"/>
      <c r="Z63" s="10"/>
    </row>
    <row r="64" spans="1:26" s="63" customFormat="1" ht="15" customHeight="1" x14ac:dyDescent="0.3">
      <c r="A64" s="13"/>
      <c r="B64" s="27" t="s">
        <v>297</v>
      </c>
      <c r="C64" s="27"/>
      <c r="D64" s="33">
        <f>SUM(D61:D63)</f>
        <v>-7774.49</v>
      </c>
      <c r="E64" s="15"/>
      <c r="F64" s="31">
        <f>IF(D$12=0,0,D64/D$12)</f>
        <v>0</v>
      </c>
      <c r="G64" s="15"/>
      <c r="H64" s="33">
        <f>SUM(H61:H63)</f>
        <v>-12232.75742769231</v>
      </c>
      <c r="I64" s="15"/>
      <c r="J64" s="31">
        <f>IF(H$12=0,0,H64/H$12)</f>
        <v>0</v>
      </c>
      <c r="K64" s="17"/>
      <c r="L64" s="33">
        <f>+D64-H64</f>
        <v>4458.2674276923099</v>
      </c>
      <c r="M64" s="17"/>
      <c r="N64" s="31">
        <f>IF(H64=0,0,L64/H64)</f>
        <v>-0.36445318678516092</v>
      </c>
      <c r="O64" s="28"/>
      <c r="P64" s="33">
        <f>SUM(P61:P63)</f>
        <v>-107399.45</v>
      </c>
      <c r="Q64" s="15"/>
      <c r="R64" s="31">
        <f>IF(P$12=0,0,P64/P$12)</f>
        <v>0</v>
      </c>
      <c r="S64" s="15"/>
      <c r="T64" s="33">
        <f>SUM(T61:T63)</f>
        <v>-158346.57616</v>
      </c>
      <c r="U64" s="15"/>
      <c r="V64" s="31">
        <f>IF(T$12=0,0,T64/T$12)</f>
        <v>0</v>
      </c>
      <c r="W64" s="17"/>
      <c r="X64" s="33">
        <f>+P64-T64</f>
        <v>50947.12616</v>
      </c>
      <c r="Y64" s="17"/>
      <c r="Z64" s="31">
        <f>IF(T64=0,0,X64/T64)</f>
        <v>-0.32174441276533122</v>
      </c>
    </row>
    <row r="65" spans="1:24" ht="15" customHeight="1" x14ac:dyDescent="0.3">
      <c r="A65" s="12"/>
      <c r="C65" s="12"/>
      <c r="D65" s="19"/>
      <c r="E65" s="19"/>
      <c r="G65" s="19"/>
      <c r="H65" s="19"/>
      <c r="I65" s="19"/>
      <c r="J65" s="41"/>
      <c r="K65" s="19"/>
      <c r="L65" s="19"/>
      <c r="M65" s="19"/>
      <c r="P65" s="19"/>
      <c r="Q65" s="19"/>
      <c r="R65" s="41"/>
      <c r="S65" s="19"/>
      <c r="T65" s="19"/>
      <c r="U65" s="19"/>
      <c r="V65" s="41"/>
      <c r="W65" s="19"/>
      <c r="X65" s="19"/>
    </row>
    <row r="66" spans="1:24" ht="15" customHeight="1" x14ac:dyDescent="0.3">
      <c r="A66" s="12"/>
      <c r="B66" s="50">
        <v>44767.799547766204</v>
      </c>
      <c r="D66" s="19"/>
      <c r="E66" s="19"/>
      <c r="G66" s="19"/>
      <c r="H66" s="19"/>
      <c r="I66" s="19"/>
      <c r="J66" s="41"/>
      <c r="K66" s="19"/>
      <c r="L66" s="19"/>
      <c r="M66" s="19"/>
      <c r="P66" s="19"/>
      <c r="Q66" s="19"/>
      <c r="R66" s="41"/>
      <c r="S66" s="19"/>
      <c r="T66" s="19"/>
      <c r="U66" s="19"/>
      <c r="V66" s="41"/>
      <c r="W66" s="19"/>
      <c r="X66" s="19"/>
    </row>
    <row r="67" spans="1:24" ht="15" customHeight="1" x14ac:dyDescent="0.3">
      <c r="A67" s="12"/>
      <c r="B67" s="57" t="s">
        <v>298</v>
      </c>
      <c r="D67" s="19"/>
      <c r="E67" s="19"/>
      <c r="G67" s="19"/>
      <c r="H67" s="19"/>
      <c r="I67" s="19"/>
      <c r="J67" s="41"/>
      <c r="K67" s="19"/>
      <c r="L67" s="19"/>
      <c r="M67" s="19"/>
      <c r="P67" s="19"/>
      <c r="Q67" s="19"/>
      <c r="R67" s="41"/>
      <c r="S67" s="19"/>
      <c r="T67" s="19"/>
      <c r="U67" s="19"/>
      <c r="V67" s="41"/>
      <c r="W67" s="19"/>
      <c r="X67" s="19"/>
    </row>
    <row r="68" spans="1:24" ht="15" customHeight="1" x14ac:dyDescent="0.3">
      <c r="A68" s="12"/>
      <c r="B68" s="51"/>
      <c r="D68" s="19"/>
      <c r="E68" s="19"/>
      <c r="G68" s="19"/>
      <c r="H68" s="19"/>
      <c r="I68" s="19"/>
      <c r="J68" s="41"/>
      <c r="K68" s="19"/>
      <c r="L68" s="19"/>
      <c r="M68" s="19"/>
      <c r="P68" s="19"/>
      <c r="Q68" s="19"/>
      <c r="R68" s="41"/>
      <c r="S68" s="19"/>
      <c r="T68" s="19"/>
      <c r="U68" s="19"/>
      <c r="V68" s="41"/>
      <c r="W68" s="19"/>
      <c r="X68" s="19"/>
    </row>
    <row r="69" spans="1:24" ht="15" customHeight="1" x14ac:dyDescent="0.3">
      <c r="D69" s="19"/>
      <c r="E69" s="19"/>
      <c r="G69" s="19"/>
      <c r="H69" s="19"/>
      <c r="I69" s="19"/>
      <c r="J69" s="41"/>
      <c r="K69" s="19"/>
      <c r="L69" s="19"/>
      <c r="M69" s="19"/>
      <c r="P69" s="19"/>
      <c r="Q69" s="19"/>
      <c r="R69" s="41"/>
      <c r="S69" s="19"/>
      <c r="T69" s="19"/>
      <c r="U69" s="19"/>
      <c r="V69" s="41"/>
      <c r="W69" s="19"/>
      <c r="X69" s="19"/>
    </row>
  </sheetData>
  <pageMargins left="0.25" right="0.25" top="0.75" bottom="0.75" header="0.3" footer="0.3"/>
  <pageSetup scale="55" orientation="landscape" r:id="rId1"/>
  <headerFooter>
    <oddHeader>&amp;RPre-Audit</oddHeader>
    <oddFooter>&amp;L&amp;C&amp;R</oddFooter>
    <evenHeader>&amp;L&amp;C&amp;R</evenHeader>
    <evenFooter>&amp;L&amp;C&amp;R</even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96D2FF-9C3B-D039-063B-491894D533FF}">
  <sheetPr>
    <tabColor rgb="FFFFC000"/>
    <outlinePr summaryBelow="0" summaryRight="0"/>
  </sheetPr>
  <dimension ref="A2:Z172"/>
  <sheetViews>
    <sheetView showGridLines="0" defaultGridColor="0" colorId="8" zoomScale="80" workbookViewId="0">
      <pane xSplit="3" ySplit="10" topLeftCell="D113" activePane="bottomRight" state="frozen"/>
      <selection activeCell="D78" sqref="D78"/>
      <selection pane="topRight" activeCell="D78" sqref="D78"/>
      <selection pane="bottomLeft" activeCell="D78" sqref="D78"/>
      <selection pane="bottomRight" activeCell="D78" sqref="D78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3" t="s">
        <v>276</v>
      </c>
    </row>
    <row r="3" spans="1:26" ht="15" customHeight="1" x14ac:dyDescent="0.3">
      <c r="D3" s="53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3" t="str">
        <f>CONCATENATE("Period ",RIGHT(202212,2),", ",2022)</f>
        <v>Period 12,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5"/>
      <c r="D5" s="60">
        <v>44742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5"/>
      <c r="B6" s="47"/>
      <c r="C6" s="47"/>
      <c r="D6" s="25" t="s">
        <v>301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4"/>
    </row>
    <row r="8" spans="1:26" ht="15" customHeight="1" x14ac:dyDescent="0.3">
      <c r="B8" s="54"/>
    </row>
    <row r="9" spans="1:26" ht="15" customHeight="1" x14ac:dyDescent="0.3">
      <c r="B9" s="12"/>
      <c r="C9" s="12"/>
      <c r="D9" s="16" t="s">
        <v>279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280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ht="15" customHeight="1" x14ac:dyDescent="0.3">
      <c r="A10" s="13"/>
      <c r="B10" s="52"/>
      <c r="C10" s="13"/>
      <c r="D10" s="40" t="s">
        <v>281</v>
      </c>
      <c r="E10" s="32"/>
      <c r="F10" s="39" t="s">
        <v>282</v>
      </c>
      <c r="G10" s="32"/>
      <c r="H10" s="45" t="s">
        <v>283</v>
      </c>
      <c r="I10" s="32"/>
      <c r="J10" s="42" t="s">
        <v>284</v>
      </c>
      <c r="K10" s="13"/>
      <c r="L10" s="40" t="s">
        <v>285</v>
      </c>
      <c r="M10" s="13"/>
      <c r="N10" s="39" t="s">
        <v>286</v>
      </c>
      <c r="O10" s="13"/>
      <c r="P10" s="55" t="s">
        <v>281</v>
      </c>
      <c r="Q10" s="32"/>
      <c r="R10" s="39" t="s">
        <v>282</v>
      </c>
      <c r="S10" s="32"/>
      <c r="T10" s="45" t="s">
        <v>283</v>
      </c>
      <c r="U10" s="32"/>
      <c r="V10" s="42" t="s">
        <v>284</v>
      </c>
      <c r="W10" s="13"/>
      <c r="X10" s="40" t="s">
        <v>285</v>
      </c>
      <c r="Y10" s="13"/>
      <c r="Z10" s="39" t="s">
        <v>286</v>
      </c>
    </row>
    <row r="11" spans="1:26" ht="16.5" customHeight="1" x14ac:dyDescent="0.3">
      <c r="A11" s="12"/>
      <c r="B11" s="58"/>
      <c r="C11" s="12"/>
      <c r="D11" s="12"/>
      <c r="E11" s="12"/>
      <c r="F11" s="10"/>
      <c r="G11" s="12"/>
      <c r="H11" s="12"/>
      <c r="I11" s="12"/>
      <c r="J11" s="43"/>
      <c r="K11" s="12"/>
      <c r="L11" s="12"/>
      <c r="M11" s="12"/>
      <c r="N11" s="10"/>
      <c r="P11" s="12"/>
      <c r="Q11" s="12"/>
      <c r="R11" s="10"/>
      <c r="S11" s="12"/>
      <c r="T11" s="12"/>
      <c r="U11" s="12"/>
      <c r="V11" s="43"/>
      <c r="W11" s="12"/>
      <c r="X11" s="12"/>
      <c r="Y11" s="12"/>
      <c r="Z11" s="10"/>
    </row>
    <row r="12" spans="1:26" s="63" customFormat="1" ht="15" customHeight="1" collapsed="1" x14ac:dyDescent="0.3">
      <c r="A12" s="13"/>
      <c r="B12" s="28" t="s">
        <v>287</v>
      </c>
      <c r="C12" s="13"/>
      <c r="D12" s="8">
        <f>SUM(OSRRefD13x_0)</f>
        <v>306970.44999999995</v>
      </c>
      <c r="E12" s="8"/>
      <c r="F12" s="14"/>
      <c r="G12" s="8"/>
      <c r="H12" s="8">
        <f>SUM(OSRRefH13x_0)</f>
        <v>297500</v>
      </c>
      <c r="I12" s="8"/>
      <c r="J12" s="14"/>
      <c r="K12" s="8"/>
      <c r="L12" s="8">
        <f t="shared" ref="L12:L23" si="0">+D12-H12</f>
        <v>9470.4499999999534</v>
      </c>
      <c r="M12" s="8"/>
      <c r="N12" s="14">
        <f t="shared" ref="N12:N23" si="1">IF(H12=0,0,L12/H12)</f>
        <v>3.1833445378151103E-2</v>
      </c>
      <c r="O12" s="13"/>
      <c r="P12" s="8">
        <f>SUM(OSRRefP13x_0)</f>
        <v>8324246.3100000015</v>
      </c>
      <c r="Q12" s="8"/>
      <c r="R12" s="14"/>
      <c r="S12" s="8"/>
      <c r="T12" s="8">
        <f>SUM(OSRRefT13x_0)</f>
        <v>9392326</v>
      </c>
      <c r="U12" s="8"/>
      <c r="V12" s="14"/>
      <c r="W12" s="8"/>
      <c r="X12" s="8">
        <f t="shared" ref="X12:X23" si="2">+P12-T12</f>
        <v>-1068079.6899999985</v>
      </c>
      <c r="Y12" s="8"/>
      <c r="Z12" s="14">
        <f t="shared" ref="Z12:Z23" si="3">IF(T12=0,0,X12/T12)</f>
        <v>-0.11371833665058033</v>
      </c>
    </row>
    <row r="13" spans="1:26" s="70" customFormat="1" ht="15" hidden="1" customHeight="1" outlineLevel="1" x14ac:dyDescent="0.3">
      <c r="A13" s="48"/>
      <c r="B13" s="9" t="str">
        <f>CONCATENATE("          ","4000"," - ","TAXABLE SALES")</f>
        <v xml:space="preserve">          4000 - TAXABLE SALES</v>
      </c>
      <c r="C13" s="9"/>
      <c r="D13" s="3">
        <f>--300487.33</f>
        <v>300487.33</v>
      </c>
      <c r="E13" s="3"/>
      <c r="F13" s="26"/>
      <c r="G13" s="3"/>
      <c r="H13" s="3">
        <v>284530</v>
      </c>
      <c r="I13" s="3"/>
      <c r="J13" s="26"/>
      <c r="K13" s="3"/>
      <c r="L13" s="3">
        <f t="shared" si="0"/>
        <v>15957.330000000016</v>
      </c>
      <c r="M13" s="3"/>
      <c r="N13" s="26">
        <f t="shared" si="1"/>
        <v>5.6083119530453786E-2</v>
      </c>
      <c r="O13" s="9"/>
      <c r="P13" s="3">
        <f>--6946690.52</f>
        <v>6946690.5199999996</v>
      </c>
      <c r="Q13" s="3"/>
      <c r="R13" s="26"/>
      <c r="S13" s="3"/>
      <c r="T13" s="3">
        <v>8600088</v>
      </c>
      <c r="U13" s="3"/>
      <c r="V13" s="26"/>
      <c r="W13" s="3"/>
      <c r="X13" s="3">
        <f t="shared" si="2"/>
        <v>-1653397.4800000004</v>
      </c>
      <c r="Y13" s="3"/>
      <c r="Z13" s="26">
        <f t="shared" si="3"/>
        <v>-0.19225355368456701</v>
      </c>
    </row>
    <row r="14" spans="1:26" s="70" customFormat="1" ht="15" hidden="1" customHeight="1" outlineLevel="1" x14ac:dyDescent="0.3">
      <c r="A14" s="48"/>
      <c r="B14" s="9" t="str">
        <f>CONCATENATE("          ","4051"," - ","TAXABLE SALES-FOOD")</f>
        <v xml:space="preserve">          4051 - TAXABLE SALES-FOOD</v>
      </c>
      <c r="C14" s="9"/>
      <c r="D14" s="3">
        <f>0</f>
        <v>0</v>
      </c>
      <c r="E14" s="3"/>
      <c r="F14" s="26"/>
      <c r="G14" s="3"/>
      <c r="H14" s="3"/>
      <c r="I14" s="3"/>
      <c r="J14" s="26"/>
      <c r="K14" s="3"/>
      <c r="L14" s="3">
        <f t="shared" si="0"/>
        <v>0</v>
      </c>
      <c r="M14" s="3"/>
      <c r="N14" s="26">
        <f t="shared" si="1"/>
        <v>0</v>
      </c>
      <c r="O14" s="9"/>
      <c r="P14" s="3">
        <f>--25.17</f>
        <v>25.17</v>
      </c>
      <c r="Q14" s="3"/>
      <c r="R14" s="26"/>
      <c r="S14" s="3"/>
      <c r="T14" s="3"/>
      <c r="U14" s="3"/>
      <c r="V14" s="26"/>
      <c r="W14" s="3"/>
      <c r="X14" s="3">
        <f t="shared" si="2"/>
        <v>25.17</v>
      </c>
      <c r="Y14" s="3"/>
      <c r="Z14" s="26">
        <f t="shared" si="3"/>
        <v>0</v>
      </c>
    </row>
    <row r="15" spans="1:26" s="70" customFormat="1" ht="15" hidden="1" customHeight="1" outlineLevel="1" x14ac:dyDescent="0.3">
      <c r="A15" s="48"/>
      <c r="B15" s="9" t="str">
        <f>CONCATENATE("          ","4053"," - ","TAXABLE SALES-FOOD")</f>
        <v xml:space="preserve">          4053 - TAXABLE SALES-FOOD</v>
      </c>
      <c r="C15" s="9"/>
      <c r="D15" s="3">
        <f>0</f>
        <v>0</v>
      </c>
      <c r="E15" s="3"/>
      <c r="F15" s="26"/>
      <c r="G15" s="3"/>
      <c r="H15" s="3"/>
      <c r="I15" s="3"/>
      <c r="J15" s="26"/>
      <c r="K15" s="3"/>
      <c r="L15" s="3">
        <f t="shared" si="0"/>
        <v>0</v>
      </c>
      <c r="M15" s="3"/>
      <c r="N15" s="26">
        <f t="shared" si="1"/>
        <v>0</v>
      </c>
      <c r="O15" s="9"/>
      <c r="P15" s="3">
        <f>--1827.05</f>
        <v>1827.05</v>
      </c>
      <c r="Q15" s="3"/>
      <c r="R15" s="26"/>
      <c r="S15" s="3"/>
      <c r="T15" s="3"/>
      <c r="U15" s="3"/>
      <c r="V15" s="26"/>
      <c r="W15" s="3"/>
      <c r="X15" s="3">
        <f t="shared" si="2"/>
        <v>1827.05</v>
      </c>
      <c r="Y15" s="3"/>
      <c r="Z15" s="26">
        <f t="shared" si="3"/>
        <v>0</v>
      </c>
    </row>
    <row r="16" spans="1:26" s="70" customFormat="1" ht="15" hidden="1" customHeight="1" outlineLevel="1" x14ac:dyDescent="0.3">
      <c r="A16" s="48"/>
      <c r="B16" s="9" t="str">
        <f>CONCATENATE("          ","4100"," - ","NON-TAXABLE SALES")</f>
        <v xml:space="preserve">          4100 - NON-TAXABLE SALES</v>
      </c>
      <c r="C16" s="9"/>
      <c r="D16" s="3">
        <f>--35826.86</f>
        <v>35826.86</v>
      </c>
      <c r="E16" s="3"/>
      <c r="F16" s="26"/>
      <c r="G16" s="3"/>
      <c r="H16" s="3">
        <v>12970</v>
      </c>
      <c r="I16" s="3"/>
      <c r="J16" s="26"/>
      <c r="K16" s="3"/>
      <c r="L16" s="3">
        <f t="shared" si="0"/>
        <v>22856.86</v>
      </c>
      <c r="M16" s="3"/>
      <c r="N16" s="26">
        <f t="shared" si="1"/>
        <v>1.7622868157286045</v>
      </c>
      <c r="O16" s="9"/>
      <c r="P16" s="3">
        <f>--1790618.17</f>
        <v>1790618.17</v>
      </c>
      <c r="Q16" s="3"/>
      <c r="R16" s="26"/>
      <c r="S16" s="3"/>
      <c r="T16" s="3">
        <v>792238</v>
      </c>
      <c r="U16" s="3"/>
      <c r="V16" s="26"/>
      <c r="W16" s="3"/>
      <c r="X16" s="3">
        <f t="shared" si="2"/>
        <v>998380.16999999993</v>
      </c>
      <c r="Y16" s="3"/>
      <c r="Z16" s="26">
        <f t="shared" si="3"/>
        <v>1.2602023255637824</v>
      </c>
    </row>
    <row r="17" spans="1:26" s="70" customFormat="1" ht="15" hidden="1" customHeight="1" outlineLevel="1" x14ac:dyDescent="0.3">
      <c r="A17" s="48"/>
      <c r="B17" s="9" t="str">
        <f>CONCATENATE("          ","4141"," - ","NON-TAXABLE SALES-LOGO GIFTS")</f>
        <v xml:space="preserve">          4141 - NON-TAXABLE SALES-LOGO GIFTS</v>
      </c>
      <c r="C17" s="9"/>
      <c r="D17" s="3">
        <f>0</f>
        <v>0</v>
      </c>
      <c r="E17" s="3"/>
      <c r="F17" s="26"/>
      <c r="G17" s="3"/>
      <c r="H17" s="3"/>
      <c r="I17" s="3"/>
      <c r="J17" s="26"/>
      <c r="K17" s="3"/>
      <c r="L17" s="3">
        <f t="shared" si="0"/>
        <v>0</v>
      </c>
      <c r="M17" s="3"/>
      <c r="N17" s="26">
        <f t="shared" si="1"/>
        <v>0</v>
      </c>
      <c r="O17" s="9"/>
      <c r="P17" s="3">
        <f>0</f>
        <v>0</v>
      </c>
      <c r="Q17" s="3"/>
      <c r="R17" s="26"/>
      <c r="S17" s="3"/>
      <c r="T17" s="3"/>
      <c r="U17" s="3"/>
      <c r="V17" s="26"/>
      <c r="W17" s="3"/>
      <c r="X17" s="3">
        <f t="shared" si="2"/>
        <v>0</v>
      </c>
      <c r="Y17" s="3"/>
      <c r="Z17" s="26">
        <f t="shared" si="3"/>
        <v>0</v>
      </c>
    </row>
    <row r="18" spans="1:26" s="70" customFormat="1" ht="15" hidden="1" customHeight="1" outlineLevel="1" x14ac:dyDescent="0.3">
      <c r="A18" s="48"/>
      <c r="B18" s="9" t="str">
        <f>CONCATENATE("          ","4146"," - ","NON-TAXABLE SALES-COIN OP MACH")</f>
        <v xml:space="preserve">          4146 - NON-TAXABLE SALES-COIN OP MACH</v>
      </c>
      <c r="C18" s="9"/>
      <c r="D18" s="3">
        <f>0</f>
        <v>0</v>
      </c>
      <c r="E18" s="3"/>
      <c r="F18" s="26"/>
      <c r="G18" s="3"/>
      <c r="H18" s="3"/>
      <c r="I18" s="3"/>
      <c r="J18" s="26"/>
      <c r="K18" s="3"/>
      <c r="L18" s="3">
        <f t="shared" si="0"/>
        <v>0</v>
      </c>
      <c r="M18" s="3"/>
      <c r="N18" s="26">
        <f t="shared" si="1"/>
        <v>0</v>
      </c>
      <c r="O18" s="9"/>
      <c r="P18" s="3">
        <f>0</f>
        <v>0</v>
      </c>
      <c r="Q18" s="3"/>
      <c r="R18" s="26"/>
      <c r="S18" s="3"/>
      <c r="T18" s="3"/>
      <c r="U18" s="3"/>
      <c r="V18" s="26"/>
      <c r="W18" s="3"/>
      <c r="X18" s="3">
        <f t="shared" si="2"/>
        <v>0</v>
      </c>
      <c r="Y18" s="3"/>
      <c r="Z18" s="26">
        <f t="shared" si="3"/>
        <v>0</v>
      </c>
    </row>
    <row r="19" spans="1:26" s="70" customFormat="1" ht="15" hidden="1" customHeight="1" outlineLevel="1" x14ac:dyDescent="0.3">
      <c r="A19" s="48"/>
      <c r="B19" s="9" t="str">
        <f>CONCATENATE("          ","4151"," - ","NON-TAXABLE SALES-FOOD")</f>
        <v xml:space="preserve">          4151 - NON-TAXABLE SALES-FOOD</v>
      </c>
      <c r="C19" s="9"/>
      <c r="D19" s="3">
        <f>0</f>
        <v>0</v>
      </c>
      <c r="E19" s="3"/>
      <c r="F19" s="26"/>
      <c r="G19" s="3"/>
      <c r="H19" s="3"/>
      <c r="I19" s="3"/>
      <c r="J19" s="26"/>
      <c r="K19" s="3"/>
      <c r="L19" s="3">
        <f t="shared" si="0"/>
        <v>0</v>
      </c>
      <c r="M19" s="3"/>
      <c r="N19" s="26">
        <f t="shared" si="1"/>
        <v>0</v>
      </c>
      <c r="O19" s="9"/>
      <c r="P19" s="3">
        <f>--206.32</f>
        <v>206.32</v>
      </c>
      <c r="Q19" s="3"/>
      <c r="R19" s="26"/>
      <c r="S19" s="3"/>
      <c r="T19" s="3"/>
      <c r="U19" s="3"/>
      <c r="V19" s="26"/>
      <c r="W19" s="3"/>
      <c r="X19" s="3">
        <f t="shared" si="2"/>
        <v>206.32</v>
      </c>
      <c r="Y19" s="3"/>
      <c r="Z19" s="26">
        <f t="shared" si="3"/>
        <v>0</v>
      </c>
    </row>
    <row r="20" spans="1:26" s="70" customFormat="1" ht="15" hidden="1" customHeight="1" outlineLevel="1" x14ac:dyDescent="0.3">
      <c r="A20" s="48"/>
      <c r="B20" s="9" t="str">
        <f>CONCATENATE("          ","4153"," - ","NON-TAXABLE SALES-FOOD")</f>
        <v xml:space="preserve">          4153 - NON-TAXABLE SALES-FOOD</v>
      </c>
      <c r="C20" s="9"/>
      <c r="D20" s="3">
        <f>0</f>
        <v>0</v>
      </c>
      <c r="E20" s="3"/>
      <c r="F20" s="26"/>
      <c r="G20" s="3"/>
      <c r="H20" s="3"/>
      <c r="I20" s="3"/>
      <c r="J20" s="26"/>
      <c r="K20" s="3"/>
      <c r="L20" s="3">
        <f t="shared" si="0"/>
        <v>0</v>
      </c>
      <c r="M20" s="3"/>
      <c r="N20" s="26">
        <f t="shared" si="1"/>
        <v>0</v>
      </c>
      <c r="O20" s="9"/>
      <c r="P20" s="3">
        <f>0</f>
        <v>0</v>
      </c>
      <c r="Q20" s="3"/>
      <c r="R20" s="26"/>
      <c r="S20" s="3"/>
      <c r="T20" s="3"/>
      <c r="U20" s="3"/>
      <c r="V20" s="26"/>
      <c r="W20" s="3"/>
      <c r="X20" s="3">
        <f t="shared" si="2"/>
        <v>0</v>
      </c>
      <c r="Y20" s="3"/>
      <c r="Z20" s="26">
        <f t="shared" si="3"/>
        <v>0</v>
      </c>
    </row>
    <row r="21" spans="1:26" s="70" customFormat="1" ht="15" hidden="1" customHeight="1" outlineLevel="1" x14ac:dyDescent="0.3">
      <c r="A21" s="48"/>
      <c r="B21" s="9" t="str">
        <f>CONCATENATE("          ","4200"," - ","TAXABLE RETURNS")</f>
        <v xml:space="preserve">          4200 - TAXABLE RETURNS</v>
      </c>
      <c r="C21" s="9"/>
      <c r="D21" s="3">
        <f>-20727.59</f>
        <v>-20727.59</v>
      </c>
      <c r="E21" s="3"/>
      <c r="F21" s="26"/>
      <c r="G21" s="3"/>
      <c r="H21" s="3"/>
      <c r="I21" s="3"/>
      <c r="J21" s="26"/>
      <c r="K21" s="3"/>
      <c r="L21" s="3">
        <f t="shared" si="0"/>
        <v>-20727.59</v>
      </c>
      <c r="M21" s="3"/>
      <c r="N21" s="26">
        <f t="shared" si="1"/>
        <v>0</v>
      </c>
      <c r="O21" s="9"/>
      <c r="P21" s="3">
        <f>-236811.43</f>
        <v>-236811.43</v>
      </c>
      <c r="Q21" s="3"/>
      <c r="R21" s="26"/>
      <c r="S21" s="3"/>
      <c r="T21" s="3"/>
      <c r="U21" s="3"/>
      <c r="V21" s="26"/>
      <c r="W21" s="3"/>
      <c r="X21" s="3">
        <f t="shared" si="2"/>
        <v>-236811.43</v>
      </c>
      <c r="Y21" s="3"/>
      <c r="Z21" s="26">
        <f t="shared" si="3"/>
        <v>0</v>
      </c>
    </row>
    <row r="22" spans="1:26" s="70" customFormat="1" ht="15" hidden="1" customHeight="1" outlineLevel="1" x14ac:dyDescent="0.3">
      <c r="A22" s="48"/>
      <c r="B22" s="9" t="str">
        <f>CONCATENATE("          ","4300"," - ","NON-TAX RETURNS")</f>
        <v xml:space="preserve">          4300 - NON-TAX RETURNS</v>
      </c>
      <c r="C22" s="9"/>
      <c r="D22" s="3">
        <f>-1514.12</f>
        <v>-1514.12</v>
      </c>
      <c r="E22" s="3"/>
      <c r="F22" s="26"/>
      <c r="G22" s="3"/>
      <c r="H22" s="3"/>
      <c r="I22" s="3"/>
      <c r="J22" s="26"/>
      <c r="K22" s="3"/>
      <c r="L22" s="3">
        <f t="shared" si="0"/>
        <v>-1514.12</v>
      </c>
      <c r="M22" s="3"/>
      <c r="N22" s="26">
        <f t="shared" si="1"/>
        <v>0</v>
      </c>
      <c r="O22" s="9"/>
      <c r="P22" s="3">
        <f>-43285.18</f>
        <v>-43285.18</v>
      </c>
      <c r="Q22" s="3"/>
      <c r="R22" s="26"/>
      <c r="S22" s="3"/>
      <c r="T22" s="3"/>
      <c r="U22" s="3"/>
      <c r="V22" s="26"/>
      <c r="W22" s="3"/>
      <c r="X22" s="3">
        <f t="shared" si="2"/>
        <v>-43285.18</v>
      </c>
      <c r="Y22" s="3"/>
      <c r="Z22" s="26">
        <f t="shared" si="3"/>
        <v>0</v>
      </c>
    </row>
    <row r="23" spans="1:26" s="70" customFormat="1" ht="15" hidden="1" customHeight="1" outlineLevel="1" x14ac:dyDescent="0.3">
      <c r="A23" s="48"/>
      <c r="B23" s="9" t="str">
        <f>CONCATENATE("          ","4500"," - ","SALES DISCOUNT")</f>
        <v xml:space="preserve">          4500 - SALES DISCOUNT</v>
      </c>
      <c r="C23" s="9"/>
      <c r="D23" s="3">
        <f>-7102.03</f>
        <v>-7102.03</v>
      </c>
      <c r="E23" s="3"/>
      <c r="F23" s="26"/>
      <c r="G23" s="3"/>
      <c r="H23" s="3"/>
      <c r="I23" s="3"/>
      <c r="J23" s="26"/>
      <c r="K23" s="3"/>
      <c r="L23" s="3">
        <f t="shared" si="0"/>
        <v>-7102.03</v>
      </c>
      <c r="M23" s="3"/>
      <c r="N23" s="26">
        <f t="shared" si="1"/>
        <v>0</v>
      </c>
      <c r="O23" s="9"/>
      <c r="P23" s="3">
        <f>-135024.31</f>
        <v>-135024.31</v>
      </c>
      <c r="Q23" s="3"/>
      <c r="R23" s="26"/>
      <c r="S23" s="3"/>
      <c r="T23" s="3"/>
      <c r="U23" s="3"/>
      <c r="V23" s="26"/>
      <c r="W23" s="3"/>
      <c r="X23" s="3">
        <f t="shared" si="2"/>
        <v>-135024.31</v>
      </c>
      <c r="Y23" s="3"/>
      <c r="Z23" s="26">
        <f t="shared" si="3"/>
        <v>0</v>
      </c>
    </row>
    <row r="24" spans="1:26" ht="15" customHeight="1" x14ac:dyDescent="0.3">
      <c r="A24" s="12"/>
      <c r="B24" s="13"/>
      <c r="C24" s="12"/>
      <c r="D24" s="4"/>
      <c r="E24" s="4"/>
      <c r="F24" s="10"/>
      <c r="G24" s="4"/>
      <c r="H24" s="4"/>
      <c r="I24" s="4"/>
      <c r="J24" s="10"/>
      <c r="K24" s="4"/>
      <c r="L24" s="4"/>
      <c r="M24" s="4"/>
      <c r="N24" s="10"/>
      <c r="P24" s="4"/>
      <c r="Q24" s="4"/>
      <c r="R24" s="10"/>
      <c r="S24" s="4"/>
      <c r="T24" s="4"/>
      <c r="U24" s="4"/>
      <c r="V24" s="10"/>
      <c r="W24" s="4"/>
      <c r="X24" s="4"/>
      <c r="Y24" s="4"/>
      <c r="Z24" s="10"/>
    </row>
    <row r="25" spans="1:26" s="63" customFormat="1" ht="15" customHeight="1" collapsed="1" x14ac:dyDescent="0.3">
      <c r="A25" s="13"/>
      <c r="B25" s="28" t="s">
        <v>288</v>
      </c>
      <c r="C25" s="13"/>
      <c r="D25" s="8">
        <f>SUM(OSRRefD16x_0)</f>
        <v>455798.39</v>
      </c>
      <c r="E25" s="8"/>
      <c r="F25" s="14">
        <f t="shared" ref="F25:F54" si="4">IF(D$12=0,0,D25/D$12)</f>
        <v>1.4848282302091296</v>
      </c>
      <c r="G25" s="8"/>
      <c r="H25" s="8">
        <f>SUM(OSRRefH16x_0)</f>
        <v>156900</v>
      </c>
      <c r="I25" s="8"/>
      <c r="J25" s="14">
        <f t="shared" ref="J25:J54" si="5">IF(H$12=0,0,H25/H$12)</f>
        <v>0.52739495798319325</v>
      </c>
      <c r="K25" s="8"/>
      <c r="L25" s="8">
        <f t="shared" ref="L25:L54" si="6">+D25-H25</f>
        <v>298898.39</v>
      </c>
      <c r="M25" s="8"/>
      <c r="N25" s="14">
        <f t="shared" ref="N25:N54" si="7">IF(H25=0,0,L25/H25)</f>
        <v>1.9050247928616955</v>
      </c>
      <c r="O25" s="13"/>
      <c r="P25" s="8">
        <f>SUM(OSRRefP16x_0)</f>
        <v>4755454.0599999996</v>
      </c>
      <c r="Q25" s="8"/>
      <c r="R25" s="14">
        <f t="shared" ref="R25:R54" si="8">IF(P$12=0,0,P25/P$12)</f>
        <v>0.57127743256314079</v>
      </c>
      <c r="S25" s="8"/>
      <c r="T25" s="8">
        <f>SUM(OSRRefT16x_0)</f>
        <v>5604615</v>
      </c>
      <c r="U25" s="8"/>
      <c r="V25" s="14">
        <f t="shared" ref="V25:V54" si="9">IF(T$12=0,0,T25/T$12)</f>
        <v>0.5967227926287908</v>
      </c>
      <c r="W25" s="8"/>
      <c r="X25" s="8">
        <f t="shared" ref="X25:X54" si="10">+P25-T25</f>
        <v>-849160.94000000041</v>
      </c>
      <c r="Y25" s="8"/>
      <c r="Z25" s="14">
        <f t="shared" ref="Z25:Z54" si="11">IF(T25=0,0,X25/T25)</f>
        <v>-0.15151102082837098</v>
      </c>
    </row>
    <row r="26" spans="1:26" s="70" customFormat="1" ht="15" hidden="1" customHeight="1" outlineLevel="1" x14ac:dyDescent="0.3">
      <c r="A26" s="48"/>
      <c r="B26" s="9" t="str">
        <f>CONCATENATE("          ","5000"," - ","PURCHASES @ COST")</f>
        <v xml:space="preserve">          5000 - PURCHASES @ COST</v>
      </c>
      <c r="C26" s="9"/>
      <c r="D26" s="3">
        <v>510700.95</v>
      </c>
      <c r="E26" s="3"/>
      <c r="F26" s="26">
        <f t="shared" si="4"/>
        <v>1.663681145856222</v>
      </c>
      <c r="G26" s="3"/>
      <c r="H26" s="3">
        <v>156900</v>
      </c>
      <c r="I26" s="3"/>
      <c r="J26" s="26">
        <f t="shared" si="5"/>
        <v>0.52739495798319325</v>
      </c>
      <c r="K26" s="3"/>
      <c r="L26" s="3">
        <f t="shared" si="6"/>
        <v>353800.95</v>
      </c>
      <c r="M26" s="3"/>
      <c r="N26" s="26">
        <f t="shared" si="7"/>
        <v>2.2549455066921609</v>
      </c>
      <c r="O26" s="9"/>
      <c r="P26" s="3">
        <v>4540852.2699999996</v>
      </c>
      <c r="Q26" s="3"/>
      <c r="R26" s="26">
        <f t="shared" si="8"/>
        <v>0.54549710579143096</v>
      </c>
      <c r="S26" s="3"/>
      <c r="T26" s="3">
        <v>5604615</v>
      </c>
      <c r="U26" s="3"/>
      <c r="V26" s="26">
        <f t="shared" si="9"/>
        <v>0.5967227926287908</v>
      </c>
      <c r="W26" s="3"/>
      <c r="X26" s="3">
        <f t="shared" si="10"/>
        <v>-1063762.7300000004</v>
      </c>
      <c r="Y26" s="3"/>
      <c r="Z26" s="26">
        <f t="shared" si="11"/>
        <v>-0.18980121382111001</v>
      </c>
    </row>
    <row r="27" spans="1:26" s="70" customFormat="1" ht="15" hidden="1" customHeight="1" outlineLevel="1" x14ac:dyDescent="0.3">
      <c r="A27" s="48"/>
      <c r="B27" s="9" t="str">
        <f>CONCATENATE("          ","5001"," - ","PURCHASES @ COST-NEW TEXT")</f>
        <v xml:space="preserve">          5001 - PURCHASES @ COST-NEW TEXT</v>
      </c>
      <c r="C27" s="9"/>
      <c r="D27" s="3"/>
      <c r="E27" s="3"/>
      <c r="F27" s="26">
        <f t="shared" si="4"/>
        <v>0</v>
      </c>
      <c r="G27" s="3"/>
      <c r="H27" s="3"/>
      <c r="I27" s="3"/>
      <c r="J27" s="26">
        <f t="shared" si="5"/>
        <v>0</v>
      </c>
      <c r="K27" s="3"/>
      <c r="L27" s="3">
        <f t="shared" si="6"/>
        <v>0</v>
      </c>
      <c r="M27" s="3"/>
      <c r="N27" s="26">
        <f t="shared" si="7"/>
        <v>0</v>
      </c>
      <c r="O27" s="9"/>
      <c r="P27" s="3">
        <v>0</v>
      </c>
      <c r="Q27" s="3"/>
      <c r="R27" s="26">
        <f t="shared" si="8"/>
        <v>0</v>
      </c>
      <c r="S27" s="3"/>
      <c r="T27" s="3"/>
      <c r="U27" s="3"/>
      <c r="V27" s="26">
        <f t="shared" si="9"/>
        <v>0</v>
      </c>
      <c r="W27" s="3"/>
      <c r="X27" s="3">
        <f t="shared" si="10"/>
        <v>0</v>
      </c>
      <c r="Y27" s="3"/>
      <c r="Z27" s="26">
        <f t="shared" si="11"/>
        <v>0</v>
      </c>
    </row>
    <row r="28" spans="1:26" s="70" customFormat="1" ht="15" hidden="1" customHeight="1" outlineLevel="1" x14ac:dyDescent="0.3">
      <c r="A28" s="48"/>
      <c r="B28" s="9" t="str">
        <f>CONCATENATE("          ","5002"," - ","PURCHASES @ COST-USED TEXT")</f>
        <v xml:space="preserve">          5002 - PURCHASES @ COST-USED TEXT</v>
      </c>
      <c r="C28" s="9"/>
      <c r="D28" s="3"/>
      <c r="E28" s="3"/>
      <c r="F28" s="26">
        <f t="shared" si="4"/>
        <v>0</v>
      </c>
      <c r="G28" s="3"/>
      <c r="H28" s="3"/>
      <c r="I28" s="3"/>
      <c r="J28" s="26">
        <f t="shared" si="5"/>
        <v>0</v>
      </c>
      <c r="K28" s="3"/>
      <c r="L28" s="3">
        <f t="shared" si="6"/>
        <v>0</v>
      </c>
      <c r="M28" s="3"/>
      <c r="N28" s="26">
        <f t="shared" si="7"/>
        <v>0</v>
      </c>
      <c r="O28" s="9"/>
      <c r="P28" s="3">
        <v>0</v>
      </c>
      <c r="Q28" s="3"/>
      <c r="R28" s="26">
        <f t="shared" si="8"/>
        <v>0</v>
      </c>
      <c r="S28" s="3"/>
      <c r="T28" s="3"/>
      <c r="U28" s="3"/>
      <c r="V28" s="26">
        <f t="shared" si="9"/>
        <v>0</v>
      </c>
      <c r="W28" s="3"/>
      <c r="X28" s="3">
        <f t="shared" si="10"/>
        <v>0</v>
      </c>
      <c r="Y28" s="3"/>
      <c r="Z28" s="26">
        <f t="shared" si="11"/>
        <v>0</v>
      </c>
    </row>
    <row r="29" spans="1:26" s="70" customFormat="1" ht="15" hidden="1" customHeight="1" outlineLevel="1" x14ac:dyDescent="0.3">
      <c r="A29" s="48"/>
      <c r="B29" s="9" t="str">
        <f>CONCATENATE("          ","5004"," - ","PURCHASES @ COST-DIGITAL TEXT")</f>
        <v xml:space="preserve">          5004 - PURCHASES @ COST-DIGITAL TEXT</v>
      </c>
      <c r="C29" s="9"/>
      <c r="D29" s="3"/>
      <c r="E29" s="3"/>
      <c r="F29" s="26">
        <f t="shared" si="4"/>
        <v>0</v>
      </c>
      <c r="G29" s="3"/>
      <c r="H29" s="3"/>
      <c r="I29" s="3"/>
      <c r="J29" s="26">
        <f t="shared" si="5"/>
        <v>0</v>
      </c>
      <c r="K29" s="3"/>
      <c r="L29" s="3">
        <f t="shared" si="6"/>
        <v>0</v>
      </c>
      <c r="M29" s="3"/>
      <c r="N29" s="26">
        <f t="shared" si="7"/>
        <v>0</v>
      </c>
      <c r="O29" s="9"/>
      <c r="P29" s="3">
        <v>0</v>
      </c>
      <c r="Q29" s="3"/>
      <c r="R29" s="26">
        <f t="shared" si="8"/>
        <v>0</v>
      </c>
      <c r="S29" s="3"/>
      <c r="T29" s="3"/>
      <c r="U29" s="3"/>
      <c r="V29" s="26">
        <f t="shared" si="9"/>
        <v>0</v>
      </c>
      <c r="W29" s="3"/>
      <c r="X29" s="3">
        <f t="shared" si="10"/>
        <v>0</v>
      </c>
      <c r="Y29" s="3"/>
      <c r="Z29" s="26">
        <f t="shared" si="11"/>
        <v>0</v>
      </c>
    </row>
    <row r="30" spans="1:26" s="70" customFormat="1" ht="15" hidden="1" customHeight="1" outlineLevel="1" x14ac:dyDescent="0.3">
      <c r="A30" s="48"/>
      <c r="B30" s="9" t="str">
        <f>CONCATENATE("          ","5026"," - ","PURCHASES @ COST-WRITING INSTR")</f>
        <v xml:space="preserve">          5026 - PURCHASES @ COST-WRITING INSTR</v>
      </c>
      <c r="C30" s="9"/>
      <c r="D30" s="3"/>
      <c r="E30" s="3"/>
      <c r="F30" s="26">
        <f t="shared" si="4"/>
        <v>0</v>
      </c>
      <c r="G30" s="3"/>
      <c r="H30" s="3"/>
      <c r="I30" s="3"/>
      <c r="J30" s="26">
        <f t="shared" si="5"/>
        <v>0</v>
      </c>
      <c r="K30" s="3"/>
      <c r="L30" s="3">
        <f t="shared" si="6"/>
        <v>0</v>
      </c>
      <c r="M30" s="3"/>
      <c r="N30" s="26">
        <f t="shared" si="7"/>
        <v>0</v>
      </c>
      <c r="O30" s="9"/>
      <c r="P30" s="3">
        <v>0</v>
      </c>
      <c r="Q30" s="3"/>
      <c r="R30" s="26">
        <f t="shared" si="8"/>
        <v>0</v>
      </c>
      <c r="S30" s="3"/>
      <c r="T30" s="3"/>
      <c r="U30" s="3"/>
      <c r="V30" s="26">
        <f t="shared" si="9"/>
        <v>0</v>
      </c>
      <c r="W30" s="3"/>
      <c r="X30" s="3">
        <f t="shared" si="10"/>
        <v>0</v>
      </c>
      <c r="Y30" s="3"/>
      <c r="Z30" s="26">
        <f t="shared" si="11"/>
        <v>0</v>
      </c>
    </row>
    <row r="31" spans="1:26" s="70" customFormat="1" ht="15" hidden="1" customHeight="1" outlineLevel="1" x14ac:dyDescent="0.3">
      <c r="A31" s="48"/>
      <c r="B31" s="9" t="str">
        <f>CONCATENATE("          ","5027"," - ","PURCHASES @ COST-SCHOOL SUPPLI")</f>
        <v xml:space="preserve">          5027 - PURCHASES @ COST-SCHOOL SUPPLI</v>
      </c>
      <c r="C31" s="9"/>
      <c r="D31" s="3"/>
      <c r="E31" s="3"/>
      <c r="F31" s="26">
        <f t="shared" si="4"/>
        <v>0</v>
      </c>
      <c r="G31" s="3"/>
      <c r="H31" s="3"/>
      <c r="I31" s="3"/>
      <c r="J31" s="26">
        <f t="shared" si="5"/>
        <v>0</v>
      </c>
      <c r="K31" s="3"/>
      <c r="L31" s="3">
        <f t="shared" si="6"/>
        <v>0</v>
      </c>
      <c r="M31" s="3"/>
      <c r="N31" s="26">
        <f t="shared" si="7"/>
        <v>0</v>
      </c>
      <c r="O31" s="9"/>
      <c r="P31" s="3">
        <v>0</v>
      </c>
      <c r="Q31" s="3"/>
      <c r="R31" s="26">
        <f t="shared" si="8"/>
        <v>0</v>
      </c>
      <c r="S31" s="3"/>
      <c r="T31" s="3"/>
      <c r="U31" s="3"/>
      <c r="V31" s="26">
        <f t="shared" si="9"/>
        <v>0</v>
      </c>
      <c r="W31" s="3"/>
      <c r="X31" s="3">
        <f t="shared" si="10"/>
        <v>0</v>
      </c>
      <c r="Y31" s="3"/>
      <c r="Z31" s="26">
        <f t="shared" si="11"/>
        <v>0</v>
      </c>
    </row>
    <row r="32" spans="1:26" s="70" customFormat="1" ht="15" hidden="1" customHeight="1" outlineLevel="1" x14ac:dyDescent="0.3">
      <c r="A32" s="48"/>
      <c r="B32" s="9" t="str">
        <f>CONCATENATE("          ","5028"," - ","PURCHASES @ COST-ART/TECH")</f>
        <v xml:space="preserve">          5028 - PURCHASES @ COST-ART/TECH</v>
      </c>
      <c r="C32" s="9"/>
      <c r="D32" s="3"/>
      <c r="E32" s="3"/>
      <c r="F32" s="26">
        <f t="shared" si="4"/>
        <v>0</v>
      </c>
      <c r="G32" s="3"/>
      <c r="H32" s="3"/>
      <c r="I32" s="3"/>
      <c r="J32" s="26">
        <f t="shared" si="5"/>
        <v>0</v>
      </c>
      <c r="K32" s="3"/>
      <c r="L32" s="3">
        <f t="shared" si="6"/>
        <v>0</v>
      </c>
      <c r="M32" s="3"/>
      <c r="N32" s="26">
        <f t="shared" si="7"/>
        <v>0</v>
      </c>
      <c r="O32" s="9"/>
      <c r="P32" s="3">
        <v>0</v>
      </c>
      <c r="Q32" s="3"/>
      <c r="R32" s="26">
        <f t="shared" si="8"/>
        <v>0</v>
      </c>
      <c r="S32" s="3"/>
      <c r="T32" s="3"/>
      <c r="U32" s="3"/>
      <c r="V32" s="26">
        <f t="shared" si="9"/>
        <v>0</v>
      </c>
      <c r="W32" s="3"/>
      <c r="X32" s="3">
        <f t="shared" si="10"/>
        <v>0</v>
      </c>
      <c r="Y32" s="3"/>
      <c r="Z32" s="26">
        <f t="shared" si="11"/>
        <v>0</v>
      </c>
    </row>
    <row r="33" spans="1:26" s="70" customFormat="1" ht="15" hidden="1" customHeight="1" outlineLevel="1" x14ac:dyDescent="0.3">
      <c r="A33" s="48"/>
      <c r="B33" s="9" t="str">
        <f>CONCATENATE("          ","5031"," - ","PURCHASES @ COST-FOOD")</f>
        <v xml:space="preserve">          5031 - PURCHASES @ COST-FOOD</v>
      </c>
      <c r="C33" s="9"/>
      <c r="D33" s="3"/>
      <c r="E33" s="3"/>
      <c r="F33" s="26">
        <f t="shared" si="4"/>
        <v>0</v>
      </c>
      <c r="G33" s="3"/>
      <c r="H33" s="3"/>
      <c r="I33" s="3"/>
      <c r="J33" s="26">
        <f t="shared" si="5"/>
        <v>0</v>
      </c>
      <c r="K33" s="3"/>
      <c r="L33" s="3">
        <f t="shared" si="6"/>
        <v>0</v>
      </c>
      <c r="M33" s="3"/>
      <c r="N33" s="26">
        <f t="shared" si="7"/>
        <v>0</v>
      </c>
      <c r="O33" s="9"/>
      <c r="P33" s="3">
        <v>0</v>
      </c>
      <c r="Q33" s="3"/>
      <c r="R33" s="26">
        <f t="shared" si="8"/>
        <v>0</v>
      </c>
      <c r="S33" s="3"/>
      <c r="T33" s="3"/>
      <c r="U33" s="3"/>
      <c r="V33" s="26">
        <f t="shared" si="9"/>
        <v>0</v>
      </c>
      <c r="W33" s="3"/>
      <c r="X33" s="3">
        <f t="shared" si="10"/>
        <v>0</v>
      </c>
      <c r="Y33" s="3"/>
      <c r="Z33" s="26">
        <f t="shared" si="11"/>
        <v>0</v>
      </c>
    </row>
    <row r="34" spans="1:26" s="70" customFormat="1" ht="15" hidden="1" customHeight="1" outlineLevel="1" x14ac:dyDescent="0.3">
      <c r="A34" s="48"/>
      <c r="B34" s="9" t="str">
        <f>CONCATENATE("          ","5040"," - ","PURCHASES @ COST-LOGO CLOTHING")</f>
        <v xml:space="preserve">          5040 - PURCHASES @ COST-LOGO CLOTHING</v>
      </c>
      <c r="C34" s="9"/>
      <c r="D34" s="3"/>
      <c r="E34" s="3"/>
      <c r="F34" s="26">
        <f t="shared" si="4"/>
        <v>0</v>
      </c>
      <c r="G34" s="3"/>
      <c r="H34" s="3"/>
      <c r="I34" s="3"/>
      <c r="J34" s="26">
        <f t="shared" si="5"/>
        <v>0</v>
      </c>
      <c r="K34" s="3"/>
      <c r="L34" s="3">
        <f t="shared" si="6"/>
        <v>0</v>
      </c>
      <c r="M34" s="3"/>
      <c r="N34" s="26">
        <f t="shared" si="7"/>
        <v>0</v>
      </c>
      <c r="O34" s="9"/>
      <c r="P34" s="3">
        <v>0</v>
      </c>
      <c r="Q34" s="3"/>
      <c r="R34" s="26">
        <f t="shared" si="8"/>
        <v>0</v>
      </c>
      <c r="S34" s="3"/>
      <c r="T34" s="3"/>
      <c r="U34" s="3"/>
      <c r="V34" s="26">
        <f t="shared" si="9"/>
        <v>0</v>
      </c>
      <c r="W34" s="3"/>
      <c r="X34" s="3">
        <f t="shared" si="10"/>
        <v>0</v>
      </c>
      <c r="Y34" s="3"/>
      <c r="Z34" s="26">
        <f t="shared" si="11"/>
        <v>0</v>
      </c>
    </row>
    <row r="35" spans="1:26" s="70" customFormat="1" ht="15" hidden="1" customHeight="1" outlineLevel="1" x14ac:dyDescent="0.3">
      <c r="A35" s="48"/>
      <c r="B35" s="9" t="str">
        <f>CONCATENATE("          ","5041"," - ","PURCHASES @ COST-LOGO GIFTS")</f>
        <v xml:space="preserve">          5041 - PURCHASES @ COST-LOGO GIFTS</v>
      </c>
      <c r="C35" s="9"/>
      <c r="D35" s="3"/>
      <c r="E35" s="3"/>
      <c r="F35" s="26">
        <f t="shared" si="4"/>
        <v>0</v>
      </c>
      <c r="G35" s="3"/>
      <c r="H35" s="3"/>
      <c r="I35" s="3"/>
      <c r="J35" s="26">
        <f t="shared" si="5"/>
        <v>0</v>
      </c>
      <c r="K35" s="3"/>
      <c r="L35" s="3">
        <f t="shared" si="6"/>
        <v>0</v>
      </c>
      <c r="M35" s="3"/>
      <c r="N35" s="26">
        <f t="shared" si="7"/>
        <v>0</v>
      </c>
      <c r="O35" s="9"/>
      <c r="P35" s="3">
        <v>0</v>
      </c>
      <c r="Q35" s="3"/>
      <c r="R35" s="26">
        <f t="shared" si="8"/>
        <v>0</v>
      </c>
      <c r="S35" s="3"/>
      <c r="T35" s="3"/>
      <c r="U35" s="3"/>
      <c r="V35" s="26">
        <f t="shared" si="9"/>
        <v>0</v>
      </c>
      <c r="W35" s="3"/>
      <c r="X35" s="3">
        <f t="shared" si="10"/>
        <v>0</v>
      </c>
      <c r="Y35" s="3"/>
      <c r="Z35" s="26">
        <f t="shared" si="11"/>
        <v>0</v>
      </c>
    </row>
    <row r="36" spans="1:26" s="70" customFormat="1" ht="15" hidden="1" customHeight="1" outlineLevel="1" x14ac:dyDescent="0.3">
      <c r="A36" s="48"/>
      <c r="B36" s="9" t="str">
        <f>CONCATENATE("          ","5042"," - ","PURCHASES @ COST-EVERYDAY GIFT")</f>
        <v xml:space="preserve">          5042 - PURCHASES @ COST-EVERYDAY GIFT</v>
      </c>
      <c r="C36" s="9"/>
      <c r="D36" s="3"/>
      <c r="E36" s="3"/>
      <c r="F36" s="26">
        <f t="shared" si="4"/>
        <v>0</v>
      </c>
      <c r="G36" s="3"/>
      <c r="H36" s="3"/>
      <c r="I36" s="3"/>
      <c r="J36" s="26">
        <f t="shared" si="5"/>
        <v>0</v>
      </c>
      <c r="K36" s="3"/>
      <c r="L36" s="3">
        <f t="shared" si="6"/>
        <v>0</v>
      </c>
      <c r="M36" s="3"/>
      <c r="N36" s="26">
        <f t="shared" si="7"/>
        <v>0</v>
      </c>
      <c r="O36" s="9"/>
      <c r="P36" s="3">
        <v>0</v>
      </c>
      <c r="Q36" s="3"/>
      <c r="R36" s="26">
        <f t="shared" si="8"/>
        <v>0</v>
      </c>
      <c r="S36" s="3"/>
      <c r="T36" s="3"/>
      <c r="U36" s="3"/>
      <c r="V36" s="26">
        <f t="shared" si="9"/>
        <v>0</v>
      </c>
      <c r="W36" s="3"/>
      <c r="X36" s="3">
        <f t="shared" si="10"/>
        <v>0</v>
      </c>
      <c r="Y36" s="3"/>
      <c r="Z36" s="26">
        <f t="shared" si="11"/>
        <v>0</v>
      </c>
    </row>
    <row r="37" spans="1:26" s="70" customFormat="1" ht="15" hidden="1" customHeight="1" outlineLevel="1" x14ac:dyDescent="0.3">
      <c r="A37" s="48"/>
      <c r="B37" s="9" t="str">
        <f>CONCATENATE("          ","5043"," - ","PURCHASES @ COST-CARDS")</f>
        <v xml:space="preserve">          5043 - PURCHASES @ COST-CARDS</v>
      </c>
      <c r="C37" s="9"/>
      <c r="D37" s="3"/>
      <c r="E37" s="3"/>
      <c r="F37" s="26">
        <f t="shared" si="4"/>
        <v>0</v>
      </c>
      <c r="G37" s="3"/>
      <c r="H37" s="3"/>
      <c r="I37" s="3"/>
      <c r="J37" s="26">
        <f t="shared" si="5"/>
        <v>0</v>
      </c>
      <c r="K37" s="3"/>
      <c r="L37" s="3">
        <f t="shared" si="6"/>
        <v>0</v>
      </c>
      <c r="M37" s="3"/>
      <c r="N37" s="26">
        <f t="shared" si="7"/>
        <v>0</v>
      </c>
      <c r="O37" s="9"/>
      <c r="P37" s="3">
        <v>0</v>
      </c>
      <c r="Q37" s="3"/>
      <c r="R37" s="26">
        <f t="shared" si="8"/>
        <v>0</v>
      </c>
      <c r="S37" s="3"/>
      <c r="T37" s="3"/>
      <c r="U37" s="3"/>
      <c r="V37" s="26">
        <f t="shared" si="9"/>
        <v>0</v>
      </c>
      <c r="W37" s="3"/>
      <c r="X37" s="3">
        <f t="shared" si="10"/>
        <v>0</v>
      </c>
      <c r="Y37" s="3"/>
      <c r="Z37" s="26">
        <f t="shared" si="11"/>
        <v>0</v>
      </c>
    </row>
    <row r="38" spans="1:26" s="70" customFormat="1" ht="15" hidden="1" customHeight="1" outlineLevel="1" x14ac:dyDescent="0.3">
      <c r="A38" s="48"/>
      <c r="B38" s="9" t="str">
        <f>CONCATENATE("          ","5044"," - ","PURCHASES @ COST-ACCESSORIES")</f>
        <v xml:space="preserve">          5044 - PURCHASES @ COST-ACCESSORIES</v>
      </c>
      <c r="C38" s="9"/>
      <c r="D38" s="3"/>
      <c r="E38" s="3"/>
      <c r="F38" s="26">
        <f t="shared" si="4"/>
        <v>0</v>
      </c>
      <c r="G38" s="3"/>
      <c r="H38" s="3"/>
      <c r="I38" s="3"/>
      <c r="J38" s="26">
        <f t="shared" si="5"/>
        <v>0</v>
      </c>
      <c r="K38" s="3"/>
      <c r="L38" s="3">
        <f t="shared" si="6"/>
        <v>0</v>
      </c>
      <c r="M38" s="3"/>
      <c r="N38" s="26">
        <f t="shared" si="7"/>
        <v>0</v>
      </c>
      <c r="O38" s="9"/>
      <c r="P38" s="3">
        <v>0</v>
      </c>
      <c r="Q38" s="3"/>
      <c r="R38" s="26">
        <f t="shared" si="8"/>
        <v>0</v>
      </c>
      <c r="S38" s="3"/>
      <c r="T38" s="3"/>
      <c r="U38" s="3"/>
      <c r="V38" s="26">
        <f t="shared" si="9"/>
        <v>0</v>
      </c>
      <c r="W38" s="3"/>
      <c r="X38" s="3">
        <f t="shared" si="10"/>
        <v>0</v>
      </c>
      <c r="Y38" s="3"/>
      <c r="Z38" s="26">
        <f t="shared" si="11"/>
        <v>0</v>
      </c>
    </row>
    <row r="39" spans="1:26" s="70" customFormat="1" ht="15" hidden="1" customHeight="1" outlineLevel="1" x14ac:dyDescent="0.3">
      <c r="A39" s="48"/>
      <c r="B39" s="9" t="str">
        <f>CONCATENATE("          ","5045"," - ","PURCHASES @ COST-SPECIAL ORDER")</f>
        <v xml:space="preserve">          5045 - PURCHASES @ COST-SPECIAL ORDER</v>
      </c>
      <c r="C39" s="9"/>
      <c r="D39" s="3"/>
      <c r="E39" s="3"/>
      <c r="F39" s="26">
        <f t="shared" si="4"/>
        <v>0</v>
      </c>
      <c r="G39" s="3"/>
      <c r="H39" s="3"/>
      <c r="I39" s="3"/>
      <c r="J39" s="26">
        <f t="shared" si="5"/>
        <v>0</v>
      </c>
      <c r="K39" s="3"/>
      <c r="L39" s="3">
        <f t="shared" si="6"/>
        <v>0</v>
      </c>
      <c r="M39" s="3"/>
      <c r="N39" s="26">
        <f t="shared" si="7"/>
        <v>0</v>
      </c>
      <c r="O39" s="9"/>
      <c r="P39" s="3">
        <v>0</v>
      </c>
      <c r="Q39" s="3"/>
      <c r="R39" s="26">
        <f t="shared" si="8"/>
        <v>0</v>
      </c>
      <c r="S39" s="3"/>
      <c r="T39" s="3"/>
      <c r="U39" s="3"/>
      <c r="V39" s="26">
        <f t="shared" si="9"/>
        <v>0</v>
      </c>
      <c r="W39" s="3"/>
      <c r="X39" s="3">
        <f t="shared" si="10"/>
        <v>0</v>
      </c>
      <c r="Y39" s="3"/>
      <c r="Z39" s="26">
        <f t="shared" si="11"/>
        <v>0</v>
      </c>
    </row>
    <row r="40" spans="1:26" s="70" customFormat="1" ht="15" hidden="1" customHeight="1" outlineLevel="1" x14ac:dyDescent="0.3">
      <c r="A40" s="48"/>
      <c r="B40" s="9" t="str">
        <f>CONCATENATE("          ","5053"," - ","PURCHASES @ COST-FOOD")</f>
        <v xml:space="preserve">          5053 - PURCHASES @ COST-FOOD</v>
      </c>
      <c r="C40" s="9"/>
      <c r="D40" s="3">
        <v>442.2</v>
      </c>
      <c r="E40" s="3"/>
      <c r="F40" s="26">
        <f t="shared" si="4"/>
        <v>1.4405295363120458E-3</v>
      </c>
      <c r="G40" s="3"/>
      <c r="H40" s="3"/>
      <c r="I40" s="3"/>
      <c r="J40" s="26">
        <f t="shared" si="5"/>
        <v>0</v>
      </c>
      <c r="K40" s="3"/>
      <c r="L40" s="3">
        <f t="shared" si="6"/>
        <v>442.2</v>
      </c>
      <c r="M40" s="3"/>
      <c r="N40" s="26">
        <f t="shared" si="7"/>
        <v>0</v>
      </c>
      <c r="O40" s="9"/>
      <c r="P40" s="3">
        <v>47584.83</v>
      </c>
      <c r="Q40" s="3"/>
      <c r="R40" s="26">
        <f t="shared" si="8"/>
        <v>5.7164130214210343E-3</v>
      </c>
      <c r="S40" s="3"/>
      <c r="T40" s="3"/>
      <c r="U40" s="3"/>
      <c r="V40" s="26">
        <f t="shared" si="9"/>
        <v>0</v>
      </c>
      <c r="W40" s="3"/>
      <c r="X40" s="3">
        <f t="shared" si="10"/>
        <v>47584.83</v>
      </c>
      <c r="Y40" s="3"/>
      <c r="Z40" s="26">
        <f t="shared" si="11"/>
        <v>0</v>
      </c>
    </row>
    <row r="41" spans="1:26" s="70" customFormat="1" ht="15" hidden="1" customHeight="1" outlineLevel="1" x14ac:dyDescent="0.3">
      <c r="A41" s="48"/>
      <c r="B41" s="9" t="str">
        <f>CONCATENATE("          ","5059"," - ","PURCHASES @ COST-FOOD")</f>
        <v xml:space="preserve">          5059 - PURCHASES @ COST-FOOD</v>
      </c>
      <c r="C41" s="9"/>
      <c r="D41" s="3">
        <v>22590.98</v>
      </c>
      <c r="E41" s="3"/>
      <c r="F41" s="26">
        <f t="shared" si="4"/>
        <v>7.3593337730064906E-2</v>
      </c>
      <c r="G41" s="3"/>
      <c r="H41" s="3"/>
      <c r="I41" s="3"/>
      <c r="J41" s="26">
        <f t="shared" si="5"/>
        <v>0</v>
      </c>
      <c r="K41" s="3"/>
      <c r="L41" s="3">
        <f t="shared" si="6"/>
        <v>22590.98</v>
      </c>
      <c r="M41" s="3"/>
      <c r="N41" s="26">
        <f t="shared" si="7"/>
        <v>0</v>
      </c>
      <c r="O41" s="9"/>
      <c r="P41" s="3">
        <v>209527.3</v>
      </c>
      <c r="Q41" s="3"/>
      <c r="R41" s="26">
        <f t="shared" si="8"/>
        <v>2.5170723233921215E-2</v>
      </c>
      <c r="S41" s="3"/>
      <c r="T41" s="3"/>
      <c r="U41" s="3"/>
      <c r="V41" s="26">
        <f t="shared" si="9"/>
        <v>0</v>
      </c>
      <c r="W41" s="3"/>
      <c r="X41" s="3">
        <f t="shared" si="10"/>
        <v>209527.3</v>
      </c>
      <c r="Y41" s="3"/>
      <c r="Z41" s="26">
        <f t="shared" si="11"/>
        <v>0</v>
      </c>
    </row>
    <row r="42" spans="1:26" s="70" customFormat="1" ht="15" hidden="1" customHeight="1" outlineLevel="1" x14ac:dyDescent="0.3">
      <c r="A42" s="48"/>
      <c r="B42" s="9" t="str">
        <f>CONCATENATE("          ","5200"," - ","PURCHASES OFFSET")</f>
        <v xml:space="preserve">          5200 - PURCHASES OFFSET</v>
      </c>
      <c r="C42" s="9"/>
      <c r="D42" s="3">
        <v>-235304</v>
      </c>
      <c r="E42" s="3"/>
      <c r="F42" s="26">
        <f t="shared" si="4"/>
        <v>-0.7665363229587735</v>
      </c>
      <c r="G42" s="3"/>
      <c r="H42" s="3"/>
      <c r="I42" s="3"/>
      <c r="J42" s="26">
        <f t="shared" si="5"/>
        <v>0</v>
      </c>
      <c r="K42" s="3"/>
      <c r="L42" s="3">
        <f t="shared" si="6"/>
        <v>-235304</v>
      </c>
      <c r="M42" s="3"/>
      <c r="N42" s="26">
        <f t="shared" si="7"/>
        <v>0</v>
      </c>
      <c r="O42" s="9"/>
      <c r="P42" s="3">
        <v>-4166800.4</v>
      </c>
      <c r="Q42" s="3"/>
      <c r="R42" s="26">
        <f t="shared" si="8"/>
        <v>-0.50056188210029062</v>
      </c>
      <c r="S42" s="3"/>
      <c r="T42" s="3"/>
      <c r="U42" s="3"/>
      <c r="V42" s="26">
        <f t="shared" si="9"/>
        <v>0</v>
      </c>
      <c r="W42" s="3"/>
      <c r="X42" s="3">
        <f t="shared" si="10"/>
        <v>-4166800.4</v>
      </c>
      <c r="Y42" s="3"/>
      <c r="Z42" s="26">
        <f t="shared" si="11"/>
        <v>0</v>
      </c>
    </row>
    <row r="43" spans="1:26" s="70" customFormat="1" ht="15" hidden="1" customHeight="1" outlineLevel="1" x14ac:dyDescent="0.3">
      <c r="A43" s="48"/>
      <c r="B43" s="9" t="str">
        <f>CONCATENATE("          ","5300"," - ","COG$ OFFSET")</f>
        <v xml:space="preserve">          5300 - COG$ OFFSET</v>
      </c>
      <c r="C43" s="9"/>
      <c r="D43" s="3">
        <v>148138.38</v>
      </c>
      <c r="E43" s="3"/>
      <c r="F43" s="26">
        <f t="shared" si="4"/>
        <v>0.48258189021125658</v>
      </c>
      <c r="G43" s="3"/>
      <c r="H43" s="3"/>
      <c r="I43" s="3"/>
      <c r="J43" s="26">
        <f t="shared" si="5"/>
        <v>0</v>
      </c>
      <c r="K43" s="3"/>
      <c r="L43" s="3">
        <f t="shared" si="6"/>
        <v>148138.38</v>
      </c>
      <c r="M43" s="3"/>
      <c r="N43" s="26">
        <f t="shared" si="7"/>
        <v>0</v>
      </c>
      <c r="O43" s="9"/>
      <c r="P43" s="3">
        <v>3919885.02</v>
      </c>
      <c r="Q43" s="3"/>
      <c r="R43" s="26">
        <f t="shared" si="8"/>
        <v>0.47089969157820361</v>
      </c>
      <c r="S43" s="3"/>
      <c r="T43" s="3"/>
      <c r="U43" s="3"/>
      <c r="V43" s="26">
        <f t="shared" si="9"/>
        <v>0</v>
      </c>
      <c r="W43" s="3"/>
      <c r="X43" s="3">
        <f t="shared" si="10"/>
        <v>3919885.02</v>
      </c>
      <c r="Y43" s="3"/>
      <c r="Z43" s="26">
        <f t="shared" si="11"/>
        <v>0</v>
      </c>
    </row>
    <row r="44" spans="1:26" s="70" customFormat="1" ht="15" hidden="1" customHeight="1" outlineLevel="1" x14ac:dyDescent="0.3">
      <c r="A44" s="48"/>
      <c r="B44" s="9" t="str">
        <f>CONCATENATE("          ","5500"," - ","FREIGHT-IN")</f>
        <v xml:space="preserve">          5500 - FREIGHT-IN</v>
      </c>
      <c r="C44" s="9"/>
      <c r="D44" s="3">
        <v>9229.8799999999992</v>
      </c>
      <c r="E44" s="3"/>
      <c r="F44" s="26">
        <f t="shared" si="4"/>
        <v>3.0067649834047545E-2</v>
      </c>
      <c r="G44" s="3"/>
      <c r="H44" s="3"/>
      <c r="I44" s="3"/>
      <c r="J44" s="26">
        <f t="shared" si="5"/>
        <v>0</v>
      </c>
      <c r="K44" s="3"/>
      <c r="L44" s="3">
        <f t="shared" si="6"/>
        <v>9229.8799999999992</v>
      </c>
      <c r="M44" s="3"/>
      <c r="N44" s="26">
        <f t="shared" si="7"/>
        <v>0</v>
      </c>
      <c r="O44" s="9"/>
      <c r="P44" s="3">
        <v>204405.04</v>
      </c>
      <c r="Q44" s="3"/>
      <c r="R44" s="26">
        <f t="shared" si="8"/>
        <v>2.4555381038454636E-2</v>
      </c>
      <c r="S44" s="3"/>
      <c r="T44" s="3"/>
      <c r="U44" s="3"/>
      <c r="V44" s="26">
        <f t="shared" si="9"/>
        <v>0</v>
      </c>
      <c r="W44" s="3"/>
      <c r="X44" s="3">
        <f t="shared" si="10"/>
        <v>204405.04</v>
      </c>
      <c r="Y44" s="3"/>
      <c r="Z44" s="26">
        <f t="shared" si="11"/>
        <v>0</v>
      </c>
    </row>
    <row r="45" spans="1:26" s="70" customFormat="1" ht="15" hidden="1" customHeight="1" outlineLevel="1" x14ac:dyDescent="0.3">
      <c r="A45" s="48"/>
      <c r="B45" s="9" t="str">
        <f>CONCATENATE("          ","5501"," - ","FREIGHT-IN-NEW TEXT")</f>
        <v xml:space="preserve">          5501 - FREIGHT-IN-NEW TEXT</v>
      </c>
      <c r="C45" s="9"/>
      <c r="D45" s="3"/>
      <c r="E45" s="3"/>
      <c r="F45" s="26">
        <f t="shared" si="4"/>
        <v>0</v>
      </c>
      <c r="G45" s="3"/>
      <c r="H45" s="3"/>
      <c r="I45" s="3"/>
      <c r="J45" s="26">
        <f t="shared" si="5"/>
        <v>0</v>
      </c>
      <c r="K45" s="3"/>
      <c r="L45" s="3">
        <f t="shared" si="6"/>
        <v>0</v>
      </c>
      <c r="M45" s="3"/>
      <c r="N45" s="26">
        <f t="shared" si="7"/>
        <v>0</v>
      </c>
      <c r="O45" s="9"/>
      <c r="P45" s="3">
        <v>0</v>
      </c>
      <c r="Q45" s="3"/>
      <c r="R45" s="26">
        <f t="shared" si="8"/>
        <v>0</v>
      </c>
      <c r="S45" s="3"/>
      <c r="T45" s="3"/>
      <c r="U45" s="3"/>
      <c r="V45" s="26">
        <f t="shared" si="9"/>
        <v>0</v>
      </c>
      <c r="W45" s="3"/>
      <c r="X45" s="3">
        <f t="shared" si="10"/>
        <v>0</v>
      </c>
      <c r="Y45" s="3"/>
      <c r="Z45" s="26">
        <f t="shared" si="11"/>
        <v>0</v>
      </c>
    </row>
    <row r="46" spans="1:26" s="70" customFormat="1" ht="15" hidden="1" customHeight="1" outlineLevel="1" x14ac:dyDescent="0.3">
      <c r="A46" s="48"/>
      <c r="B46" s="9" t="str">
        <f>CONCATENATE("          ","5502"," - ","FREIGHT-IN-USED TEXT")</f>
        <v xml:space="preserve">          5502 - FREIGHT-IN-USED TEXT</v>
      </c>
      <c r="C46" s="9"/>
      <c r="D46" s="3"/>
      <c r="E46" s="3"/>
      <c r="F46" s="26">
        <f t="shared" si="4"/>
        <v>0</v>
      </c>
      <c r="G46" s="3"/>
      <c r="H46" s="3"/>
      <c r="I46" s="3"/>
      <c r="J46" s="26">
        <f t="shared" si="5"/>
        <v>0</v>
      </c>
      <c r="K46" s="3"/>
      <c r="L46" s="3">
        <f t="shared" si="6"/>
        <v>0</v>
      </c>
      <c r="M46" s="3"/>
      <c r="N46" s="26">
        <f t="shared" si="7"/>
        <v>0</v>
      </c>
      <c r="O46" s="9"/>
      <c r="P46" s="3">
        <v>0</v>
      </c>
      <c r="Q46" s="3"/>
      <c r="R46" s="26">
        <f t="shared" si="8"/>
        <v>0</v>
      </c>
      <c r="S46" s="3"/>
      <c r="T46" s="3"/>
      <c r="U46" s="3"/>
      <c r="V46" s="26">
        <f t="shared" si="9"/>
        <v>0</v>
      </c>
      <c r="W46" s="3"/>
      <c r="X46" s="3">
        <f t="shared" si="10"/>
        <v>0</v>
      </c>
      <c r="Y46" s="3"/>
      <c r="Z46" s="26">
        <f t="shared" si="11"/>
        <v>0</v>
      </c>
    </row>
    <row r="47" spans="1:26" s="70" customFormat="1" ht="15" hidden="1" customHeight="1" outlineLevel="1" x14ac:dyDescent="0.3">
      <c r="A47" s="48"/>
      <c r="B47" s="9" t="str">
        <f>CONCATENATE("          ","5518"," - ","FREIGHT-IN-STUDY GUIDES")</f>
        <v xml:space="preserve">          5518 - FREIGHT-IN-STUDY GUIDES</v>
      </c>
      <c r="C47" s="9"/>
      <c r="D47" s="3"/>
      <c r="E47" s="3"/>
      <c r="F47" s="26">
        <f t="shared" si="4"/>
        <v>0</v>
      </c>
      <c r="G47" s="3"/>
      <c r="H47" s="3"/>
      <c r="I47" s="3"/>
      <c r="J47" s="26">
        <f t="shared" si="5"/>
        <v>0</v>
      </c>
      <c r="K47" s="3"/>
      <c r="L47" s="3">
        <f t="shared" si="6"/>
        <v>0</v>
      </c>
      <c r="M47" s="3"/>
      <c r="N47" s="26">
        <f t="shared" si="7"/>
        <v>0</v>
      </c>
      <c r="O47" s="9"/>
      <c r="P47" s="3">
        <v>0</v>
      </c>
      <c r="Q47" s="3"/>
      <c r="R47" s="26">
        <f t="shared" si="8"/>
        <v>0</v>
      </c>
      <c r="S47" s="3"/>
      <c r="T47" s="3"/>
      <c r="U47" s="3"/>
      <c r="V47" s="26">
        <f t="shared" si="9"/>
        <v>0</v>
      </c>
      <c r="W47" s="3"/>
      <c r="X47" s="3">
        <f t="shared" si="10"/>
        <v>0</v>
      </c>
      <c r="Y47" s="3"/>
      <c r="Z47" s="26">
        <f t="shared" si="11"/>
        <v>0</v>
      </c>
    </row>
    <row r="48" spans="1:26" s="70" customFormat="1" ht="15" hidden="1" customHeight="1" outlineLevel="1" x14ac:dyDescent="0.3">
      <c r="A48" s="48"/>
      <c r="B48" s="9" t="str">
        <f>CONCATENATE("          ","5527"," - ","FREIGHT-IN-SCHOOL SUPPLIES")</f>
        <v xml:space="preserve">          5527 - FREIGHT-IN-SCHOOL SUPPLIES</v>
      </c>
      <c r="C48" s="9"/>
      <c r="D48" s="3"/>
      <c r="E48" s="3"/>
      <c r="F48" s="26">
        <f t="shared" si="4"/>
        <v>0</v>
      </c>
      <c r="G48" s="3"/>
      <c r="H48" s="3"/>
      <c r="I48" s="3"/>
      <c r="J48" s="26">
        <f t="shared" si="5"/>
        <v>0</v>
      </c>
      <c r="K48" s="3"/>
      <c r="L48" s="3">
        <f t="shared" si="6"/>
        <v>0</v>
      </c>
      <c r="M48" s="3"/>
      <c r="N48" s="26">
        <f t="shared" si="7"/>
        <v>0</v>
      </c>
      <c r="O48" s="9"/>
      <c r="P48" s="3">
        <v>0</v>
      </c>
      <c r="Q48" s="3"/>
      <c r="R48" s="26">
        <f t="shared" si="8"/>
        <v>0</v>
      </c>
      <c r="S48" s="3"/>
      <c r="T48" s="3"/>
      <c r="U48" s="3"/>
      <c r="V48" s="26">
        <f t="shared" si="9"/>
        <v>0</v>
      </c>
      <c r="W48" s="3"/>
      <c r="X48" s="3">
        <f t="shared" si="10"/>
        <v>0</v>
      </c>
      <c r="Y48" s="3"/>
      <c r="Z48" s="26">
        <f t="shared" si="11"/>
        <v>0</v>
      </c>
    </row>
    <row r="49" spans="1:26" s="70" customFormat="1" ht="15" hidden="1" customHeight="1" outlineLevel="1" x14ac:dyDescent="0.3">
      <c r="A49" s="48"/>
      <c r="B49" s="9" t="str">
        <f>CONCATENATE("          ","5528"," - ","FREIGHT-IN-ART/TECH")</f>
        <v xml:space="preserve">          5528 - FREIGHT-IN-ART/TECH</v>
      </c>
      <c r="C49" s="9"/>
      <c r="D49" s="3"/>
      <c r="E49" s="3"/>
      <c r="F49" s="26">
        <f t="shared" si="4"/>
        <v>0</v>
      </c>
      <c r="G49" s="3"/>
      <c r="H49" s="3"/>
      <c r="I49" s="3"/>
      <c r="J49" s="26">
        <f t="shared" si="5"/>
        <v>0</v>
      </c>
      <c r="K49" s="3"/>
      <c r="L49" s="3">
        <f t="shared" si="6"/>
        <v>0</v>
      </c>
      <c r="M49" s="3"/>
      <c r="N49" s="26">
        <f t="shared" si="7"/>
        <v>0</v>
      </c>
      <c r="O49" s="9"/>
      <c r="P49" s="3">
        <v>0</v>
      </c>
      <c r="Q49" s="3"/>
      <c r="R49" s="26">
        <f t="shared" si="8"/>
        <v>0</v>
      </c>
      <c r="S49" s="3"/>
      <c r="T49" s="3"/>
      <c r="U49" s="3"/>
      <c r="V49" s="26">
        <f t="shared" si="9"/>
        <v>0</v>
      </c>
      <c r="W49" s="3"/>
      <c r="X49" s="3">
        <f t="shared" si="10"/>
        <v>0</v>
      </c>
      <c r="Y49" s="3"/>
      <c r="Z49" s="26">
        <f t="shared" si="11"/>
        <v>0</v>
      </c>
    </row>
    <row r="50" spans="1:26" s="70" customFormat="1" ht="15" hidden="1" customHeight="1" outlineLevel="1" x14ac:dyDescent="0.3">
      <c r="A50" s="48"/>
      <c r="B50" s="9" t="str">
        <f>CONCATENATE("          ","5540"," - ","FREIGHT-IN-LOGO CLOTHING")</f>
        <v xml:space="preserve">          5540 - FREIGHT-IN-LOGO CLOTHING</v>
      </c>
      <c r="C50" s="9"/>
      <c r="D50" s="3"/>
      <c r="E50" s="3"/>
      <c r="F50" s="26">
        <f t="shared" si="4"/>
        <v>0</v>
      </c>
      <c r="G50" s="3"/>
      <c r="H50" s="3"/>
      <c r="I50" s="3"/>
      <c r="J50" s="26">
        <f t="shared" si="5"/>
        <v>0</v>
      </c>
      <c r="K50" s="3"/>
      <c r="L50" s="3">
        <f t="shared" si="6"/>
        <v>0</v>
      </c>
      <c r="M50" s="3"/>
      <c r="N50" s="26">
        <f t="shared" si="7"/>
        <v>0</v>
      </c>
      <c r="O50" s="9"/>
      <c r="P50" s="3">
        <v>0</v>
      </c>
      <c r="Q50" s="3"/>
      <c r="R50" s="26">
        <f t="shared" si="8"/>
        <v>0</v>
      </c>
      <c r="S50" s="3"/>
      <c r="T50" s="3"/>
      <c r="U50" s="3"/>
      <c r="V50" s="26">
        <f t="shared" si="9"/>
        <v>0</v>
      </c>
      <c r="W50" s="3"/>
      <c r="X50" s="3">
        <f t="shared" si="10"/>
        <v>0</v>
      </c>
      <c r="Y50" s="3"/>
      <c r="Z50" s="26">
        <f t="shared" si="11"/>
        <v>0</v>
      </c>
    </row>
    <row r="51" spans="1:26" s="70" customFormat="1" ht="15" hidden="1" customHeight="1" outlineLevel="1" x14ac:dyDescent="0.3">
      <c r="A51" s="48"/>
      <c r="B51" s="9" t="str">
        <f>CONCATENATE("          ","5541"," - ","FREIGHT-IN-LOGO GIFTS")</f>
        <v xml:space="preserve">          5541 - FREIGHT-IN-LOGO GIFTS</v>
      </c>
      <c r="C51" s="9"/>
      <c r="D51" s="3"/>
      <c r="E51" s="3"/>
      <c r="F51" s="26">
        <f t="shared" si="4"/>
        <v>0</v>
      </c>
      <c r="G51" s="3"/>
      <c r="H51" s="3"/>
      <c r="I51" s="3"/>
      <c r="J51" s="26">
        <f t="shared" si="5"/>
        <v>0</v>
      </c>
      <c r="K51" s="3"/>
      <c r="L51" s="3">
        <f t="shared" si="6"/>
        <v>0</v>
      </c>
      <c r="M51" s="3"/>
      <c r="N51" s="26">
        <f t="shared" si="7"/>
        <v>0</v>
      </c>
      <c r="O51" s="9"/>
      <c r="P51" s="3">
        <v>0</v>
      </c>
      <c r="Q51" s="3"/>
      <c r="R51" s="26">
        <f t="shared" si="8"/>
        <v>0</v>
      </c>
      <c r="S51" s="3"/>
      <c r="T51" s="3"/>
      <c r="U51" s="3"/>
      <c r="V51" s="26">
        <f t="shared" si="9"/>
        <v>0</v>
      </c>
      <c r="W51" s="3"/>
      <c r="X51" s="3">
        <f t="shared" si="10"/>
        <v>0</v>
      </c>
      <c r="Y51" s="3"/>
      <c r="Z51" s="26">
        <f t="shared" si="11"/>
        <v>0</v>
      </c>
    </row>
    <row r="52" spans="1:26" s="70" customFormat="1" ht="15" hidden="1" customHeight="1" outlineLevel="1" x14ac:dyDescent="0.3">
      <c r="A52" s="48"/>
      <c r="B52" s="9" t="str">
        <f>CONCATENATE("          ","5542"," - ","FREIGHT-IN-EVERYDAY GIFTS")</f>
        <v xml:space="preserve">          5542 - FREIGHT-IN-EVERYDAY GIFTS</v>
      </c>
      <c r="C52" s="9"/>
      <c r="D52" s="3"/>
      <c r="E52" s="3"/>
      <c r="F52" s="26">
        <f t="shared" si="4"/>
        <v>0</v>
      </c>
      <c r="G52" s="3"/>
      <c r="H52" s="3"/>
      <c r="I52" s="3"/>
      <c r="J52" s="26">
        <f t="shared" si="5"/>
        <v>0</v>
      </c>
      <c r="K52" s="3"/>
      <c r="L52" s="3">
        <f t="shared" si="6"/>
        <v>0</v>
      </c>
      <c r="M52" s="3"/>
      <c r="N52" s="26">
        <f t="shared" si="7"/>
        <v>0</v>
      </c>
      <c r="O52" s="9"/>
      <c r="P52" s="3">
        <v>0</v>
      </c>
      <c r="Q52" s="3"/>
      <c r="R52" s="26">
        <f t="shared" si="8"/>
        <v>0</v>
      </c>
      <c r="S52" s="3"/>
      <c r="T52" s="3"/>
      <c r="U52" s="3"/>
      <c r="V52" s="26">
        <f t="shared" si="9"/>
        <v>0</v>
      </c>
      <c r="W52" s="3"/>
      <c r="X52" s="3">
        <f t="shared" si="10"/>
        <v>0</v>
      </c>
      <c r="Y52" s="3"/>
      <c r="Z52" s="26">
        <f t="shared" si="11"/>
        <v>0</v>
      </c>
    </row>
    <row r="53" spans="1:26" s="70" customFormat="1" ht="15" hidden="1" customHeight="1" outlineLevel="1" x14ac:dyDescent="0.3">
      <c r="A53" s="48"/>
      <c r="B53" s="9" t="str">
        <f>CONCATENATE("          ","5544"," - ","FREIGHT-IN-ACCESSORIES")</f>
        <v xml:space="preserve">          5544 - FREIGHT-IN-ACCESSORIES</v>
      </c>
      <c r="C53" s="9"/>
      <c r="D53" s="3"/>
      <c r="E53" s="3"/>
      <c r="F53" s="26">
        <f t="shared" si="4"/>
        <v>0</v>
      </c>
      <c r="G53" s="3"/>
      <c r="H53" s="3"/>
      <c r="I53" s="3"/>
      <c r="J53" s="26">
        <f t="shared" si="5"/>
        <v>0</v>
      </c>
      <c r="K53" s="3"/>
      <c r="L53" s="3">
        <f t="shared" si="6"/>
        <v>0</v>
      </c>
      <c r="M53" s="3"/>
      <c r="N53" s="26">
        <f t="shared" si="7"/>
        <v>0</v>
      </c>
      <c r="O53" s="9"/>
      <c r="P53" s="3">
        <v>0</v>
      </c>
      <c r="Q53" s="3"/>
      <c r="R53" s="26">
        <f t="shared" si="8"/>
        <v>0</v>
      </c>
      <c r="S53" s="3"/>
      <c r="T53" s="3"/>
      <c r="U53" s="3"/>
      <c r="V53" s="26">
        <f t="shared" si="9"/>
        <v>0</v>
      </c>
      <c r="W53" s="3"/>
      <c r="X53" s="3">
        <f t="shared" si="10"/>
        <v>0</v>
      </c>
      <c r="Y53" s="3"/>
      <c r="Z53" s="26">
        <f t="shared" si="11"/>
        <v>0</v>
      </c>
    </row>
    <row r="54" spans="1:26" s="70" customFormat="1" ht="15" hidden="1" customHeight="1" outlineLevel="1" x14ac:dyDescent="0.3">
      <c r="A54" s="48"/>
      <c r="B54" s="9" t="str">
        <f>CONCATENATE("          ","5545"," - ","FREIGHT-IN-SPECIAL ORDERS")</f>
        <v xml:space="preserve">          5545 - FREIGHT-IN-SPECIAL ORDERS</v>
      </c>
      <c r="C54" s="9"/>
      <c r="D54" s="3"/>
      <c r="E54" s="3"/>
      <c r="F54" s="26">
        <f t="shared" si="4"/>
        <v>0</v>
      </c>
      <c r="G54" s="3"/>
      <c r="H54" s="3"/>
      <c r="I54" s="3"/>
      <c r="J54" s="26">
        <f t="shared" si="5"/>
        <v>0</v>
      </c>
      <c r="K54" s="3"/>
      <c r="L54" s="3">
        <f t="shared" si="6"/>
        <v>0</v>
      </c>
      <c r="M54" s="3"/>
      <c r="N54" s="26">
        <f t="shared" si="7"/>
        <v>0</v>
      </c>
      <c r="O54" s="9"/>
      <c r="P54" s="3">
        <v>0</v>
      </c>
      <c r="Q54" s="3"/>
      <c r="R54" s="26">
        <f t="shared" si="8"/>
        <v>0</v>
      </c>
      <c r="S54" s="3"/>
      <c r="T54" s="3"/>
      <c r="U54" s="3"/>
      <c r="V54" s="26">
        <f t="shared" si="9"/>
        <v>0</v>
      </c>
      <c r="W54" s="3"/>
      <c r="X54" s="3">
        <f t="shared" si="10"/>
        <v>0</v>
      </c>
      <c r="Y54" s="3"/>
      <c r="Z54" s="26">
        <f t="shared" si="11"/>
        <v>0</v>
      </c>
    </row>
    <row r="55" spans="1:26" ht="15" customHeight="1" x14ac:dyDescent="0.3">
      <c r="A55" s="12"/>
      <c r="B55" s="13"/>
      <c r="C55" s="13"/>
      <c r="D55" s="4"/>
      <c r="E55" s="4"/>
      <c r="F55" s="10"/>
      <c r="G55" s="4"/>
      <c r="H55" s="4"/>
      <c r="I55" s="4"/>
      <c r="J55" s="10"/>
      <c r="K55" s="4"/>
      <c r="L55" s="4"/>
      <c r="M55" s="4"/>
      <c r="N55" s="10"/>
      <c r="O55" s="13"/>
      <c r="P55" s="4"/>
      <c r="Q55" s="4"/>
      <c r="R55" s="10"/>
      <c r="S55" s="4"/>
      <c r="T55" s="4"/>
      <c r="U55" s="4"/>
      <c r="V55" s="10"/>
      <c r="W55" s="4"/>
      <c r="X55" s="4"/>
      <c r="Y55" s="4"/>
      <c r="Z55" s="10"/>
    </row>
    <row r="56" spans="1:26" s="63" customFormat="1" ht="15" customHeight="1" x14ac:dyDescent="0.3">
      <c r="A56" s="13"/>
      <c r="B56" s="27" t="s">
        <v>289</v>
      </c>
      <c r="C56" s="27"/>
      <c r="D56" s="23">
        <f>D12-D25</f>
        <v>-148827.94000000006</v>
      </c>
      <c r="E56" s="15"/>
      <c r="F56" s="22">
        <f>IF(D$12=0,0,D56/D$12)</f>
        <v>-0.48482823020912952</v>
      </c>
      <c r="G56" s="15"/>
      <c r="H56" s="23">
        <f>H12-H25</f>
        <v>140600</v>
      </c>
      <c r="I56" s="15"/>
      <c r="J56" s="22">
        <f>IF(H$12=0,0,H56/H$12)</f>
        <v>0.4726050420168067</v>
      </c>
      <c r="K56" s="17"/>
      <c r="L56" s="23">
        <f>+D56-H56</f>
        <v>-289427.94000000006</v>
      </c>
      <c r="M56" s="17"/>
      <c r="N56" s="22">
        <f>IF(H56=0,0,L56/H56)</f>
        <v>-2.0585201991465154</v>
      </c>
      <c r="O56" s="28"/>
      <c r="P56" s="23">
        <f>P12-P25</f>
        <v>3568792.2500000019</v>
      </c>
      <c r="Q56" s="15"/>
      <c r="R56" s="22">
        <f>IF(P$12=0,0,P56/P$12)</f>
        <v>0.42872256743685916</v>
      </c>
      <c r="S56" s="15"/>
      <c r="T56" s="23">
        <f>T12-T25</f>
        <v>3787711</v>
      </c>
      <c r="U56" s="15"/>
      <c r="V56" s="22">
        <f>IF(T$12=0,0,T56/T$12)</f>
        <v>0.4032772073712092</v>
      </c>
      <c r="W56" s="17"/>
      <c r="X56" s="23">
        <f>+P56-T56</f>
        <v>-218918.74999999814</v>
      </c>
      <c r="Y56" s="17"/>
      <c r="Z56" s="22">
        <f>IF(T56=0,0,X56/T56)</f>
        <v>-5.7797110180792075E-2</v>
      </c>
    </row>
    <row r="57" spans="1:26" ht="15" customHeight="1" x14ac:dyDescent="0.3">
      <c r="A57" s="12"/>
      <c r="B57" s="13"/>
      <c r="C57" s="12"/>
      <c r="D57" s="2"/>
      <c r="E57" s="2"/>
      <c r="F57" s="5"/>
      <c r="G57" s="2"/>
      <c r="H57" s="2"/>
      <c r="I57" s="2"/>
      <c r="J57" s="5"/>
      <c r="K57" s="2"/>
      <c r="L57" s="2"/>
      <c r="M57" s="2"/>
      <c r="N57" s="5"/>
      <c r="O57" s="36"/>
      <c r="P57" s="2"/>
      <c r="Q57" s="2"/>
      <c r="R57" s="5"/>
      <c r="S57" s="2"/>
      <c r="T57" s="2"/>
      <c r="U57" s="2"/>
      <c r="V57" s="5"/>
      <c r="W57" s="2"/>
      <c r="X57" s="2"/>
      <c r="Y57" s="2"/>
      <c r="Z57" s="5"/>
    </row>
    <row r="58" spans="1:26" s="63" customFormat="1" ht="15" customHeight="1" x14ac:dyDescent="0.3">
      <c r="A58" s="13"/>
      <c r="B58" s="28" t="s">
        <v>290</v>
      </c>
      <c r="C58" s="13"/>
      <c r="D58" s="24" cm="1">
        <f t="array" ref="D58">SUM(OSRRefD22x_0)</f>
        <v>272793.52000000008</v>
      </c>
      <c r="E58" s="24"/>
      <c r="F58" s="34">
        <f t="shared" ref="F58:F89" si="12">IF(D$12=0,0,D58/D$12)</f>
        <v>0.88866377854936895</v>
      </c>
      <c r="G58" s="24"/>
      <c r="H58" s="24" cm="1">
        <f t="array" ref="H58">SUM(OSRRefH22x_0)</f>
        <v>307047.75167221285</v>
      </c>
      <c r="I58" s="24"/>
      <c r="J58" s="34">
        <f t="shared" ref="J58:J89" si="13">IF(H$12=0,0,H58/H$12)</f>
        <v>1.0320932829318079</v>
      </c>
      <c r="K58" s="8"/>
      <c r="L58" s="24">
        <f t="shared" ref="L58:L89" si="14">+D58-H58</f>
        <v>-34254.231672212773</v>
      </c>
      <c r="M58" s="8"/>
      <c r="N58" s="34">
        <f t="shared" ref="N58:N89" si="15">IF(H58=0,0,L58/H58)</f>
        <v>-0.11155994950512027</v>
      </c>
      <c r="O58" s="13"/>
      <c r="P58" s="24" cm="1">
        <f t="array" ref="P58">SUM(OSRRefP22x_0)</f>
        <v>4181476.9700000007</v>
      </c>
      <c r="Q58" s="24"/>
      <c r="R58" s="34">
        <f t="shared" ref="R58:R89" si="16">IF(P$12=0,0,P58/P$12)</f>
        <v>0.50232499307195533</v>
      </c>
      <c r="S58" s="24"/>
      <c r="T58" s="24" cm="1">
        <f t="array" ref="T58">SUM(OSRRefT22x_0)</f>
        <v>4387094.1277430579</v>
      </c>
      <c r="U58" s="24"/>
      <c r="V58" s="34">
        <f t="shared" ref="V58:V89" si="17">IF(T$12=0,0,T58/T$12)</f>
        <v>0.46709346840634131</v>
      </c>
      <c r="W58" s="8"/>
      <c r="X58" s="24">
        <f t="shared" ref="X58:X89" si="18">+P58-T58</f>
        <v>-205617.15774305724</v>
      </c>
      <c r="Y58" s="8"/>
      <c r="Z58" s="34">
        <f t="shared" ref="Z58:Z89" si="19">IF(T58=0,0,X58/T58)</f>
        <v>-4.6868645111299914E-2</v>
      </c>
    </row>
    <row r="59" spans="1:26" s="69" customFormat="1" ht="15" customHeight="1" outlineLevel="1" collapsed="1" x14ac:dyDescent="0.3">
      <c r="A59" s="20"/>
      <c r="B59" s="11" t="str">
        <f>CONCATENATE("     ","*Benefits                                         ")</f>
        <v xml:space="preserve">     *Benefits                                         </v>
      </c>
      <c r="C59" s="11"/>
      <c r="D59" s="2">
        <f>SUM(OSRRefD22_0x_0)</f>
        <v>33347.519999999997</v>
      </c>
      <c r="E59" s="2"/>
      <c r="F59" s="5">
        <f t="shared" si="12"/>
        <v>0.1086343001419192</v>
      </c>
      <c r="G59" s="2"/>
      <c r="H59" s="2">
        <f>SUM(OSRRefH22_0x_0)</f>
        <v>46827.007907728257</v>
      </c>
      <c r="I59" s="2"/>
      <c r="J59" s="5">
        <f t="shared" si="13"/>
        <v>0.15740170725286809</v>
      </c>
      <c r="K59" s="2"/>
      <c r="L59" s="2">
        <f t="shared" si="14"/>
        <v>-13479.48790772826</v>
      </c>
      <c r="M59" s="2"/>
      <c r="N59" s="5">
        <f t="shared" si="15"/>
        <v>-0.28785712583407719</v>
      </c>
      <c r="O59" s="11"/>
      <c r="P59" s="2">
        <f>SUM(OSRRefP22_0x_0)</f>
        <v>588007.27000000014</v>
      </c>
      <c r="Q59" s="2"/>
      <c r="R59" s="5">
        <f t="shared" si="16"/>
        <v>7.0637898988358983E-2</v>
      </c>
      <c r="S59" s="2"/>
      <c r="T59" s="2">
        <f>SUM(OSRRefT22_0x_0)</f>
        <v>623315.08964129747</v>
      </c>
      <c r="U59" s="2"/>
      <c r="V59" s="5">
        <f t="shared" si="17"/>
        <v>6.6364294599793219E-2</v>
      </c>
      <c r="W59" s="2"/>
      <c r="X59" s="2">
        <f t="shared" si="18"/>
        <v>-35307.819641297334</v>
      </c>
      <c r="Y59" s="2"/>
      <c r="Z59" s="5">
        <f t="shared" si="19"/>
        <v>-5.6645218811590327E-2</v>
      </c>
    </row>
    <row r="60" spans="1:26" s="70" customFormat="1" ht="15" hidden="1" customHeight="1" outlineLevel="2" x14ac:dyDescent="0.3">
      <c r="A60" s="21"/>
      <c r="B60" s="9" t="str">
        <f>CONCATENATE("          ","6111"," - ","F.I.C.A.")</f>
        <v xml:space="preserve">          6111 - F.I.C.A.</v>
      </c>
      <c r="C60" s="9"/>
      <c r="D60" s="6">
        <v>12225.61</v>
      </c>
      <c r="E60" s="3"/>
      <c r="F60" s="7">
        <f t="shared" si="12"/>
        <v>3.9826667355115135E-2</v>
      </c>
      <c r="G60" s="3"/>
      <c r="H60" s="6">
        <v>9259.5489188951506</v>
      </c>
      <c r="I60" s="3"/>
      <c r="J60" s="7">
        <f t="shared" si="13"/>
        <v>3.1124534181160169E-2</v>
      </c>
      <c r="K60" s="3"/>
      <c r="L60" s="6">
        <f t="shared" si="14"/>
        <v>2966.06108110485</v>
      </c>
      <c r="M60" s="3"/>
      <c r="N60" s="7">
        <f t="shared" si="15"/>
        <v>0.32032457596851927</v>
      </c>
      <c r="O60" s="9"/>
      <c r="P60" s="6">
        <v>115745.60000000001</v>
      </c>
      <c r="Q60" s="3"/>
      <c r="R60" s="7">
        <f t="shared" si="16"/>
        <v>1.3904634208259029E-2</v>
      </c>
      <c r="S60" s="3"/>
      <c r="T60" s="6">
        <v>127026.510228179</v>
      </c>
      <c r="U60" s="3"/>
      <c r="V60" s="7">
        <f t="shared" si="17"/>
        <v>1.3524499706268607E-2</v>
      </c>
      <c r="W60" s="3"/>
      <c r="X60" s="6">
        <f t="shared" si="18"/>
        <v>-11280.910228178996</v>
      </c>
      <c r="Y60" s="3"/>
      <c r="Z60" s="7">
        <f t="shared" si="19"/>
        <v>-8.8807526932094594E-2</v>
      </c>
    </row>
    <row r="61" spans="1:26" s="70" customFormat="1" ht="15" hidden="1" customHeight="1" outlineLevel="2" x14ac:dyDescent="0.3">
      <c r="A61" s="21"/>
      <c r="B61" s="9" t="str">
        <f>CONCATENATE("          ","6112"," - ","COMPENSATION INSURANCE")</f>
        <v xml:space="preserve">          6112 - COMPENSATION INSURANCE</v>
      </c>
      <c r="C61" s="9"/>
      <c r="D61" s="6">
        <v>-17062.560000000001</v>
      </c>
      <c r="E61" s="3"/>
      <c r="F61" s="7">
        <f t="shared" si="12"/>
        <v>-5.5583721495016877E-2</v>
      </c>
      <c r="G61" s="3"/>
      <c r="H61" s="6">
        <v>2726.3259538646198</v>
      </c>
      <c r="I61" s="3"/>
      <c r="J61" s="7">
        <f t="shared" si="13"/>
        <v>9.1641208533264525E-3</v>
      </c>
      <c r="K61" s="3"/>
      <c r="L61" s="6">
        <f t="shared" si="14"/>
        <v>-19788.885953864621</v>
      </c>
      <c r="M61" s="3"/>
      <c r="N61" s="7">
        <f t="shared" si="15"/>
        <v>-7.2584446206124005</v>
      </c>
      <c r="O61" s="9"/>
      <c r="P61" s="6">
        <v>13531.16</v>
      </c>
      <c r="Q61" s="3"/>
      <c r="R61" s="7">
        <f t="shared" si="16"/>
        <v>1.6255117275596326E-3</v>
      </c>
      <c r="S61" s="3"/>
      <c r="T61" s="6">
        <v>40290.096126739998</v>
      </c>
      <c r="U61" s="3"/>
      <c r="V61" s="7">
        <f t="shared" si="17"/>
        <v>4.2896824627616202E-3</v>
      </c>
      <c r="W61" s="3"/>
      <c r="X61" s="6">
        <f t="shared" si="18"/>
        <v>-26758.936126739998</v>
      </c>
      <c r="Y61" s="3"/>
      <c r="Z61" s="7">
        <f t="shared" si="19"/>
        <v>-0.66415667122175093</v>
      </c>
    </row>
    <row r="62" spans="1:26" s="70" customFormat="1" ht="15" hidden="1" customHeight="1" outlineLevel="2" x14ac:dyDescent="0.3">
      <c r="A62" s="21"/>
      <c r="B62" s="9" t="str">
        <f>CONCATENATE("          ","6113"," - ","GROUP INSURANCE")</f>
        <v xml:space="preserve">          6113 - GROUP INSURANCE</v>
      </c>
      <c r="C62" s="9"/>
      <c r="D62" s="6">
        <v>17898.29</v>
      </c>
      <c r="E62" s="3"/>
      <c r="F62" s="7">
        <f t="shared" si="12"/>
        <v>5.8306231104655201E-2</v>
      </c>
      <c r="G62" s="3"/>
      <c r="H62" s="6">
        <v>17692.9230769231</v>
      </c>
      <c r="I62" s="3"/>
      <c r="J62" s="7">
        <f t="shared" si="13"/>
        <v>5.9472010342598657E-2</v>
      </c>
      <c r="K62" s="3"/>
      <c r="L62" s="6">
        <f t="shared" si="14"/>
        <v>205.366923076901</v>
      </c>
      <c r="M62" s="3"/>
      <c r="N62" s="7">
        <f t="shared" si="15"/>
        <v>1.1607291920279771E-2</v>
      </c>
      <c r="O62" s="9"/>
      <c r="P62" s="6">
        <v>211921.2</v>
      </c>
      <c r="Q62" s="3"/>
      <c r="R62" s="7">
        <f t="shared" si="16"/>
        <v>2.5458304825196839E-2</v>
      </c>
      <c r="S62" s="3"/>
      <c r="T62" s="6">
        <v>221530.5</v>
      </c>
      <c r="U62" s="3"/>
      <c r="V62" s="7">
        <f t="shared" si="17"/>
        <v>2.3586329946383888E-2</v>
      </c>
      <c r="W62" s="3"/>
      <c r="X62" s="6">
        <f t="shared" si="18"/>
        <v>-9609.2999999999884</v>
      </c>
      <c r="Y62" s="3"/>
      <c r="Z62" s="7">
        <f t="shared" si="19"/>
        <v>-4.3376871356314316E-2</v>
      </c>
    </row>
    <row r="63" spans="1:26" s="70" customFormat="1" ht="15" hidden="1" customHeight="1" outlineLevel="2" x14ac:dyDescent="0.3">
      <c r="A63" s="21"/>
      <c r="B63" s="9" t="str">
        <f>CONCATENATE("          ","6114"," - ","STATE UNEMPLOYMENT INSURANCE")</f>
        <v xml:space="preserve">          6114 - STATE UNEMPLOYMENT INSURANCE</v>
      </c>
      <c r="C63" s="9"/>
      <c r="D63" s="6"/>
      <c r="E63" s="3"/>
      <c r="F63" s="7">
        <f t="shared" si="12"/>
        <v>0</v>
      </c>
      <c r="G63" s="3"/>
      <c r="H63" s="6">
        <v>330.351435006923</v>
      </c>
      <c r="I63" s="3"/>
      <c r="J63" s="7">
        <f t="shared" si="13"/>
        <v>1.1104249916199093E-3</v>
      </c>
      <c r="K63" s="3"/>
      <c r="L63" s="6">
        <f t="shared" si="14"/>
        <v>-330.351435006923</v>
      </c>
      <c r="M63" s="3"/>
      <c r="N63" s="7">
        <f t="shared" si="15"/>
        <v>-1</v>
      </c>
      <c r="O63" s="9"/>
      <c r="P63" s="6">
        <v>5478.3</v>
      </c>
      <c r="Q63" s="3"/>
      <c r="R63" s="7">
        <f t="shared" si="16"/>
        <v>6.5811363527516753E-4</v>
      </c>
      <c r="S63" s="3"/>
      <c r="T63" s="6">
        <v>4861.2309964938404</v>
      </c>
      <c r="U63" s="3"/>
      <c r="V63" s="7">
        <f t="shared" si="17"/>
        <v>5.1757477290437324E-4</v>
      </c>
      <c r="W63" s="3"/>
      <c r="X63" s="6">
        <f t="shared" si="18"/>
        <v>617.06900350615979</v>
      </c>
      <c r="Y63" s="3"/>
      <c r="Z63" s="7">
        <f t="shared" si="19"/>
        <v>0.1269367787606103</v>
      </c>
    </row>
    <row r="64" spans="1:26" s="70" customFormat="1" ht="15" hidden="1" customHeight="1" outlineLevel="2" x14ac:dyDescent="0.3">
      <c r="A64" s="21"/>
      <c r="B64" s="9" t="str">
        <f>CONCATENATE("          ","6115"," - ","P.E.R.S.")</f>
        <v xml:space="preserve">          6115 - P.E.R.S.</v>
      </c>
      <c r="C64" s="9"/>
      <c r="D64" s="6">
        <v>5501.09</v>
      </c>
      <c r="E64" s="3"/>
      <c r="F64" s="7">
        <f t="shared" si="12"/>
        <v>1.7920584864113145E-2</v>
      </c>
      <c r="G64" s="3"/>
      <c r="H64" s="6">
        <v>4613.5268585692302</v>
      </c>
      <c r="I64" s="3"/>
      <c r="J64" s="7">
        <f t="shared" si="13"/>
        <v>1.550765330611506E-2</v>
      </c>
      <c r="K64" s="3"/>
      <c r="L64" s="6">
        <f t="shared" si="14"/>
        <v>887.56314143076997</v>
      </c>
      <c r="M64" s="3"/>
      <c r="N64" s="7">
        <f t="shared" si="15"/>
        <v>0.19238278406945819</v>
      </c>
      <c r="O64" s="9"/>
      <c r="P64" s="6">
        <v>80274.78</v>
      </c>
      <c r="Q64" s="3"/>
      <c r="R64" s="7">
        <f t="shared" si="16"/>
        <v>9.6434892734451032E-3</v>
      </c>
      <c r="S64" s="3"/>
      <c r="T64" s="6">
        <v>61793.442622938397</v>
      </c>
      <c r="U64" s="3"/>
      <c r="V64" s="7">
        <f t="shared" si="17"/>
        <v>6.57914159101147E-3</v>
      </c>
      <c r="W64" s="3"/>
      <c r="X64" s="6">
        <f t="shared" si="18"/>
        <v>18481.337377061602</v>
      </c>
      <c r="Y64" s="3"/>
      <c r="Z64" s="7">
        <f t="shared" si="19"/>
        <v>0.29908250119408508</v>
      </c>
    </row>
    <row r="65" spans="1:26" s="70" customFormat="1" ht="15" hidden="1" customHeight="1" outlineLevel="2" x14ac:dyDescent="0.3">
      <c r="A65" s="21"/>
      <c r="B65" s="9" t="str">
        <f>CONCATENATE("          ","6116"," - ","EDUCATIONAL BENEFITS")</f>
        <v xml:space="preserve">          6116 - EDUCATIONAL BENEFITS</v>
      </c>
      <c r="C65" s="9"/>
      <c r="D65" s="6"/>
      <c r="E65" s="3"/>
      <c r="F65" s="7">
        <f t="shared" si="12"/>
        <v>0</v>
      </c>
      <c r="G65" s="3"/>
      <c r="H65" s="6">
        <v>0</v>
      </c>
      <c r="I65" s="3"/>
      <c r="J65" s="7">
        <f t="shared" si="13"/>
        <v>0</v>
      </c>
      <c r="K65" s="3"/>
      <c r="L65" s="6">
        <f t="shared" si="14"/>
        <v>0</v>
      </c>
      <c r="M65" s="3"/>
      <c r="N65" s="7">
        <f t="shared" si="15"/>
        <v>0</v>
      </c>
      <c r="O65" s="9"/>
      <c r="P65" s="6"/>
      <c r="Q65" s="3"/>
      <c r="R65" s="7">
        <f t="shared" si="16"/>
        <v>0</v>
      </c>
      <c r="S65" s="3"/>
      <c r="T65" s="6">
        <v>0</v>
      </c>
      <c r="U65" s="3"/>
      <c r="V65" s="7">
        <f t="shared" si="17"/>
        <v>0</v>
      </c>
      <c r="W65" s="3"/>
      <c r="X65" s="6">
        <f t="shared" si="18"/>
        <v>0</v>
      </c>
      <c r="Y65" s="3"/>
      <c r="Z65" s="7">
        <f t="shared" si="19"/>
        <v>0</v>
      </c>
    </row>
    <row r="66" spans="1:26" s="70" customFormat="1" ht="15" hidden="1" customHeight="1" outlineLevel="2" x14ac:dyDescent="0.3">
      <c r="A66" s="21"/>
      <c r="B66" s="9" t="str">
        <f>CONCATENATE("          ","6117"," - ","RETIREMENT STAFF HOURLY")</f>
        <v xml:space="preserve">          6117 - RETIREMENT STAFF HOURLY</v>
      </c>
      <c r="C66" s="9"/>
      <c r="D66" s="6">
        <v>855.96</v>
      </c>
      <c r="E66" s="3"/>
      <c r="F66" s="7">
        <f t="shared" si="12"/>
        <v>2.78841171845694E-3</v>
      </c>
      <c r="G66" s="3"/>
      <c r="H66" s="6"/>
      <c r="I66" s="3"/>
      <c r="J66" s="7">
        <f t="shared" si="13"/>
        <v>0</v>
      </c>
      <c r="K66" s="3"/>
      <c r="L66" s="6">
        <f t="shared" si="14"/>
        <v>855.96</v>
      </c>
      <c r="M66" s="3"/>
      <c r="N66" s="7">
        <f t="shared" si="15"/>
        <v>0</v>
      </c>
      <c r="O66" s="9"/>
      <c r="P66" s="6">
        <v>9572.7099999999991</v>
      </c>
      <c r="Q66" s="3"/>
      <c r="R66" s="7">
        <f t="shared" si="16"/>
        <v>1.1499791865240948E-3</v>
      </c>
      <c r="S66" s="3"/>
      <c r="T66" s="6"/>
      <c r="U66" s="3"/>
      <c r="V66" s="7">
        <f t="shared" si="17"/>
        <v>0</v>
      </c>
      <c r="W66" s="3"/>
      <c r="X66" s="6">
        <f t="shared" si="18"/>
        <v>9572.7099999999991</v>
      </c>
      <c r="Y66" s="3"/>
      <c r="Z66" s="7">
        <f t="shared" si="19"/>
        <v>0</v>
      </c>
    </row>
    <row r="67" spans="1:26" s="70" customFormat="1" ht="15" hidden="1" customHeight="1" outlineLevel="2" x14ac:dyDescent="0.3">
      <c r="A67" s="21"/>
      <c r="B67" s="9" t="str">
        <f>CONCATENATE("          ","6118"," - ","VACATION")</f>
        <v xml:space="preserve">          6118 - VACATION</v>
      </c>
      <c r="C67" s="9"/>
      <c r="D67" s="6">
        <v>5953.81</v>
      </c>
      <c r="E67" s="3"/>
      <c r="F67" s="7">
        <f t="shared" si="12"/>
        <v>1.9395384800067892E-2</v>
      </c>
      <c r="G67" s="3"/>
      <c r="H67" s="6">
        <v>4024.5376188230798</v>
      </c>
      <c r="I67" s="3"/>
      <c r="J67" s="7">
        <f t="shared" si="13"/>
        <v>1.3527857542262453E-2</v>
      </c>
      <c r="K67" s="3"/>
      <c r="L67" s="6">
        <f t="shared" si="14"/>
        <v>1929.2723811769206</v>
      </c>
      <c r="M67" s="3"/>
      <c r="N67" s="7">
        <f t="shared" si="15"/>
        <v>0.47937740031390474</v>
      </c>
      <c r="O67" s="9"/>
      <c r="P67" s="6">
        <v>78316.539999999994</v>
      </c>
      <c r="Q67" s="3"/>
      <c r="R67" s="7">
        <f t="shared" si="16"/>
        <v>9.4082439518779672E-3</v>
      </c>
      <c r="S67" s="3"/>
      <c r="T67" s="6">
        <v>54432.469813930802</v>
      </c>
      <c r="U67" s="3"/>
      <c r="V67" s="7">
        <f t="shared" si="17"/>
        <v>5.795419559961058E-3</v>
      </c>
      <c r="W67" s="3"/>
      <c r="X67" s="6">
        <f t="shared" si="18"/>
        <v>23884.070186069192</v>
      </c>
      <c r="Y67" s="3"/>
      <c r="Z67" s="7">
        <f t="shared" si="19"/>
        <v>0.43878351042517982</v>
      </c>
    </row>
    <row r="68" spans="1:26" s="70" customFormat="1" ht="15" hidden="1" customHeight="1" outlineLevel="2" x14ac:dyDescent="0.3">
      <c r="A68" s="21"/>
      <c r="B68" s="9" t="str">
        <f>CONCATENATE("          ","6119"," - ","SICK LEAVE")</f>
        <v xml:space="preserve">          6119 - SICK LEAVE</v>
      </c>
      <c r="C68" s="9"/>
      <c r="D68" s="6">
        <v>4147.1400000000003</v>
      </c>
      <c r="E68" s="3"/>
      <c r="F68" s="7">
        <f t="shared" si="12"/>
        <v>1.3509899731391087E-2</v>
      </c>
      <c r="G68" s="3"/>
      <c r="H68" s="6">
        <v>5904.7940456461502</v>
      </c>
      <c r="I68" s="3"/>
      <c r="J68" s="7">
        <f t="shared" si="13"/>
        <v>1.9848047212255967E-2</v>
      </c>
      <c r="K68" s="3"/>
      <c r="L68" s="6">
        <f t="shared" si="14"/>
        <v>-1757.6540456461498</v>
      </c>
      <c r="M68" s="3"/>
      <c r="N68" s="7">
        <f t="shared" si="15"/>
        <v>-0.29766559715019036</v>
      </c>
      <c r="O68" s="9"/>
      <c r="P68" s="6">
        <v>34932.81</v>
      </c>
      <c r="Q68" s="3"/>
      <c r="R68" s="7">
        <f t="shared" si="16"/>
        <v>4.1965132576669267E-3</v>
      </c>
      <c r="S68" s="3"/>
      <c r="T68" s="6">
        <v>85205.839853015394</v>
      </c>
      <c r="U68" s="3"/>
      <c r="V68" s="7">
        <f t="shared" si="17"/>
        <v>9.0718571579622969E-3</v>
      </c>
      <c r="W68" s="3"/>
      <c r="X68" s="6">
        <f t="shared" si="18"/>
        <v>-50273.029853015396</v>
      </c>
      <c r="Y68" s="3"/>
      <c r="Z68" s="7">
        <f t="shared" si="19"/>
        <v>-0.59001859426230696</v>
      </c>
    </row>
    <row r="69" spans="1:26" s="70" customFormat="1" ht="15" hidden="1" customHeight="1" outlineLevel="2" x14ac:dyDescent="0.3">
      <c r="A69" s="21"/>
      <c r="B69" s="9" t="str">
        <f>CONCATENATE("          ","6156"," - ","EMPLOYEE MEALS")</f>
        <v xml:space="preserve">          6156 - EMPLOYEE MEALS</v>
      </c>
      <c r="C69" s="9"/>
      <c r="D69" s="6">
        <v>3828.18</v>
      </c>
      <c r="E69" s="3"/>
      <c r="F69" s="7">
        <f t="shared" si="12"/>
        <v>1.2470842063136697E-2</v>
      </c>
      <c r="G69" s="3"/>
      <c r="H69" s="6">
        <v>2275</v>
      </c>
      <c r="I69" s="3"/>
      <c r="J69" s="7">
        <f t="shared" si="13"/>
        <v>7.6470588235294122E-3</v>
      </c>
      <c r="K69" s="3"/>
      <c r="L69" s="6">
        <f t="shared" si="14"/>
        <v>1553.1799999999998</v>
      </c>
      <c r="M69" s="3"/>
      <c r="N69" s="7">
        <f t="shared" si="15"/>
        <v>0.6827164835164834</v>
      </c>
      <c r="O69" s="9"/>
      <c r="P69" s="6">
        <v>38234.17</v>
      </c>
      <c r="Q69" s="3"/>
      <c r="R69" s="7">
        <f t="shared" si="16"/>
        <v>4.5931089225542138E-3</v>
      </c>
      <c r="S69" s="3"/>
      <c r="T69" s="6">
        <v>28175</v>
      </c>
      <c r="U69" s="3"/>
      <c r="V69" s="7">
        <f t="shared" si="17"/>
        <v>2.9997894025399034E-3</v>
      </c>
      <c r="W69" s="3"/>
      <c r="X69" s="6">
        <f t="shared" si="18"/>
        <v>10059.169999999998</v>
      </c>
      <c r="Y69" s="3"/>
      <c r="Z69" s="7">
        <f t="shared" si="19"/>
        <v>0.35702466725820758</v>
      </c>
    </row>
    <row r="70" spans="1:26" s="69" customFormat="1" ht="15" customHeight="1" outlineLevel="1" collapsed="1" x14ac:dyDescent="0.3">
      <c r="A70" s="20"/>
      <c r="B70" s="11" t="str">
        <f>CONCATENATE("     ","*Payroll                                          ")</f>
        <v xml:space="preserve">     *Payroll                                          </v>
      </c>
      <c r="C70" s="11"/>
      <c r="D70" s="2">
        <f>SUM(OSRRefD22_1x_0)</f>
        <v>147499.60999999999</v>
      </c>
      <c r="E70" s="2"/>
      <c r="F70" s="5">
        <f t="shared" si="12"/>
        <v>0.48050100587857891</v>
      </c>
      <c r="G70" s="2"/>
      <c r="H70" s="2">
        <f>SUM(OSRRefH22_1x_0)</f>
        <v>149740.24376448459</v>
      </c>
      <c r="I70" s="2"/>
      <c r="J70" s="5">
        <f t="shared" si="13"/>
        <v>0.50332855046885572</v>
      </c>
      <c r="K70" s="2"/>
      <c r="L70" s="2">
        <f t="shared" si="14"/>
        <v>-2240.6337644846062</v>
      </c>
      <c r="M70" s="2"/>
      <c r="N70" s="5">
        <f t="shared" si="15"/>
        <v>-1.4963470795524642E-2</v>
      </c>
      <c r="O70" s="11"/>
      <c r="P70" s="2">
        <f>SUM(OSRRefP22_1x_0)</f>
        <v>2150479.9000000004</v>
      </c>
      <c r="Q70" s="2"/>
      <c r="R70" s="5">
        <f t="shared" si="16"/>
        <v>0.25833929222115964</v>
      </c>
      <c r="S70" s="2"/>
      <c r="T70" s="2">
        <f>SUM(OSRRefT22_1x_0)</f>
        <v>2215199.7881017607</v>
      </c>
      <c r="U70" s="2"/>
      <c r="V70" s="5">
        <f t="shared" si="17"/>
        <v>0.2358520975636664</v>
      </c>
      <c r="W70" s="2"/>
      <c r="X70" s="2">
        <f t="shared" si="18"/>
        <v>-64719.888101760298</v>
      </c>
      <c r="Y70" s="2"/>
      <c r="Z70" s="5">
        <f t="shared" si="19"/>
        <v>-2.9216275863415363E-2</v>
      </c>
    </row>
    <row r="71" spans="1:26" s="70" customFormat="1" ht="15" hidden="1" customHeight="1" outlineLevel="2" x14ac:dyDescent="0.3">
      <c r="A71" s="21"/>
      <c r="B71" s="9" t="str">
        <f>CONCATENATE("          ","6001"," - ","ADMINISTRATIVE SALARIES")</f>
        <v xml:space="preserve">          6001 - ADMINISTRATIVE SALARIES</v>
      </c>
      <c r="C71" s="9"/>
      <c r="D71" s="6">
        <v>5124.17</v>
      </c>
      <c r="E71" s="3"/>
      <c r="F71" s="7">
        <f t="shared" si="12"/>
        <v>1.6692714233568738E-2</v>
      </c>
      <c r="G71" s="3"/>
      <c r="H71" s="6">
        <v>4139.8076923076896</v>
      </c>
      <c r="I71" s="3"/>
      <c r="J71" s="7">
        <f t="shared" si="13"/>
        <v>1.3915319974143494E-2</v>
      </c>
      <c r="K71" s="3"/>
      <c r="L71" s="6">
        <f t="shared" si="14"/>
        <v>984.36230769231042</v>
      </c>
      <c r="M71" s="3"/>
      <c r="N71" s="7">
        <f t="shared" si="15"/>
        <v>0.23777971849305604</v>
      </c>
      <c r="O71" s="9"/>
      <c r="P71" s="6">
        <v>56517.3</v>
      </c>
      <c r="Q71" s="3"/>
      <c r="R71" s="7">
        <f t="shared" si="16"/>
        <v>6.7894795390791357E-3</v>
      </c>
      <c r="S71" s="3"/>
      <c r="T71" s="6">
        <v>53817.5</v>
      </c>
      <c r="U71" s="3"/>
      <c r="V71" s="7">
        <f t="shared" si="17"/>
        <v>5.7299437860227594E-3</v>
      </c>
      <c r="W71" s="3"/>
      <c r="X71" s="6">
        <f t="shared" si="18"/>
        <v>2699.8000000000029</v>
      </c>
      <c r="Y71" s="3"/>
      <c r="Z71" s="7">
        <f t="shared" si="19"/>
        <v>5.0165838249640042E-2</v>
      </c>
    </row>
    <row r="72" spans="1:26" s="70" customFormat="1" ht="15" hidden="1" customHeight="1" outlineLevel="2" x14ac:dyDescent="0.3">
      <c r="A72" s="21"/>
      <c r="B72" s="9" t="str">
        <f>CONCATENATE("          ","6002"," - ","STAFF SALARIES")</f>
        <v xml:space="preserve">          6002 - STAFF SALARIES</v>
      </c>
      <c r="C72" s="9"/>
      <c r="D72" s="6">
        <v>40444.89</v>
      </c>
      <c r="E72" s="3"/>
      <c r="F72" s="7">
        <f t="shared" si="12"/>
        <v>0.13175499465828064</v>
      </c>
      <c r="G72" s="3"/>
      <c r="H72" s="6">
        <v>44231.773854176899</v>
      </c>
      <c r="I72" s="3"/>
      <c r="J72" s="7">
        <f t="shared" si="13"/>
        <v>0.14867823144261141</v>
      </c>
      <c r="K72" s="3"/>
      <c r="L72" s="6">
        <f t="shared" si="14"/>
        <v>-3786.8838541769001</v>
      </c>
      <c r="M72" s="3"/>
      <c r="N72" s="7">
        <f t="shared" si="15"/>
        <v>-8.5614559946464747E-2</v>
      </c>
      <c r="O72" s="9"/>
      <c r="P72" s="6">
        <v>682493.39</v>
      </c>
      <c r="Q72" s="3"/>
      <c r="R72" s="7">
        <f t="shared" si="16"/>
        <v>8.1988610690209129E-2</v>
      </c>
      <c r="S72" s="3"/>
      <c r="T72" s="6">
        <v>592977.64664276096</v>
      </c>
      <c r="U72" s="3"/>
      <c r="V72" s="7">
        <f t="shared" si="17"/>
        <v>6.3134270109742888E-2</v>
      </c>
      <c r="W72" s="3"/>
      <c r="X72" s="6">
        <f t="shared" si="18"/>
        <v>89515.743357239058</v>
      </c>
      <c r="Y72" s="3"/>
      <c r="Z72" s="7">
        <f t="shared" si="19"/>
        <v>0.15095972649904588</v>
      </c>
    </row>
    <row r="73" spans="1:26" s="70" customFormat="1" ht="15" hidden="1" customHeight="1" outlineLevel="2" x14ac:dyDescent="0.3">
      <c r="A73" s="21"/>
      <c r="B73" s="9" t="str">
        <f>CONCATENATE("          ","6003"," - ","STAFF HOURLY-9 MONTH")</f>
        <v xml:space="preserve">          6003 - STAFF HOURLY-9 MONTH</v>
      </c>
      <c r="C73" s="9"/>
      <c r="D73" s="6"/>
      <c r="E73" s="3"/>
      <c r="F73" s="7">
        <f t="shared" si="12"/>
        <v>0</v>
      </c>
      <c r="G73" s="3"/>
      <c r="H73" s="6">
        <v>0</v>
      </c>
      <c r="I73" s="3"/>
      <c r="J73" s="7">
        <f t="shared" si="13"/>
        <v>0</v>
      </c>
      <c r="K73" s="3"/>
      <c r="L73" s="6">
        <f t="shared" si="14"/>
        <v>0</v>
      </c>
      <c r="M73" s="3"/>
      <c r="N73" s="7">
        <f t="shared" si="15"/>
        <v>0</v>
      </c>
      <c r="O73" s="9"/>
      <c r="P73" s="6"/>
      <c r="Q73" s="3"/>
      <c r="R73" s="7">
        <f t="shared" si="16"/>
        <v>0</v>
      </c>
      <c r="S73" s="3"/>
      <c r="T73" s="6">
        <v>0</v>
      </c>
      <c r="U73" s="3"/>
      <c r="V73" s="7">
        <f t="shared" si="17"/>
        <v>0</v>
      </c>
      <c r="W73" s="3"/>
      <c r="X73" s="6">
        <f t="shared" si="18"/>
        <v>0</v>
      </c>
      <c r="Y73" s="3"/>
      <c r="Z73" s="7">
        <f t="shared" si="19"/>
        <v>0</v>
      </c>
    </row>
    <row r="74" spans="1:26" s="70" customFormat="1" ht="15" hidden="1" customHeight="1" outlineLevel="2" x14ac:dyDescent="0.3">
      <c r="A74" s="21"/>
      <c r="B74" s="9" t="str">
        <f>CONCATENATE("          ","6004"," - ","STAFF HOURLY")</f>
        <v xml:space="preserve">          6004 - STAFF HOURLY</v>
      </c>
      <c r="C74" s="9"/>
      <c r="D74" s="6">
        <v>28456.720000000001</v>
      </c>
      <c r="E74" s="3"/>
      <c r="F74" s="7">
        <f t="shared" si="12"/>
        <v>9.270182195061448E-2</v>
      </c>
      <c r="G74" s="3"/>
      <c r="H74" s="6">
        <v>37741.525068000003</v>
      </c>
      <c r="I74" s="3"/>
      <c r="J74" s="7">
        <f t="shared" si="13"/>
        <v>0.12686226913613446</v>
      </c>
      <c r="K74" s="3"/>
      <c r="L74" s="6">
        <f t="shared" si="14"/>
        <v>-9284.8050680000015</v>
      </c>
      <c r="M74" s="3"/>
      <c r="N74" s="7">
        <f t="shared" si="15"/>
        <v>-0.24601033082980348</v>
      </c>
      <c r="O74" s="9"/>
      <c r="P74" s="6">
        <v>329847.59000000003</v>
      </c>
      <c r="Q74" s="3"/>
      <c r="R74" s="7">
        <f t="shared" si="16"/>
        <v>3.9624919508178272E-2</v>
      </c>
      <c r="S74" s="3"/>
      <c r="T74" s="6">
        <v>489750.32193400001</v>
      </c>
      <c r="U74" s="3"/>
      <c r="V74" s="7">
        <f t="shared" si="17"/>
        <v>5.2143667280501127E-2</v>
      </c>
      <c r="W74" s="3"/>
      <c r="X74" s="6">
        <f t="shared" si="18"/>
        <v>-159902.73193399998</v>
      </c>
      <c r="Y74" s="3"/>
      <c r="Z74" s="7">
        <f t="shared" si="19"/>
        <v>-0.32649847232882245</v>
      </c>
    </row>
    <row r="75" spans="1:26" s="70" customFormat="1" ht="15" hidden="1" customHeight="1" outlineLevel="2" x14ac:dyDescent="0.3">
      <c r="A75" s="21"/>
      <c r="B75" s="9" t="str">
        <f>CONCATENATE("          ","6005"," - ","TEMPORARY WAGES-HOURLY")</f>
        <v xml:space="preserve">          6005 - TEMPORARY WAGES-HOURLY</v>
      </c>
      <c r="C75" s="9"/>
      <c r="D75" s="6">
        <v>5572.59</v>
      </c>
      <c r="E75" s="3"/>
      <c r="F75" s="7">
        <f t="shared" si="12"/>
        <v>1.8153506306551659E-2</v>
      </c>
      <c r="G75" s="3"/>
      <c r="H75" s="6">
        <v>2396.66</v>
      </c>
      <c r="I75" s="3"/>
      <c r="J75" s="7">
        <f t="shared" si="13"/>
        <v>8.0559999999999989E-3</v>
      </c>
      <c r="K75" s="3"/>
      <c r="L75" s="6">
        <f t="shared" si="14"/>
        <v>3175.9300000000003</v>
      </c>
      <c r="M75" s="3"/>
      <c r="N75" s="7">
        <f t="shared" si="15"/>
        <v>1.325148331427904</v>
      </c>
      <c r="O75" s="9"/>
      <c r="P75" s="6">
        <v>115567.36</v>
      </c>
      <c r="Q75" s="3"/>
      <c r="R75" s="7">
        <f t="shared" si="16"/>
        <v>1.388322205953562E-2</v>
      </c>
      <c r="S75" s="3"/>
      <c r="T75" s="6">
        <v>36028.160000000003</v>
      </c>
      <c r="U75" s="3"/>
      <c r="V75" s="7">
        <f t="shared" si="17"/>
        <v>3.8359145540731872E-3</v>
      </c>
      <c r="W75" s="3"/>
      <c r="X75" s="6">
        <f t="shared" si="18"/>
        <v>79539.199999999997</v>
      </c>
      <c r="Y75" s="3"/>
      <c r="Z75" s="7">
        <f t="shared" si="19"/>
        <v>2.207695313887803</v>
      </c>
    </row>
    <row r="76" spans="1:26" s="70" customFormat="1" ht="15" hidden="1" customHeight="1" outlineLevel="2" x14ac:dyDescent="0.3">
      <c r="A76" s="21"/>
      <c r="B76" s="9" t="str">
        <f>CONCATENATE("          ","6006"," - ","TEMPORARY PART TIME")</f>
        <v xml:space="preserve">          6006 - TEMPORARY PART TIME</v>
      </c>
      <c r="C76" s="9"/>
      <c r="D76" s="6">
        <v>4148.8900000000003</v>
      </c>
      <c r="E76" s="3"/>
      <c r="F76" s="7">
        <f t="shared" si="12"/>
        <v>1.3515600605856364E-2</v>
      </c>
      <c r="G76" s="3"/>
      <c r="H76" s="6">
        <v>0</v>
      </c>
      <c r="I76" s="3"/>
      <c r="J76" s="7">
        <f t="shared" si="13"/>
        <v>0</v>
      </c>
      <c r="K76" s="3"/>
      <c r="L76" s="6">
        <f t="shared" si="14"/>
        <v>4148.8900000000003</v>
      </c>
      <c r="M76" s="3"/>
      <c r="N76" s="7">
        <f t="shared" si="15"/>
        <v>0</v>
      </c>
      <c r="O76" s="9"/>
      <c r="P76" s="6">
        <v>30294.87</v>
      </c>
      <c r="Q76" s="3"/>
      <c r="R76" s="7">
        <f t="shared" si="16"/>
        <v>3.6393529061731949E-3</v>
      </c>
      <c r="S76" s="3"/>
      <c r="T76" s="6">
        <v>0</v>
      </c>
      <c r="U76" s="3"/>
      <c r="V76" s="7">
        <f t="shared" si="17"/>
        <v>0</v>
      </c>
      <c r="W76" s="3"/>
      <c r="X76" s="6">
        <f t="shared" si="18"/>
        <v>30294.87</v>
      </c>
      <c r="Y76" s="3"/>
      <c r="Z76" s="7">
        <f t="shared" si="19"/>
        <v>0</v>
      </c>
    </row>
    <row r="77" spans="1:26" s="70" customFormat="1" ht="15" hidden="1" customHeight="1" outlineLevel="2" x14ac:dyDescent="0.3">
      <c r="A77" s="21"/>
      <c r="B77" s="9" t="str">
        <f>CONCATENATE("          ","6007"," - ","STUDENT HOURLY")</f>
        <v xml:space="preserve">          6007 - STUDENT HOURLY</v>
      </c>
      <c r="C77" s="9"/>
      <c r="D77" s="6">
        <v>56195.05</v>
      </c>
      <c r="E77" s="3"/>
      <c r="F77" s="7">
        <f t="shared" si="12"/>
        <v>0.18306338606859393</v>
      </c>
      <c r="G77" s="3"/>
      <c r="H77" s="6">
        <v>27441.011350000001</v>
      </c>
      <c r="I77" s="3"/>
      <c r="J77" s="7">
        <f t="shared" si="13"/>
        <v>9.2238693613445374E-2</v>
      </c>
      <c r="K77" s="3"/>
      <c r="L77" s="6">
        <f t="shared" si="14"/>
        <v>28754.038650000002</v>
      </c>
      <c r="M77" s="3"/>
      <c r="N77" s="7">
        <f t="shared" si="15"/>
        <v>1.04784908556222</v>
      </c>
      <c r="O77" s="9"/>
      <c r="P77" s="6">
        <v>802101.63</v>
      </c>
      <c r="Q77" s="3"/>
      <c r="R77" s="7">
        <f t="shared" si="16"/>
        <v>9.6357267688778891E-2</v>
      </c>
      <c r="S77" s="3"/>
      <c r="T77" s="6">
        <v>423139.97334999999</v>
      </c>
      <c r="U77" s="3"/>
      <c r="V77" s="7">
        <f t="shared" si="17"/>
        <v>4.5051670198628116E-2</v>
      </c>
      <c r="W77" s="3"/>
      <c r="X77" s="6">
        <f t="shared" si="18"/>
        <v>378961.65665000002</v>
      </c>
      <c r="Y77" s="3"/>
      <c r="Z77" s="7">
        <f t="shared" si="19"/>
        <v>0.89559408356000936</v>
      </c>
    </row>
    <row r="78" spans="1:26" s="70" customFormat="1" ht="15" hidden="1" customHeight="1" outlineLevel="2" x14ac:dyDescent="0.3">
      <c r="A78" s="21"/>
      <c r="B78" s="9" t="str">
        <f>CONCATENATE("          ","6008"," - ","STUDENT HOURLY-FICA EXEMPT")</f>
        <v xml:space="preserve">          6008 - STUDENT HOURLY-FICA EXEMPT</v>
      </c>
      <c r="C78" s="9"/>
      <c r="D78" s="6">
        <v>7557.3</v>
      </c>
      <c r="E78" s="3"/>
      <c r="F78" s="7">
        <f t="shared" si="12"/>
        <v>2.4618982055113127E-2</v>
      </c>
      <c r="G78" s="3"/>
      <c r="H78" s="6">
        <v>33789.465799999998</v>
      </c>
      <c r="I78" s="3"/>
      <c r="J78" s="7">
        <f t="shared" si="13"/>
        <v>0.113578036302521</v>
      </c>
      <c r="K78" s="3"/>
      <c r="L78" s="6">
        <f t="shared" si="14"/>
        <v>-26232.165799999999</v>
      </c>
      <c r="M78" s="3"/>
      <c r="N78" s="7">
        <f t="shared" si="15"/>
        <v>-0.77634153659807192</v>
      </c>
      <c r="O78" s="9"/>
      <c r="P78" s="6">
        <v>133657.76</v>
      </c>
      <c r="Q78" s="3"/>
      <c r="R78" s="7">
        <f t="shared" si="16"/>
        <v>1.6056439829205387E-2</v>
      </c>
      <c r="S78" s="3"/>
      <c r="T78" s="6">
        <v>619486.18617500004</v>
      </c>
      <c r="U78" s="3"/>
      <c r="V78" s="7">
        <f t="shared" si="17"/>
        <v>6.5956631634698379E-2</v>
      </c>
      <c r="W78" s="3"/>
      <c r="X78" s="6">
        <f t="shared" si="18"/>
        <v>-485828.42617500003</v>
      </c>
      <c r="Y78" s="3"/>
      <c r="Z78" s="7">
        <f t="shared" si="19"/>
        <v>-0.78424416398166019</v>
      </c>
    </row>
    <row r="79" spans="1:26" s="70" customFormat="1" ht="15" hidden="1" customHeight="1" outlineLevel="2" x14ac:dyDescent="0.3">
      <c r="A79" s="21"/>
      <c r="B79" s="9" t="str">
        <f>CONCATENATE("          ","6009"," - ","TEMPORARY-SEASONAL")</f>
        <v xml:space="preserve">          6009 - TEMPORARY-SEASONAL</v>
      </c>
      <c r="C79" s="9"/>
      <c r="D79" s="6"/>
      <c r="E79" s="3"/>
      <c r="F79" s="7">
        <f t="shared" si="12"/>
        <v>0</v>
      </c>
      <c r="G79" s="3"/>
      <c r="H79" s="6">
        <v>0</v>
      </c>
      <c r="I79" s="3"/>
      <c r="J79" s="7">
        <f t="shared" si="13"/>
        <v>0</v>
      </c>
      <c r="K79" s="3"/>
      <c r="L79" s="6">
        <f t="shared" si="14"/>
        <v>0</v>
      </c>
      <c r="M79" s="3"/>
      <c r="N79" s="7">
        <f t="shared" si="15"/>
        <v>0</v>
      </c>
      <c r="O79" s="9"/>
      <c r="P79" s="6"/>
      <c r="Q79" s="3"/>
      <c r="R79" s="7">
        <f t="shared" si="16"/>
        <v>0</v>
      </c>
      <c r="S79" s="3"/>
      <c r="T79" s="6">
        <v>0</v>
      </c>
      <c r="U79" s="3"/>
      <c r="V79" s="7">
        <f t="shared" si="17"/>
        <v>0</v>
      </c>
      <c r="W79" s="3"/>
      <c r="X79" s="6">
        <f t="shared" si="18"/>
        <v>0</v>
      </c>
      <c r="Y79" s="3"/>
      <c r="Z79" s="7">
        <f t="shared" si="19"/>
        <v>0</v>
      </c>
    </row>
    <row r="80" spans="1:26" s="70" customFormat="1" ht="15" hidden="1" customHeight="1" outlineLevel="2" x14ac:dyDescent="0.3">
      <c r="A80" s="21"/>
      <c r="B80" s="9" t="str">
        <f>CONCATENATE("          ","6010"," - ","GRATUITY")</f>
        <v xml:space="preserve">          6010 - GRATUITY</v>
      </c>
      <c r="C80" s="9"/>
      <c r="D80" s="6"/>
      <c r="E80" s="3"/>
      <c r="F80" s="7">
        <f t="shared" si="12"/>
        <v>0</v>
      </c>
      <c r="G80" s="3"/>
      <c r="H80" s="6">
        <v>0</v>
      </c>
      <c r="I80" s="3"/>
      <c r="J80" s="7">
        <f t="shared" si="13"/>
        <v>0</v>
      </c>
      <c r="K80" s="3"/>
      <c r="L80" s="6">
        <f t="shared" si="14"/>
        <v>0</v>
      </c>
      <c r="M80" s="3"/>
      <c r="N80" s="7">
        <f t="shared" si="15"/>
        <v>0</v>
      </c>
      <c r="O80" s="9"/>
      <c r="P80" s="6"/>
      <c r="Q80" s="3"/>
      <c r="R80" s="7">
        <f t="shared" si="16"/>
        <v>0</v>
      </c>
      <c r="S80" s="3"/>
      <c r="T80" s="6">
        <v>0</v>
      </c>
      <c r="U80" s="3"/>
      <c r="V80" s="7">
        <f t="shared" si="17"/>
        <v>0</v>
      </c>
      <c r="W80" s="3"/>
      <c r="X80" s="6">
        <f t="shared" si="18"/>
        <v>0</v>
      </c>
      <c r="Y80" s="3"/>
      <c r="Z80" s="7">
        <f t="shared" si="19"/>
        <v>0</v>
      </c>
    </row>
    <row r="81" spans="1:26" s="69" customFormat="1" ht="15" customHeight="1" outlineLevel="1" collapsed="1" x14ac:dyDescent="0.3">
      <c r="A81" s="20"/>
      <c r="B81" s="11" t="str">
        <f>CONCATENATE("     ","Advertising/Promo                                 ")</f>
        <v xml:space="preserve">     Advertising/Promo                                 </v>
      </c>
      <c r="C81" s="11"/>
      <c r="D81" s="2">
        <f>SUM(OSRRefD22_2x_0)</f>
        <v>6464.7</v>
      </c>
      <c r="E81" s="2"/>
      <c r="F81" s="5">
        <f t="shared" si="12"/>
        <v>2.1059681803248492E-2</v>
      </c>
      <c r="G81" s="2"/>
      <c r="H81" s="2">
        <f>SUM(OSRRefH22_2x_0)</f>
        <v>300</v>
      </c>
      <c r="I81" s="2"/>
      <c r="J81" s="5">
        <f t="shared" si="13"/>
        <v>1.0084033613445378E-3</v>
      </c>
      <c r="K81" s="2"/>
      <c r="L81" s="2">
        <f t="shared" si="14"/>
        <v>6164.7</v>
      </c>
      <c r="M81" s="2"/>
      <c r="N81" s="5">
        <f t="shared" si="15"/>
        <v>20.548999999999999</v>
      </c>
      <c r="O81" s="11"/>
      <c r="P81" s="2">
        <f>SUM(OSRRefP22_2x_0)</f>
        <v>20575.03</v>
      </c>
      <c r="Q81" s="2"/>
      <c r="R81" s="5">
        <f t="shared" si="16"/>
        <v>2.4716988462106181E-3</v>
      </c>
      <c r="S81" s="2"/>
      <c r="T81" s="2">
        <f>SUM(OSRRefT22_2x_0)</f>
        <v>7100</v>
      </c>
      <c r="U81" s="2"/>
      <c r="V81" s="5">
        <f t="shared" si="17"/>
        <v>7.5593628245016202E-4</v>
      </c>
      <c r="W81" s="2"/>
      <c r="X81" s="2">
        <f t="shared" si="18"/>
        <v>13475.029999999999</v>
      </c>
      <c r="Y81" s="2"/>
      <c r="Z81" s="5">
        <f t="shared" si="19"/>
        <v>1.8978915492957744</v>
      </c>
    </row>
    <row r="82" spans="1:26" s="70" customFormat="1" ht="15" hidden="1" customHeight="1" outlineLevel="2" x14ac:dyDescent="0.3">
      <c r="A82" s="21"/>
      <c r="B82" s="9" t="str">
        <f>CONCATENATE("          ","6362"," - ","ADVERTISING EXPENSE")</f>
        <v xml:space="preserve">          6362 - ADVERTISING EXPENSE</v>
      </c>
      <c r="C82" s="9"/>
      <c r="D82" s="6">
        <v>6464.7</v>
      </c>
      <c r="E82" s="3"/>
      <c r="F82" s="7">
        <f t="shared" si="12"/>
        <v>2.1059681803248492E-2</v>
      </c>
      <c r="G82" s="3"/>
      <c r="H82" s="6">
        <v>300</v>
      </c>
      <c r="I82" s="3"/>
      <c r="J82" s="7">
        <f t="shared" si="13"/>
        <v>1.0084033613445378E-3</v>
      </c>
      <c r="K82" s="3"/>
      <c r="L82" s="6">
        <f t="shared" si="14"/>
        <v>6164.7</v>
      </c>
      <c r="M82" s="3"/>
      <c r="N82" s="7">
        <f t="shared" si="15"/>
        <v>20.548999999999999</v>
      </c>
      <c r="O82" s="9"/>
      <c r="P82" s="6">
        <v>20575.03</v>
      </c>
      <c r="Q82" s="3"/>
      <c r="R82" s="7">
        <f t="shared" si="16"/>
        <v>2.4716988462106181E-3</v>
      </c>
      <c r="S82" s="3"/>
      <c r="T82" s="6">
        <v>7100</v>
      </c>
      <c r="U82" s="3"/>
      <c r="V82" s="7">
        <f t="shared" si="17"/>
        <v>7.5593628245016202E-4</v>
      </c>
      <c r="W82" s="3"/>
      <c r="X82" s="6">
        <f t="shared" si="18"/>
        <v>13475.029999999999</v>
      </c>
      <c r="Y82" s="3"/>
      <c r="Z82" s="7">
        <f t="shared" si="19"/>
        <v>1.8978915492957744</v>
      </c>
    </row>
    <row r="83" spans="1:26" s="69" customFormat="1" ht="15" customHeight="1" outlineLevel="1" collapsed="1" x14ac:dyDescent="0.3">
      <c r="A83" s="20"/>
      <c r="B83" s="11" t="str">
        <f>CONCATENATE("     ","Bad Debts/Over/Short                              ")</f>
        <v xml:space="preserve">     Bad Debts/Over/Short                              </v>
      </c>
      <c r="C83" s="11"/>
      <c r="D83" s="2">
        <f>SUM(OSRRefD22_3x_0)</f>
        <v>-39.18</v>
      </c>
      <c r="E83" s="2"/>
      <c r="F83" s="5">
        <f t="shared" si="12"/>
        <v>-1.2763443517120298E-4</v>
      </c>
      <c r="G83" s="2"/>
      <c r="H83" s="2">
        <f>SUM(OSRRefH22_3x_0)</f>
        <v>235</v>
      </c>
      <c r="I83" s="2"/>
      <c r="J83" s="5">
        <f t="shared" si="13"/>
        <v>7.8991596638655463E-4</v>
      </c>
      <c r="K83" s="2"/>
      <c r="L83" s="2">
        <f t="shared" si="14"/>
        <v>-274.18</v>
      </c>
      <c r="M83" s="2"/>
      <c r="N83" s="5">
        <f t="shared" si="15"/>
        <v>-1.1667234042553192</v>
      </c>
      <c r="O83" s="11"/>
      <c r="P83" s="2">
        <f>SUM(OSRRefP22_3x_0)</f>
        <v>-34.299999999999997</v>
      </c>
      <c r="Q83" s="2"/>
      <c r="R83" s="5">
        <f t="shared" si="16"/>
        <v>-4.1204931621010614E-6</v>
      </c>
      <c r="S83" s="2"/>
      <c r="T83" s="2">
        <f>SUM(OSRRefT22_3x_0)</f>
        <v>2820</v>
      </c>
      <c r="U83" s="2"/>
      <c r="V83" s="5">
        <f t="shared" si="17"/>
        <v>3.0024511500133195E-4</v>
      </c>
      <c r="W83" s="2"/>
      <c r="X83" s="2">
        <f t="shared" si="18"/>
        <v>-2854.3</v>
      </c>
      <c r="Y83" s="2"/>
      <c r="Z83" s="5">
        <f t="shared" si="19"/>
        <v>-1.012163120567376</v>
      </c>
    </row>
    <row r="84" spans="1:26" s="70" customFormat="1" ht="15" hidden="1" customHeight="1" outlineLevel="2" x14ac:dyDescent="0.3">
      <c r="A84" s="21"/>
      <c r="B84" s="9" t="str">
        <f>CONCATENATE("          ","6272"," - ","CASH (OVER/SHORT)")</f>
        <v xml:space="preserve">          6272 - CASH (OVER/SHORT)</v>
      </c>
      <c r="C84" s="9"/>
      <c r="D84" s="6">
        <v>-39.18</v>
      </c>
      <c r="E84" s="3"/>
      <c r="F84" s="7">
        <f t="shared" si="12"/>
        <v>-1.2763443517120298E-4</v>
      </c>
      <c r="G84" s="3"/>
      <c r="H84" s="6">
        <v>235</v>
      </c>
      <c r="I84" s="3"/>
      <c r="J84" s="7">
        <f t="shared" si="13"/>
        <v>7.8991596638655463E-4</v>
      </c>
      <c r="K84" s="3"/>
      <c r="L84" s="6">
        <f t="shared" si="14"/>
        <v>-274.18</v>
      </c>
      <c r="M84" s="3"/>
      <c r="N84" s="7">
        <f t="shared" si="15"/>
        <v>-1.1667234042553192</v>
      </c>
      <c r="O84" s="9"/>
      <c r="P84" s="6">
        <v>-34.299999999999997</v>
      </c>
      <c r="Q84" s="3"/>
      <c r="R84" s="7">
        <f t="shared" si="16"/>
        <v>-4.1204931621010614E-6</v>
      </c>
      <c r="S84" s="3"/>
      <c r="T84" s="6">
        <v>2820</v>
      </c>
      <c r="U84" s="3"/>
      <c r="V84" s="7">
        <f t="shared" si="17"/>
        <v>3.0024511500133195E-4</v>
      </c>
      <c r="W84" s="3"/>
      <c r="X84" s="6">
        <f t="shared" si="18"/>
        <v>-2854.3</v>
      </c>
      <c r="Y84" s="3"/>
      <c r="Z84" s="7">
        <f t="shared" si="19"/>
        <v>-1.012163120567376</v>
      </c>
    </row>
    <row r="85" spans="1:26" s="69" customFormat="1" ht="15" customHeight="1" outlineLevel="1" collapsed="1" x14ac:dyDescent="0.3">
      <c r="A85" s="20"/>
      <c r="B85" s="11" t="str">
        <f>CONCATENATE("     ","Bank/card Fees                                    ")</f>
        <v xml:space="preserve">     Bank/card Fees                                    </v>
      </c>
      <c r="C85" s="11"/>
      <c r="D85" s="2">
        <f>SUM(OSRRefD22_4x_0)</f>
        <v>6997.75</v>
      </c>
      <c r="E85" s="2"/>
      <c r="F85" s="5">
        <f t="shared" si="12"/>
        <v>2.2796168165372274E-2</v>
      </c>
      <c r="G85" s="2"/>
      <c r="H85" s="2">
        <f>SUM(OSRRefH22_4x_0)</f>
        <v>7825.5</v>
      </c>
      <c r="I85" s="2"/>
      <c r="J85" s="5">
        <f t="shared" si="13"/>
        <v>2.6304201680672268E-2</v>
      </c>
      <c r="K85" s="2"/>
      <c r="L85" s="2">
        <f t="shared" si="14"/>
        <v>-827.75</v>
      </c>
      <c r="M85" s="2"/>
      <c r="N85" s="5">
        <f t="shared" si="15"/>
        <v>-0.10577598875471216</v>
      </c>
      <c r="O85" s="11"/>
      <c r="P85" s="2">
        <f>SUM(OSRRefP22_4x_0)</f>
        <v>171740.52</v>
      </c>
      <c r="Q85" s="2"/>
      <c r="R85" s="5">
        <f t="shared" si="16"/>
        <v>2.0631359717658327E-2</v>
      </c>
      <c r="S85" s="2"/>
      <c r="T85" s="2">
        <f>SUM(OSRRefT22_4x_0)</f>
        <v>208591.25</v>
      </c>
      <c r="U85" s="2"/>
      <c r="V85" s="5">
        <f t="shared" si="17"/>
        <v>2.2208689306567938E-2</v>
      </c>
      <c r="W85" s="2"/>
      <c r="X85" s="2">
        <f t="shared" si="18"/>
        <v>-36850.73000000001</v>
      </c>
      <c r="Y85" s="2"/>
      <c r="Z85" s="5">
        <f t="shared" si="19"/>
        <v>-0.17666479298628304</v>
      </c>
    </row>
    <row r="86" spans="1:26" s="70" customFormat="1" ht="15" hidden="1" customHeight="1" outlineLevel="2" x14ac:dyDescent="0.3">
      <c r="A86" s="21"/>
      <c r="B86" s="9" t="str">
        <f>CONCATENATE("          ","6381"," - ","BANK/CREDIT CARD FEES")</f>
        <v xml:space="preserve">          6381 - BANK/CREDIT CARD FEES</v>
      </c>
      <c r="C86" s="9"/>
      <c r="D86" s="6">
        <v>6997.75</v>
      </c>
      <c r="E86" s="3"/>
      <c r="F86" s="7">
        <f t="shared" si="12"/>
        <v>2.2796168165372274E-2</v>
      </c>
      <c r="G86" s="3"/>
      <c r="H86" s="6">
        <v>7825.5</v>
      </c>
      <c r="I86" s="3"/>
      <c r="J86" s="7">
        <f t="shared" si="13"/>
        <v>2.6304201680672268E-2</v>
      </c>
      <c r="K86" s="3"/>
      <c r="L86" s="6">
        <f t="shared" si="14"/>
        <v>-827.75</v>
      </c>
      <c r="M86" s="3"/>
      <c r="N86" s="7">
        <f t="shared" si="15"/>
        <v>-0.10577598875471216</v>
      </c>
      <c r="O86" s="9"/>
      <c r="P86" s="6">
        <v>171740.52</v>
      </c>
      <c r="Q86" s="3"/>
      <c r="R86" s="7">
        <f t="shared" si="16"/>
        <v>2.0631359717658327E-2</v>
      </c>
      <c r="S86" s="3"/>
      <c r="T86" s="6">
        <v>208591.25</v>
      </c>
      <c r="U86" s="3"/>
      <c r="V86" s="7">
        <f t="shared" si="17"/>
        <v>2.2208689306567938E-2</v>
      </c>
      <c r="W86" s="3"/>
      <c r="X86" s="6">
        <f t="shared" si="18"/>
        <v>-36850.73000000001</v>
      </c>
      <c r="Y86" s="3"/>
      <c r="Z86" s="7">
        <f t="shared" si="19"/>
        <v>-0.17666479298628304</v>
      </c>
    </row>
    <row r="87" spans="1:26" s="69" customFormat="1" ht="15" customHeight="1" outlineLevel="1" collapsed="1" x14ac:dyDescent="0.3">
      <c r="A87" s="20"/>
      <c r="B87" s="11" t="str">
        <f>CONCATENATE("     ","Depreciation                                      ")</f>
        <v xml:space="preserve">     Depreciation                                      </v>
      </c>
      <c r="C87" s="11"/>
      <c r="D87" s="2">
        <f>SUM(OSRRefD22_5x_0)</f>
        <v>22546.45</v>
      </c>
      <c r="E87" s="2"/>
      <c r="F87" s="5">
        <f t="shared" si="12"/>
        <v>7.3448274907242719E-2</v>
      </c>
      <c r="G87" s="2"/>
      <c r="H87" s="2">
        <f>SUM(OSRRefH22_5x_0)</f>
        <v>22425</v>
      </c>
      <c r="I87" s="2"/>
      <c r="J87" s="5">
        <f t="shared" si="13"/>
        <v>7.5378151260504206E-2</v>
      </c>
      <c r="K87" s="2"/>
      <c r="L87" s="2">
        <f t="shared" si="14"/>
        <v>121.45000000000073</v>
      </c>
      <c r="M87" s="2"/>
      <c r="N87" s="5">
        <f t="shared" si="15"/>
        <v>5.415830546265361E-3</v>
      </c>
      <c r="O87" s="11"/>
      <c r="P87" s="2">
        <f>SUM(OSRRefP22_5x_0)</f>
        <v>394747.68999999994</v>
      </c>
      <c r="Q87" s="2"/>
      <c r="R87" s="5">
        <f t="shared" si="16"/>
        <v>4.7421433160355374E-2</v>
      </c>
      <c r="S87" s="2"/>
      <c r="T87" s="2">
        <f>SUM(OSRRefT22_5x_0)</f>
        <v>393285</v>
      </c>
      <c r="U87" s="2"/>
      <c r="V87" s="5">
        <f t="shared" si="17"/>
        <v>4.1873014203297455E-2</v>
      </c>
      <c r="W87" s="2"/>
      <c r="X87" s="2">
        <f t="shared" si="18"/>
        <v>1462.6899999999441</v>
      </c>
      <c r="Y87" s="2"/>
      <c r="Z87" s="5">
        <f t="shared" si="19"/>
        <v>3.7191604053038994E-3</v>
      </c>
    </row>
    <row r="88" spans="1:26" s="70" customFormat="1" ht="15" hidden="1" customHeight="1" outlineLevel="2" x14ac:dyDescent="0.3">
      <c r="A88" s="21"/>
      <c r="B88" s="9" t="str">
        <f>CONCATENATE("          ","6321"," - ","BUILDING DEPRECIATION")</f>
        <v xml:space="preserve">          6321 - BUILDING DEPRECIATION</v>
      </c>
      <c r="C88" s="9"/>
      <c r="D88" s="6">
        <v>18401.95</v>
      </c>
      <c r="E88" s="3"/>
      <c r="F88" s="7">
        <f t="shared" si="12"/>
        <v>5.994697535218782E-2</v>
      </c>
      <c r="G88" s="3"/>
      <c r="H88" s="6"/>
      <c r="I88" s="3"/>
      <c r="J88" s="7">
        <f t="shared" si="13"/>
        <v>0</v>
      </c>
      <c r="K88" s="3"/>
      <c r="L88" s="6">
        <f t="shared" si="14"/>
        <v>18401.95</v>
      </c>
      <c r="M88" s="3"/>
      <c r="N88" s="7">
        <f t="shared" si="15"/>
        <v>0</v>
      </c>
      <c r="O88" s="9"/>
      <c r="P88" s="6">
        <v>240085.11</v>
      </c>
      <c r="Q88" s="3"/>
      <c r="R88" s="7">
        <f t="shared" si="16"/>
        <v>2.8841663384177294E-2</v>
      </c>
      <c r="S88" s="3"/>
      <c r="T88" s="6"/>
      <c r="U88" s="3"/>
      <c r="V88" s="7">
        <f t="shared" si="17"/>
        <v>0</v>
      </c>
      <c r="W88" s="3"/>
      <c r="X88" s="6">
        <f t="shared" si="18"/>
        <v>240085.11</v>
      </c>
      <c r="Y88" s="3"/>
      <c r="Z88" s="7">
        <f t="shared" si="19"/>
        <v>0</v>
      </c>
    </row>
    <row r="89" spans="1:26" s="70" customFormat="1" ht="15" hidden="1" customHeight="1" outlineLevel="2" x14ac:dyDescent="0.3">
      <c r="A89" s="21"/>
      <c r="B89" s="9" t="str">
        <f>CONCATENATE("          ","6322"," - ","EQUIPMENT DEPRECIATION EXPENSE")</f>
        <v xml:space="preserve">          6322 - EQUIPMENT DEPRECIATION EXPENSE</v>
      </c>
      <c r="C89" s="9"/>
      <c r="D89" s="6">
        <v>4144.5</v>
      </c>
      <c r="E89" s="3"/>
      <c r="F89" s="7">
        <f t="shared" si="12"/>
        <v>1.3501299555054894E-2</v>
      </c>
      <c r="G89" s="3"/>
      <c r="H89" s="6">
        <v>22425</v>
      </c>
      <c r="I89" s="3"/>
      <c r="J89" s="7">
        <f t="shared" si="13"/>
        <v>7.5378151260504206E-2</v>
      </c>
      <c r="K89" s="3"/>
      <c r="L89" s="6">
        <f t="shared" si="14"/>
        <v>-18280.5</v>
      </c>
      <c r="M89" s="3"/>
      <c r="N89" s="7">
        <f t="shared" si="15"/>
        <v>-0.81518394648829429</v>
      </c>
      <c r="O89" s="9"/>
      <c r="P89" s="6">
        <v>154662.57999999999</v>
      </c>
      <c r="Q89" s="3"/>
      <c r="R89" s="7">
        <f t="shared" si="16"/>
        <v>1.8579769776178087E-2</v>
      </c>
      <c r="S89" s="3"/>
      <c r="T89" s="6">
        <v>393285</v>
      </c>
      <c r="U89" s="3"/>
      <c r="V89" s="7">
        <f t="shared" si="17"/>
        <v>4.1873014203297455E-2</v>
      </c>
      <c r="W89" s="3"/>
      <c r="X89" s="6">
        <f t="shared" si="18"/>
        <v>-238622.42</v>
      </c>
      <c r="Y89" s="3"/>
      <c r="Z89" s="7">
        <f t="shared" si="19"/>
        <v>-0.60674172673760762</v>
      </c>
    </row>
    <row r="90" spans="1:26" s="69" customFormat="1" ht="15" customHeight="1" outlineLevel="1" collapsed="1" x14ac:dyDescent="0.3">
      <c r="A90" s="20"/>
      <c r="B90" s="11" t="str">
        <f>CONCATENATE("     ","Discounts and Markdowns                           ")</f>
        <v xml:space="preserve">     Discounts and Markdowns                           </v>
      </c>
      <c r="C90" s="11"/>
      <c r="D90" s="2">
        <f>SUM(OSRRefD22_6x_0)</f>
        <v>30.17</v>
      </c>
      <c r="E90" s="2"/>
      <c r="F90" s="5">
        <f t="shared" ref="F90:F121" si="20">IF(D$12=0,0,D90/D$12)</f>
        <v>9.8283075781398525E-5</v>
      </c>
      <c r="G90" s="2"/>
      <c r="H90" s="2">
        <f>SUM(OSRRefH22_6x_0)</f>
        <v>0</v>
      </c>
      <c r="I90" s="2"/>
      <c r="J90" s="5">
        <f t="shared" ref="J90:J121" si="21">IF(H$12=0,0,H90/H$12)</f>
        <v>0</v>
      </c>
      <c r="K90" s="2"/>
      <c r="L90" s="2">
        <f t="shared" ref="L90:L121" si="22">+D90-H90</f>
        <v>30.17</v>
      </c>
      <c r="M90" s="2"/>
      <c r="N90" s="5">
        <f t="shared" ref="N90:N121" si="23">IF(H90=0,0,L90/H90)</f>
        <v>0</v>
      </c>
      <c r="O90" s="11"/>
      <c r="P90" s="2">
        <f>SUM(OSRRefP22_6x_0)</f>
        <v>2019.25</v>
      </c>
      <c r="Q90" s="2"/>
      <c r="R90" s="5">
        <f t="shared" ref="R90:R121" si="24">IF(P$12=0,0,P90/P$12)</f>
        <v>2.4257451363185332E-4</v>
      </c>
      <c r="S90" s="2"/>
      <c r="T90" s="2">
        <f>SUM(OSRRefT22_6x_0)</f>
        <v>0</v>
      </c>
      <c r="U90" s="2"/>
      <c r="V90" s="5">
        <f t="shared" ref="V90:V121" si="25">IF(T$12=0,0,T90/T$12)</f>
        <v>0</v>
      </c>
      <c r="W90" s="2"/>
      <c r="X90" s="2">
        <f t="shared" ref="X90:X121" si="26">+P90-T90</f>
        <v>2019.25</v>
      </c>
      <c r="Y90" s="2"/>
      <c r="Z90" s="5">
        <f t="shared" ref="Z90:Z121" si="27">IF(T90=0,0,X90/T90)</f>
        <v>0</v>
      </c>
    </row>
    <row r="91" spans="1:26" s="70" customFormat="1" ht="15" hidden="1" customHeight="1" outlineLevel="2" x14ac:dyDescent="0.3">
      <c r="A91" s="21"/>
      <c r="B91" s="9" t="str">
        <f>CONCATENATE("          ","6382"," - ","DISCOUNTS/MARK DOWNS")</f>
        <v xml:space="preserve">          6382 - DISCOUNTS/MARK DOWNS</v>
      </c>
      <c r="C91" s="9"/>
      <c r="D91" s="6"/>
      <c r="E91" s="3"/>
      <c r="F91" s="7">
        <f t="shared" si="20"/>
        <v>0</v>
      </c>
      <c r="G91" s="3"/>
      <c r="H91" s="6"/>
      <c r="I91" s="3"/>
      <c r="J91" s="7">
        <f t="shared" si="21"/>
        <v>0</v>
      </c>
      <c r="K91" s="3"/>
      <c r="L91" s="6">
        <f t="shared" si="22"/>
        <v>0</v>
      </c>
      <c r="M91" s="3"/>
      <c r="N91" s="7">
        <f t="shared" si="23"/>
        <v>0</v>
      </c>
      <c r="O91" s="9"/>
      <c r="P91" s="6">
        <v>2171.35</v>
      </c>
      <c r="Q91" s="3"/>
      <c r="R91" s="7">
        <f t="shared" si="24"/>
        <v>2.6084643812035392E-4</v>
      </c>
      <c r="S91" s="3"/>
      <c r="T91" s="6">
        <v>0</v>
      </c>
      <c r="U91" s="3"/>
      <c r="V91" s="7">
        <f t="shared" si="25"/>
        <v>0</v>
      </c>
      <c r="W91" s="3"/>
      <c r="X91" s="6">
        <f t="shared" si="26"/>
        <v>2171.35</v>
      </c>
      <c r="Y91" s="3"/>
      <c r="Z91" s="7">
        <f t="shared" si="27"/>
        <v>0</v>
      </c>
    </row>
    <row r="92" spans="1:26" s="70" customFormat="1" ht="15" hidden="1" customHeight="1" outlineLevel="2" x14ac:dyDescent="0.3">
      <c r="A92" s="21"/>
      <c r="B92" s="9" t="str">
        <f>CONCATENATE("          ","9175"," - ","EARNED DISCOUNTS")</f>
        <v xml:space="preserve">          9175 - EARNED DISCOUNTS</v>
      </c>
      <c r="C92" s="9"/>
      <c r="D92" s="6">
        <v>30.17</v>
      </c>
      <c r="E92" s="3"/>
      <c r="F92" s="7">
        <f t="shared" si="20"/>
        <v>9.8283075781398525E-5</v>
      </c>
      <c r="G92" s="3"/>
      <c r="H92" s="6"/>
      <c r="I92" s="3"/>
      <c r="J92" s="7">
        <f t="shared" si="21"/>
        <v>0</v>
      </c>
      <c r="K92" s="3"/>
      <c r="L92" s="6">
        <f t="shared" si="22"/>
        <v>30.17</v>
      </c>
      <c r="M92" s="3"/>
      <c r="N92" s="7">
        <f t="shared" si="23"/>
        <v>0</v>
      </c>
      <c r="O92" s="9"/>
      <c r="P92" s="6">
        <v>-152.1</v>
      </c>
      <c r="Q92" s="3"/>
      <c r="R92" s="7">
        <f t="shared" si="24"/>
        <v>-1.8271924488500624E-5</v>
      </c>
      <c r="S92" s="3"/>
      <c r="T92" s="6"/>
      <c r="U92" s="3"/>
      <c r="V92" s="7">
        <f t="shared" si="25"/>
        <v>0</v>
      </c>
      <c r="W92" s="3"/>
      <c r="X92" s="6">
        <f t="shared" si="26"/>
        <v>-152.1</v>
      </c>
      <c r="Y92" s="3"/>
      <c r="Z92" s="7">
        <f t="shared" si="27"/>
        <v>0</v>
      </c>
    </row>
    <row r="93" spans="1:26" s="69" customFormat="1" ht="15" customHeight="1" outlineLevel="1" collapsed="1" x14ac:dyDescent="0.3">
      <c r="A93" s="20"/>
      <c r="B93" s="11" t="str">
        <f>CONCATENATE("     ","Donations                                         ")</f>
        <v xml:space="preserve">     Donations                                         </v>
      </c>
      <c r="C93" s="11"/>
      <c r="D93" s="2">
        <f>SUM(OSRRefD22_7x_0)</f>
        <v>2379.11</v>
      </c>
      <c r="E93" s="2"/>
      <c r="F93" s="5">
        <f t="shared" si="20"/>
        <v>7.7502899709076247E-3</v>
      </c>
      <c r="G93" s="2"/>
      <c r="H93" s="2">
        <f>SUM(OSRRefH22_7x_0)</f>
        <v>1250</v>
      </c>
      <c r="I93" s="2"/>
      <c r="J93" s="5">
        <f t="shared" si="21"/>
        <v>4.2016806722689074E-3</v>
      </c>
      <c r="K93" s="2"/>
      <c r="L93" s="2">
        <f t="shared" si="22"/>
        <v>1129.1100000000001</v>
      </c>
      <c r="M93" s="2"/>
      <c r="N93" s="5">
        <f t="shared" si="23"/>
        <v>0.90328800000000009</v>
      </c>
      <c r="O93" s="11"/>
      <c r="P93" s="2">
        <f>SUM(OSRRefP22_7x_0)</f>
        <v>9817.98</v>
      </c>
      <c r="Q93" s="2"/>
      <c r="R93" s="5">
        <f t="shared" si="24"/>
        <v>1.179443715908017E-3</v>
      </c>
      <c r="S93" s="2"/>
      <c r="T93" s="2">
        <f>SUM(OSRRefT22_7x_0)</f>
        <v>15000</v>
      </c>
      <c r="U93" s="2"/>
      <c r="V93" s="5">
        <f t="shared" si="25"/>
        <v>1.597048484049638E-3</v>
      </c>
      <c r="W93" s="2"/>
      <c r="X93" s="2">
        <f t="shared" si="26"/>
        <v>-5182.0200000000004</v>
      </c>
      <c r="Y93" s="2"/>
      <c r="Z93" s="5">
        <f t="shared" si="27"/>
        <v>-0.34546800000000005</v>
      </c>
    </row>
    <row r="94" spans="1:26" s="70" customFormat="1" ht="15" hidden="1" customHeight="1" outlineLevel="2" x14ac:dyDescent="0.3">
      <c r="A94" s="21"/>
      <c r="B94" s="9" t="str">
        <f>CONCATENATE("          ","6399"," - ","DONATION-ON CAMPUS")</f>
        <v xml:space="preserve">          6399 - DONATION-ON CAMPUS</v>
      </c>
      <c r="C94" s="9"/>
      <c r="D94" s="6">
        <v>2379.11</v>
      </c>
      <c r="E94" s="3"/>
      <c r="F94" s="7">
        <f t="shared" si="20"/>
        <v>7.7502899709076247E-3</v>
      </c>
      <c r="G94" s="3"/>
      <c r="H94" s="6">
        <v>1250</v>
      </c>
      <c r="I94" s="3"/>
      <c r="J94" s="7">
        <f t="shared" si="21"/>
        <v>4.2016806722689074E-3</v>
      </c>
      <c r="K94" s="3"/>
      <c r="L94" s="6">
        <f t="shared" si="22"/>
        <v>1129.1100000000001</v>
      </c>
      <c r="M94" s="3"/>
      <c r="N94" s="7">
        <f t="shared" si="23"/>
        <v>0.90328800000000009</v>
      </c>
      <c r="O94" s="9"/>
      <c r="P94" s="6">
        <v>9817.98</v>
      </c>
      <c r="Q94" s="3"/>
      <c r="R94" s="7">
        <f t="shared" si="24"/>
        <v>1.179443715908017E-3</v>
      </c>
      <c r="S94" s="3"/>
      <c r="T94" s="6">
        <v>15000</v>
      </c>
      <c r="U94" s="3"/>
      <c r="V94" s="7">
        <f t="shared" si="25"/>
        <v>1.597048484049638E-3</v>
      </c>
      <c r="W94" s="3"/>
      <c r="X94" s="6">
        <f t="shared" si="26"/>
        <v>-5182.0200000000004</v>
      </c>
      <c r="Y94" s="3"/>
      <c r="Z94" s="7">
        <f t="shared" si="27"/>
        <v>-0.34546800000000005</v>
      </c>
    </row>
    <row r="95" spans="1:26" s="69" customFormat="1" ht="15" customHeight="1" outlineLevel="1" collapsed="1" x14ac:dyDescent="0.3">
      <c r="A95" s="20"/>
      <c r="B95" s="11" t="str">
        <f>CONCATENATE("     ","Employees' Appreciation                           ")</f>
        <v xml:space="preserve">     Employees' Appreciation                           </v>
      </c>
      <c r="C95" s="11"/>
      <c r="D95" s="2">
        <f>SUM(OSRRefD22_8x_0)</f>
        <v>1840.15</v>
      </c>
      <c r="E95" s="2"/>
      <c r="F95" s="5">
        <f t="shared" si="20"/>
        <v>5.9945509413039605E-3</v>
      </c>
      <c r="G95" s="2"/>
      <c r="H95" s="2">
        <f>SUM(OSRRefH22_8x_0)</f>
        <v>225</v>
      </c>
      <c r="I95" s="2"/>
      <c r="J95" s="5">
        <f t="shared" si="21"/>
        <v>7.5630252100840334E-4</v>
      </c>
      <c r="K95" s="2"/>
      <c r="L95" s="2">
        <f t="shared" si="22"/>
        <v>1615.15</v>
      </c>
      <c r="M95" s="2"/>
      <c r="N95" s="5">
        <f t="shared" si="23"/>
        <v>7.1784444444444446</v>
      </c>
      <c r="O95" s="11"/>
      <c r="P95" s="2">
        <f>SUM(OSRRefP22_8x_0)</f>
        <v>6197.73</v>
      </c>
      <c r="Q95" s="2"/>
      <c r="R95" s="5">
        <f t="shared" si="24"/>
        <v>7.4453947771278752E-4</v>
      </c>
      <c r="S95" s="2"/>
      <c r="T95" s="2">
        <f>SUM(OSRRefT22_8x_0)</f>
        <v>2800</v>
      </c>
      <c r="U95" s="2"/>
      <c r="V95" s="5">
        <f t="shared" si="25"/>
        <v>2.9811571702259907E-4</v>
      </c>
      <c r="W95" s="2"/>
      <c r="X95" s="2">
        <f t="shared" si="26"/>
        <v>3397.7299999999996</v>
      </c>
      <c r="Y95" s="2"/>
      <c r="Z95" s="5">
        <f t="shared" si="27"/>
        <v>1.2134749999999999</v>
      </c>
    </row>
    <row r="96" spans="1:26" s="70" customFormat="1" ht="15" hidden="1" customHeight="1" outlineLevel="2" x14ac:dyDescent="0.3">
      <c r="A96" s="21"/>
      <c r="B96" s="9" t="str">
        <f>CONCATENATE("          ","6277"," - ","EMPLOYEE APPRECIATION")</f>
        <v xml:space="preserve">          6277 - EMPLOYEE APPRECIATION</v>
      </c>
      <c r="C96" s="9"/>
      <c r="D96" s="6">
        <v>1840.15</v>
      </c>
      <c r="E96" s="3"/>
      <c r="F96" s="7">
        <f t="shared" si="20"/>
        <v>5.9945509413039605E-3</v>
      </c>
      <c r="G96" s="3"/>
      <c r="H96" s="6">
        <v>225</v>
      </c>
      <c r="I96" s="3"/>
      <c r="J96" s="7">
        <f t="shared" si="21"/>
        <v>7.5630252100840334E-4</v>
      </c>
      <c r="K96" s="3"/>
      <c r="L96" s="6">
        <f t="shared" si="22"/>
        <v>1615.15</v>
      </c>
      <c r="M96" s="3"/>
      <c r="N96" s="7">
        <f t="shared" si="23"/>
        <v>7.1784444444444446</v>
      </c>
      <c r="O96" s="9"/>
      <c r="P96" s="6">
        <v>6197.73</v>
      </c>
      <c r="Q96" s="3"/>
      <c r="R96" s="7">
        <f t="shared" si="24"/>
        <v>7.4453947771278752E-4</v>
      </c>
      <c r="S96" s="3"/>
      <c r="T96" s="6">
        <v>2800</v>
      </c>
      <c r="U96" s="3"/>
      <c r="V96" s="7">
        <f t="shared" si="25"/>
        <v>2.9811571702259907E-4</v>
      </c>
      <c r="W96" s="3"/>
      <c r="X96" s="6">
        <f t="shared" si="26"/>
        <v>3397.7299999999996</v>
      </c>
      <c r="Y96" s="3"/>
      <c r="Z96" s="7">
        <f t="shared" si="27"/>
        <v>1.2134749999999999</v>
      </c>
    </row>
    <row r="97" spans="1:26" s="69" customFormat="1" ht="15" customHeight="1" outlineLevel="1" collapsed="1" x14ac:dyDescent="0.3">
      <c r="A97" s="20"/>
      <c r="B97" s="11" t="str">
        <f>CONCATENATE("     ","Equipment Rental                                  ")</f>
        <v xml:space="preserve">     Equipment Rental                                  </v>
      </c>
      <c r="C97" s="11"/>
      <c r="D97" s="2">
        <f>SUM(OSRRefD22_9x_0)</f>
        <v>2900.76</v>
      </c>
      <c r="E97" s="2"/>
      <c r="F97" s="5">
        <f t="shared" si="20"/>
        <v>9.4496392079433077E-3</v>
      </c>
      <c r="G97" s="2"/>
      <c r="H97" s="2">
        <f>SUM(OSRRefH22_9x_0)</f>
        <v>1876</v>
      </c>
      <c r="I97" s="2"/>
      <c r="J97" s="5">
        <f t="shared" si="21"/>
        <v>6.3058823529411768E-3</v>
      </c>
      <c r="K97" s="2"/>
      <c r="L97" s="2">
        <f t="shared" si="22"/>
        <v>1024.7600000000002</v>
      </c>
      <c r="M97" s="2"/>
      <c r="N97" s="5">
        <f t="shared" si="23"/>
        <v>0.54624733475479759</v>
      </c>
      <c r="O97" s="11"/>
      <c r="P97" s="2">
        <f>SUM(OSRRefP22_9x_0)</f>
        <v>20441.12</v>
      </c>
      <c r="Q97" s="2"/>
      <c r="R97" s="5">
        <f t="shared" si="24"/>
        <v>2.4556121045389867E-3</v>
      </c>
      <c r="S97" s="2"/>
      <c r="T97" s="2">
        <f>SUM(OSRRefT22_9x_0)</f>
        <v>22312</v>
      </c>
      <c r="U97" s="2"/>
      <c r="V97" s="5">
        <f t="shared" si="25"/>
        <v>2.3755563850743682E-3</v>
      </c>
      <c r="W97" s="2"/>
      <c r="X97" s="2">
        <f t="shared" si="26"/>
        <v>-1870.880000000001</v>
      </c>
      <c r="Y97" s="2"/>
      <c r="Z97" s="5">
        <f t="shared" si="27"/>
        <v>-8.3850842595912564E-2</v>
      </c>
    </row>
    <row r="98" spans="1:26" s="70" customFormat="1" ht="15" hidden="1" customHeight="1" outlineLevel="2" x14ac:dyDescent="0.3">
      <c r="A98" s="21"/>
      <c r="B98" s="9" t="str">
        <f>CONCATENATE("          ","6351"," - ","EQUIPMENT RENTAL")</f>
        <v xml:space="preserve">          6351 - EQUIPMENT RENTAL</v>
      </c>
      <c r="C98" s="9"/>
      <c r="D98" s="6">
        <v>2900.76</v>
      </c>
      <c r="E98" s="3"/>
      <c r="F98" s="7">
        <f t="shared" si="20"/>
        <v>9.4496392079433077E-3</v>
      </c>
      <c r="G98" s="3"/>
      <c r="H98" s="6">
        <v>1876</v>
      </c>
      <c r="I98" s="3"/>
      <c r="J98" s="7">
        <f t="shared" si="21"/>
        <v>6.3058823529411768E-3</v>
      </c>
      <c r="K98" s="3"/>
      <c r="L98" s="6">
        <f t="shared" si="22"/>
        <v>1024.7600000000002</v>
      </c>
      <c r="M98" s="3"/>
      <c r="N98" s="7">
        <f t="shared" si="23"/>
        <v>0.54624733475479759</v>
      </c>
      <c r="O98" s="9"/>
      <c r="P98" s="6">
        <v>20441.12</v>
      </c>
      <c r="Q98" s="3"/>
      <c r="R98" s="7">
        <f t="shared" si="24"/>
        <v>2.4556121045389867E-3</v>
      </c>
      <c r="S98" s="3"/>
      <c r="T98" s="6">
        <v>22312</v>
      </c>
      <c r="U98" s="3"/>
      <c r="V98" s="7">
        <f t="shared" si="25"/>
        <v>2.3755563850743682E-3</v>
      </c>
      <c r="W98" s="3"/>
      <c r="X98" s="6">
        <f t="shared" si="26"/>
        <v>-1870.880000000001</v>
      </c>
      <c r="Y98" s="3"/>
      <c r="Z98" s="7">
        <f t="shared" si="27"/>
        <v>-8.3850842595912564E-2</v>
      </c>
    </row>
    <row r="99" spans="1:26" s="69" customFormat="1" ht="15" customHeight="1" outlineLevel="1" collapsed="1" x14ac:dyDescent="0.3">
      <c r="A99" s="20"/>
      <c r="B99" s="11" t="str">
        <f>CONCATENATE("     ","Freight out/Postage                               ")</f>
        <v xml:space="preserve">     Freight out/Postage                               </v>
      </c>
      <c r="C99" s="11"/>
      <c r="D99" s="2">
        <f>SUM(OSRRefD22_10x_0)</f>
        <v>6549</v>
      </c>
      <c r="E99" s="2"/>
      <c r="F99" s="5">
        <f t="shared" si="20"/>
        <v>2.1334301070347329E-2</v>
      </c>
      <c r="G99" s="2"/>
      <c r="H99" s="2">
        <f>SUM(OSRRefH22_10x_0)</f>
        <v>-2350</v>
      </c>
      <c r="I99" s="2"/>
      <c r="J99" s="5">
        <f t="shared" si="21"/>
        <v>-7.899159663865547E-3</v>
      </c>
      <c r="K99" s="2"/>
      <c r="L99" s="2">
        <f t="shared" si="22"/>
        <v>8899</v>
      </c>
      <c r="M99" s="2"/>
      <c r="N99" s="5">
        <f t="shared" si="23"/>
        <v>-3.786808510638298</v>
      </c>
      <c r="O99" s="11"/>
      <c r="P99" s="2">
        <f>SUM(OSRRefP22_10x_0)</f>
        <v>-38669.649999999994</v>
      </c>
      <c r="Q99" s="2"/>
      <c r="R99" s="5">
        <f t="shared" si="24"/>
        <v>-4.6454235686834199E-3</v>
      </c>
      <c r="S99" s="2"/>
      <c r="T99" s="2">
        <f>SUM(OSRRefT22_10x_0)</f>
        <v>-16400</v>
      </c>
      <c r="U99" s="2"/>
      <c r="V99" s="5">
        <f t="shared" si="25"/>
        <v>-1.7461063425609376E-3</v>
      </c>
      <c r="W99" s="2"/>
      <c r="X99" s="2">
        <f t="shared" si="26"/>
        <v>-22269.649999999994</v>
      </c>
      <c r="Y99" s="2"/>
      <c r="Z99" s="5">
        <f t="shared" si="27"/>
        <v>1.3579054878048777</v>
      </c>
    </row>
    <row r="100" spans="1:26" s="70" customFormat="1" ht="15" hidden="1" customHeight="1" outlineLevel="2" x14ac:dyDescent="0.3">
      <c r="A100" s="21"/>
      <c r="B100" s="9" t="str">
        <f>CONCATENATE("          ","6305"," - ","FREIGHT OUT")</f>
        <v xml:space="preserve">          6305 - FREIGHT OUT</v>
      </c>
      <c r="C100" s="9"/>
      <c r="D100" s="6">
        <v>19990.48</v>
      </c>
      <c r="E100" s="3"/>
      <c r="F100" s="7">
        <f t="shared" si="20"/>
        <v>6.5121838274661295E-2</v>
      </c>
      <c r="G100" s="3"/>
      <c r="H100" s="6">
        <v>2050</v>
      </c>
      <c r="I100" s="3"/>
      <c r="J100" s="7">
        <f t="shared" si="21"/>
        <v>6.8907563025210087E-3</v>
      </c>
      <c r="K100" s="3"/>
      <c r="L100" s="6">
        <f t="shared" si="22"/>
        <v>17940.48</v>
      </c>
      <c r="M100" s="3"/>
      <c r="N100" s="7">
        <f t="shared" si="23"/>
        <v>8.751453658536585</v>
      </c>
      <c r="O100" s="9"/>
      <c r="P100" s="6">
        <v>154410.6</v>
      </c>
      <c r="Q100" s="3"/>
      <c r="R100" s="7">
        <f t="shared" si="24"/>
        <v>1.8549499167811144E-2</v>
      </c>
      <c r="S100" s="3"/>
      <c r="T100" s="6">
        <v>156900</v>
      </c>
      <c r="U100" s="3"/>
      <c r="V100" s="7">
        <f t="shared" si="25"/>
        <v>1.6705127143159214E-2</v>
      </c>
      <c r="W100" s="3"/>
      <c r="X100" s="6">
        <f t="shared" si="26"/>
        <v>-2489.3999999999942</v>
      </c>
      <c r="Y100" s="3"/>
      <c r="Z100" s="7">
        <f t="shared" si="27"/>
        <v>-1.5866156787762868E-2</v>
      </c>
    </row>
    <row r="101" spans="1:26" s="70" customFormat="1" ht="15" hidden="1" customHeight="1" outlineLevel="2" x14ac:dyDescent="0.3">
      <c r="A101" s="21"/>
      <c r="B101" s="9" t="str">
        <f>CONCATENATE("          ","6307"," - ","POSTAGE")</f>
        <v xml:space="preserve">          6307 - POSTAGE</v>
      </c>
      <c r="C101" s="9"/>
      <c r="D101" s="6">
        <v>-13441.48</v>
      </c>
      <c r="E101" s="3"/>
      <c r="F101" s="7">
        <f t="shared" si="20"/>
        <v>-4.378753720431397E-2</v>
      </c>
      <c r="G101" s="3"/>
      <c r="H101" s="6">
        <v>-4400</v>
      </c>
      <c r="I101" s="3"/>
      <c r="J101" s="7">
        <f t="shared" si="21"/>
        <v>-1.4789915966386555E-2</v>
      </c>
      <c r="K101" s="3"/>
      <c r="L101" s="6">
        <f t="shared" si="22"/>
        <v>-9041.48</v>
      </c>
      <c r="M101" s="3"/>
      <c r="N101" s="7">
        <f t="shared" si="23"/>
        <v>2.0548818181818183</v>
      </c>
      <c r="O101" s="9"/>
      <c r="P101" s="6">
        <v>-193080.25</v>
      </c>
      <c r="Q101" s="3"/>
      <c r="R101" s="7">
        <f t="shared" si="24"/>
        <v>-2.3194922736494563E-2</v>
      </c>
      <c r="S101" s="3"/>
      <c r="T101" s="6">
        <v>-173300</v>
      </c>
      <c r="U101" s="3"/>
      <c r="V101" s="7">
        <f t="shared" si="25"/>
        <v>-1.8451233485720149E-2</v>
      </c>
      <c r="W101" s="3"/>
      <c r="X101" s="6">
        <f t="shared" si="26"/>
        <v>-19780.25</v>
      </c>
      <c r="Y101" s="3"/>
      <c r="Z101" s="7">
        <f t="shared" si="27"/>
        <v>0.11413877668782459</v>
      </c>
    </row>
    <row r="102" spans="1:26" s="69" customFormat="1" ht="15" customHeight="1" outlineLevel="1" collapsed="1" x14ac:dyDescent="0.3">
      <c r="A102" s="20"/>
      <c r="B102" s="11" t="str">
        <f>CONCATENATE("     ","General                                           ")</f>
        <v xml:space="preserve">     General                                           </v>
      </c>
      <c r="C102" s="11"/>
      <c r="D102" s="2">
        <f>SUM(OSRRefD22_11x_0)</f>
        <v>200</v>
      </c>
      <c r="E102" s="2"/>
      <c r="F102" s="5">
        <f t="shared" si="20"/>
        <v>6.515285103175242E-4</v>
      </c>
      <c r="G102" s="2"/>
      <c r="H102" s="2">
        <f>SUM(OSRRefH22_11x_0)</f>
        <v>1200</v>
      </c>
      <c r="I102" s="2"/>
      <c r="J102" s="5">
        <f t="shared" si="21"/>
        <v>4.0336134453781512E-3</v>
      </c>
      <c r="K102" s="2"/>
      <c r="L102" s="2">
        <f t="shared" si="22"/>
        <v>-1000</v>
      </c>
      <c r="M102" s="2"/>
      <c r="N102" s="5">
        <f t="shared" si="23"/>
        <v>-0.83333333333333337</v>
      </c>
      <c r="O102" s="11"/>
      <c r="P102" s="2">
        <f>SUM(OSRRefP22_11x_0)</f>
        <v>10704.21</v>
      </c>
      <c r="Q102" s="2"/>
      <c r="R102" s="5">
        <f t="shared" si="24"/>
        <v>1.2859074084750378E-3</v>
      </c>
      <c r="S102" s="2"/>
      <c r="T102" s="2">
        <f>SUM(OSRRefT22_11x_0)</f>
        <v>8610</v>
      </c>
      <c r="U102" s="2"/>
      <c r="V102" s="5">
        <f t="shared" si="25"/>
        <v>9.1670582984449225E-4</v>
      </c>
      <c r="W102" s="2"/>
      <c r="X102" s="2">
        <f t="shared" si="26"/>
        <v>2094.2099999999991</v>
      </c>
      <c r="Y102" s="2"/>
      <c r="Z102" s="5">
        <f t="shared" si="27"/>
        <v>0.24322996515679432</v>
      </c>
    </row>
    <row r="103" spans="1:26" s="70" customFormat="1" ht="15" hidden="1" customHeight="1" outlineLevel="2" x14ac:dyDescent="0.3">
      <c r="A103" s="21"/>
      <c r="B103" s="9" t="str">
        <f>CONCATENATE("          ","6276"," - ","PROPERTY TAX")</f>
        <v xml:space="preserve">          6276 - PROPERTY TAX</v>
      </c>
      <c r="C103" s="9"/>
      <c r="D103" s="6"/>
      <c r="E103" s="3"/>
      <c r="F103" s="7">
        <f t="shared" si="20"/>
        <v>0</v>
      </c>
      <c r="G103" s="3"/>
      <c r="H103" s="6"/>
      <c r="I103" s="3"/>
      <c r="J103" s="7">
        <f t="shared" si="21"/>
        <v>0</v>
      </c>
      <c r="K103" s="3"/>
      <c r="L103" s="6">
        <f t="shared" si="22"/>
        <v>0</v>
      </c>
      <c r="M103" s="3"/>
      <c r="N103" s="7">
        <f t="shared" si="23"/>
        <v>0</v>
      </c>
      <c r="O103" s="9"/>
      <c r="P103" s="6"/>
      <c r="Q103" s="3"/>
      <c r="R103" s="7">
        <f t="shared" si="24"/>
        <v>0</v>
      </c>
      <c r="S103" s="3"/>
      <c r="T103" s="6">
        <v>1250</v>
      </c>
      <c r="U103" s="3"/>
      <c r="V103" s="7">
        <f t="shared" si="25"/>
        <v>1.3308737367080317E-4</v>
      </c>
      <c r="W103" s="3"/>
      <c r="X103" s="6">
        <f t="shared" si="26"/>
        <v>-1250</v>
      </c>
      <c r="Y103" s="3"/>
      <c r="Z103" s="7">
        <f t="shared" si="27"/>
        <v>-1</v>
      </c>
    </row>
    <row r="104" spans="1:26" s="70" customFormat="1" ht="15" hidden="1" customHeight="1" outlineLevel="2" x14ac:dyDescent="0.3">
      <c r="A104" s="21"/>
      <c r="B104" s="9" t="str">
        <f>CONCATENATE("          ","6279"," - ","GENERAL EXPENSE")</f>
        <v xml:space="preserve">          6279 - GENERAL EXPENSE</v>
      </c>
      <c r="C104" s="9"/>
      <c r="D104" s="6">
        <v>200</v>
      </c>
      <c r="E104" s="3"/>
      <c r="F104" s="7">
        <f t="shared" si="20"/>
        <v>6.515285103175242E-4</v>
      </c>
      <c r="G104" s="3"/>
      <c r="H104" s="6">
        <v>1200</v>
      </c>
      <c r="I104" s="3"/>
      <c r="J104" s="7">
        <f t="shared" si="21"/>
        <v>4.0336134453781512E-3</v>
      </c>
      <c r="K104" s="3"/>
      <c r="L104" s="6">
        <f t="shared" si="22"/>
        <v>-1000</v>
      </c>
      <c r="M104" s="3"/>
      <c r="N104" s="7">
        <f t="shared" si="23"/>
        <v>-0.83333333333333337</v>
      </c>
      <c r="O104" s="9"/>
      <c r="P104" s="6">
        <v>10704.21</v>
      </c>
      <c r="Q104" s="3"/>
      <c r="R104" s="7">
        <f t="shared" si="24"/>
        <v>1.2859074084750378E-3</v>
      </c>
      <c r="S104" s="3"/>
      <c r="T104" s="6">
        <v>7360</v>
      </c>
      <c r="U104" s="3"/>
      <c r="V104" s="7">
        <f t="shared" si="25"/>
        <v>7.8361845617368902E-4</v>
      </c>
      <c r="W104" s="3"/>
      <c r="X104" s="6">
        <f t="shared" si="26"/>
        <v>3344.2099999999991</v>
      </c>
      <c r="Y104" s="3"/>
      <c r="Z104" s="7">
        <f t="shared" si="27"/>
        <v>0.45437635869565207</v>
      </c>
    </row>
    <row r="105" spans="1:26" s="69" customFormat="1" ht="15" customHeight="1" outlineLevel="1" collapsed="1" x14ac:dyDescent="0.3">
      <c r="A105" s="20"/>
      <c r="B105" s="11" t="str">
        <f>CONCATENATE("     ","Insurance                                         ")</f>
        <v xml:space="preserve">     Insurance                                         </v>
      </c>
      <c r="C105" s="11"/>
      <c r="D105" s="2">
        <f>SUM(OSRRefD22_12x_0)</f>
        <v>-1802.21</v>
      </c>
      <c r="E105" s="2"/>
      <c r="F105" s="5">
        <f t="shared" si="20"/>
        <v>-5.8709559828967264E-3</v>
      </c>
      <c r="G105" s="2"/>
      <c r="H105" s="2">
        <f>SUM(OSRRefH22_12x_0)</f>
        <v>5705</v>
      </c>
      <c r="I105" s="2"/>
      <c r="J105" s="5">
        <f t="shared" si="21"/>
        <v>1.9176470588235295E-2</v>
      </c>
      <c r="K105" s="2"/>
      <c r="L105" s="2">
        <f t="shared" si="22"/>
        <v>-7507.21</v>
      </c>
      <c r="M105" s="2"/>
      <c r="N105" s="5">
        <f t="shared" si="23"/>
        <v>-1.3159000876424189</v>
      </c>
      <c r="O105" s="11"/>
      <c r="P105" s="2">
        <f>SUM(OSRRefP22_12x_0)</f>
        <v>62279.17</v>
      </c>
      <c r="Q105" s="2"/>
      <c r="R105" s="5">
        <f t="shared" si="24"/>
        <v>7.4816587208842442E-3</v>
      </c>
      <c r="S105" s="2"/>
      <c r="T105" s="2">
        <f>SUM(OSRRefT22_12x_0)</f>
        <v>68460</v>
      </c>
      <c r="U105" s="2"/>
      <c r="V105" s="5">
        <f t="shared" si="25"/>
        <v>7.2889292812025478E-3</v>
      </c>
      <c r="W105" s="2"/>
      <c r="X105" s="2">
        <f t="shared" si="26"/>
        <v>-6180.8300000000017</v>
      </c>
      <c r="Y105" s="2"/>
      <c r="Z105" s="5">
        <f t="shared" si="27"/>
        <v>-9.0283815366637474E-2</v>
      </c>
    </row>
    <row r="106" spans="1:26" s="70" customFormat="1" ht="15" hidden="1" customHeight="1" outlineLevel="2" x14ac:dyDescent="0.3">
      <c r="A106" s="21"/>
      <c r="B106" s="9" t="str">
        <f>CONCATENATE("          ","6314"," - ","LIABILITY INSURANCE")</f>
        <v xml:space="preserve">          6314 - LIABILITY INSURANCE</v>
      </c>
      <c r="C106" s="9"/>
      <c r="D106" s="6">
        <v>-1802.21</v>
      </c>
      <c r="E106" s="3"/>
      <c r="F106" s="7">
        <f t="shared" si="20"/>
        <v>-5.8709559828967264E-3</v>
      </c>
      <c r="G106" s="3"/>
      <c r="H106" s="6">
        <v>5705</v>
      </c>
      <c r="I106" s="3"/>
      <c r="J106" s="7">
        <f t="shared" si="21"/>
        <v>1.9176470588235295E-2</v>
      </c>
      <c r="K106" s="3"/>
      <c r="L106" s="6">
        <f t="shared" si="22"/>
        <v>-7507.21</v>
      </c>
      <c r="M106" s="3"/>
      <c r="N106" s="7">
        <f t="shared" si="23"/>
        <v>-1.3159000876424189</v>
      </c>
      <c r="O106" s="9"/>
      <c r="P106" s="6">
        <v>62279.17</v>
      </c>
      <c r="Q106" s="3"/>
      <c r="R106" s="7">
        <f t="shared" si="24"/>
        <v>7.4816587208842442E-3</v>
      </c>
      <c r="S106" s="3"/>
      <c r="T106" s="6">
        <v>68460</v>
      </c>
      <c r="U106" s="3"/>
      <c r="V106" s="7">
        <f t="shared" si="25"/>
        <v>7.2889292812025478E-3</v>
      </c>
      <c r="W106" s="3"/>
      <c r="X106" s="6">
        <f t="shared" si="26"/>
        <v>-6180.8300000000017</v>
      </c>
      <c r="Y106" s="3"/>
      <c r="Z106" s="7">
        <f t="shared" si="27"/>
        <v>-9.0283815366637474E-2</v>
      </c>
    </row>
    <row r="107" spans="1:26" s="69" customFormat="1" ht="15" customHeight="1" outlineLevel="1" collapsed="1" x14ac:dyDescent="0.3">
      <c r="A107" s="20"/>
      <c r="B107" s="11" t="str">
        <f>CONCATENATE("     ","Interest                                          ")</f>
        <v xml:space="preserve">     Interest                                          </v>
      </c>
      <c r="C107" s="11"/>
      <c r="D107" s="2">
        <f>SUM(OSRRefD22_13x_0)</f>
        <v>3905</v>
      </c>
      <c r="E107" s="2"/>
      <c r="F107" s="5">
        <f t="shared" si="20"/>
        <v>1.2721094163949658E-2</v>
      </c>
      <c r="G107" s="2"/>
      <c r="H107" s="2">
        <f>SUM(OSRRefH22_13x_0)</f>
        <v>3760</v>
      </c>
      <c r="I107" s="2"/>
      <c r="J107" s="5">
        <f t="shared" si="21"/>
        <v>1.2638655462184874E-2</v>
      </c>
      <c r="K107" s="2"/>
      <c r="L107" s="2">
        <f t="shared" si="22"/>
        <v>145</v>
      </c>
      <c r="M107" s="2"/>
      <c r="N107" s="5">
        <f t="shared" si="23"/>
        <v>3.8563829787234043E-2</v>
      </c>
      <c r="O107" s="11"/>
      <c r="P107" s="2">
        <f>SUM(OSRRefP22_13x_0)</f>
        <v>45710</v>
      </c>
      <c r="Q107" s="2"/>
      <c r="R107" s="5">
        <f t="shared" si="24"/>
        <v>5.4911878262285576E-3</v>
      </c>
      <c r="S107" s="2"/>
      <c r="T107" s="2">
        <f>SUM(OSRRefT22_13x_0)</f>
        <v>46570</v>
      </c>
      <c r="U107" s="2"/>
      <c r="V107" s="5">
        <f t="shared" si="25"/>
        <v>4.9583031934794424E-3</v>
      </c>
      <c r="W107" s="2"/>
      <c r="X107" s="2">
        <f t="shared" si="26"/>
        <v>-860</v>
      </c>
      <c r="Y107" s="2"/>
      <c r="Z107" s="5">
        <f t="shared" si="27"/>
        <v>-1.8466824135709683E-2</v>
      </c>
    </row>
    <row r="108" spans="1:26" s="70" customFormat="1" ht="15" hidden="1" customHeight="1" outlineLevel="2" x14ac:dyDescent="0.3">
      <c r="A108" s="21"/>
      <c r="B108" s="9" t="str">
        <f>CONCATENATE("          ","6401"," - ","INTEREST EXPENSE")</f>
        <v xml:space="preserve">          6401 - INTEREST EXPENSE</v>
      </c>
      <c r="C108" s="9"/>
      <c r="D108" s="6">
        <v>3905</v>
      </c>
      <c r="E108" s="3"/>
      <c r="F108" s="7">
        <f t="shared" si="20"/>
        <v>1.2721094163949658E-2</v>
      </c>
      <c r="G108" s="3"/>
      <c r="H108" s="6">
        <v>3760</v>
      </c>
      <c r="I108" s="3"/>
      <c r="J108" s="7">
        <f t="shared" si="21"/>
        <v>1.2638655462184874E-2</v>
      </c>
      <c r="K108" s="3"/>
      <c r="L108" s="6">
        <f t="shared" si="22"/>
        <v>145</v>
      </c>
      <c r="M108" s="3"/>
      <c r="N108" s="7">
        <f t="shared" si="23"/>
        <v>3.8563829787234043E-2</v>
      </c>
      <c r="O108" s="9"/>
      <c r="P108" s="6">
        <v>45710</v>
      </c>
      <c r="Q108" s="3"/>
      <c r="R108" s="7">
        <f t="shared" si="24"/>
        <v>5.4911878262285576E-3</v>
      </c>
      <c r="S108" s="3"/>
      <c r="T108" s="6">
        <v>46570</v>
      </c>
      <c r="U108" s="3"/>
      <c r="V108" s="7">
        <f t="shared" si="25"/>
        <v>4.9583031934794424E-3</v>
      </c>
      <c r="W108" s="3"/>
      <c r="X108" s="6">
        <f t="shared" si="26"/>
        <v>-860</v>
      </c>
      <c r="Y108" s="3"/>
      <c r="Z108" s="7">
        <f t="shared" si="27"/>
        <v>-1.8466824135709683E-2</v>
      </c>
    </row>
    <row r="109" spans="1:26" s="69" customFormat="1" ht="15" customHeight="1" outlineLevel="1" collapsed="1" x14ac:dyDescent="0.3">
      <c r="A109" s="20"/>
      <c r="B109" s="11" t="str">
        <f>CONCATENATE("     ","Inventory Adjustment                              ")</f>
        <v xml:space="preserve">     Inventory Adjustment                              </v>
      </c>
      <c r="C109" s="11"/>
      <c r="D109" s="2">
        <f>SUM(OSRRefD22_14x_0)</f>
        <v>-60100</v>
      </c>
      <c r="E109" s="2"/>
      <c r="F109" s="5">
        <f t="shared" si="20"/>
        <v>-0.19578431735041602</v>
      </c>
      <c r="G109" s="2"/>
      <c r="H109" s="2">
        <f>SUM(OSRRefH22_14x_0)</f>
        <v>19100</v>
      </c>
      <c r="I109" s="2"/>
      <c r="J109" s="5">
        <f t="shared" si="21"/>
        <v>6.4201680672268904E-2</v>
      </c>
      <c r="K109" s="2"/>
      <c r="L109" s="2">
        <f t="shared" si="22"/>
        <v>-79200</v>
      </c>
      <c r="M109" s="2"/>
      <c r="N109" s="5">
        <f t="shared" si="23"/>
        <v>-4.1465968586387438</v>
      </c>
      <c r="O109" s="11"/>
      <c r="P109" s="2">
        <f>SUM(OSRRefP22_14x_0)</f>
        <v>0</v>
      </c>
      <c r="Q109" s="2"/>
      <c r="R109" s="5">
        <f t="shared" si="24"/>
        <v>0</v>
      </c>
      <c r="S109" s="2"/>
      <c r="T109" s="2">
        <f>SUM(OSRRefT22_14x_0)</f>
        <v>79200</v>
      </c>
      <c r="U109" s="2"/>
      <c r="V109" s="5">
        <f t="shared" si="25"/>
        <v>8.4324159957820891E-3</v>
      </c>
      <c r="W109" s="2"/>
      <c r="X109" s="2">
        <f t="shared" si="26"/>
        <v>-79200</v>
      </c>
      <c r="Y109" s="2"/>
      <c r="Z109" s="5">
        <f t="shared" si="27"/>
        <v>-1</v>
      </c>
    </row>
    <row r="110" spans="1:26" s="70" customFormat="1" ht="15" hidden="1" customHeight="1" outlineLevel="2" x14ac:dyDescent="0.3">
      <c r="A110" s="21"/>
      <c r="B110" s="9" t="str">
        <f>CONCATENATE("          ","6408"," - ","INVENTORY ADJUSTMENT")</f>
        <v xml:space="preserve">          6408 - INVENTORY ADJUSTMENT</v>
      </c>
      <c r="C110" s="9"/>
      <c r="D110" s="6">
        <v>-60100</v>
      </c>
      <c r="E110" s="3"/>
      <c r="F110" s="7">
        <f t="shared" si="20"/>
        <v>-0.19578431735041602</v>
      </c>
      <c r="G110" s="3"/>
      <c r="H110" s="6">
        <v>19100</v>
      </c>
      <c r="I110" s="3"/>
      <c r="J110" s="7">
        <f t="shared" si="21"/>
        <v>6.4201680672268904E-2</v>
      </c>
      <c r="K110" s="3"/>
      <c r="L110" s="6">
        <f t="shared" si="22"/>
        <v>-79200</v>
      </c>
      <c r="M110" s="3"/>
      <c r="N110" s="7">
        <f t="shared" si="23"/>
        <v>-4.1465968586387438</v>
      </c>
      <c r="O110" s="9"/>
      <c r="P110" s="6">
        <v>0</v>
      </c>
      <c r="Q110" s="3"/>
      <c r="R110" s="7">
        <f t="shared" si="24"/>
        <v>0</v>
      </c>
      <c r="S110" s="3"/>
      <c r="T110" s="6">
        <v>79200</v>
      </c>
      <c r="U110" s="3"/>
      <c r="V110" s="7">
        <f t="shared" si="25"/>
        <v>8.4324159957820891E-3</v>
      </c>
      <c r="W110" s="3"/>
      <c r="X110" s="6">
        <f t="shared" si="26"/>
        <v>-79200</v>
      </c>
      <c r="Y110" s="3"/>
      <c r="Z110" s="7">
        <f t="shared" si="27"/>
        <v>-1</v>
      </c>
    </row>
    <row r="111" spans="1:26" s="69" customFormat="1" ht="15" customHeight="1" outlineLevel="1" collapsed="1" x14ac:dyDescent="0.3">
      <c r="A111" s="20"/>
      <c r="B111" s="11" t="str">
        <f>CONCATENATE("     ","Professional Services                             ")</f>
        <v xml:space="preserve">     Professional Services                             </v>
      </c>
      <c r="C111" s="11"/>
      <c r="D111" s="2">
        <f>SUM(OSRRefD22_15x_0)</f>
        <v>1551.33</v>
      </c>
      <c r="E111" s="2"/>
      <c r="F111" s="5">
        <f t="shared" si="20"/>
        <v>5.0536786195544232E-3</v>
      </c>
      <c r="G111" s="2"/>
      <c r="H111" s="2">
        <f>SUM(OSRRefH22_15x_0)</f>
        <v>0</v>
      </c>
      <c r="I111" s="2"/>
      <c r="J111" s="5">
        <f t="shared" si="21"/>
        <v>0</v>
      </c>
      <c r="K111" s="2"/>
      <c r="L111" s="2">
        <f t="shared" si="22"/>
        <v>1551.33</v>
      </c>
      <c r="M111" s="2"/>
      <c r="N111" s="5">
        <f t="shared" si="23"/>
        <v>0</v>
      </c>
      <c r="O111" s="11"/>
      <c r="P111" s="2">
        <f>SUM(OSRRefP22_15x_0)</f>
        <v>11177.86</v>
      </c>
      <c r="Q111" s="2"/>
      <c r="R111" s="5">
        <f t="shared" si="24"/>
        <v>1.3428074547207865E-3</v>
      </c>
      <c r="S111" s="2"/>
      <c r="T111" s="2">
        <f>SUM(OSRRefT22_15x_0)</f>
        <v>1750</v>
      </c>
      <c r="U111" s="2"/>
      <c r="V111" s="5">
        <f t="shared" si="25"/>
        <v>1.8632232313912442E-4</v>
      </c>
      <c r="W111" s="2"/>
      <c r="X111" s="2">
        <f t="shared" si="26"/>
        <v>9427.86</v>
      </c>
      <c r="Y111" s="2"/>
      <c r="Z111" s="5">
        <f t="shared" si="27"/>
        <v>5.3873485714285714</v>
      </c>
    </row>
    <row r="112" spans="1:26" s="70" customFormat="1" ht="15" hidden="1" customHeight="1" outlineLevel="2" x14ac:dyDescent="0.3">
      <c r="A112" s="21"/>
      <c r="B112" s="9" t="str">
        <f>CONCATENATE("          ","6336"," - ","PROFESSIONAL SERVICES")</f>
        <v xml:space="preserve">          6336 - PROFESSIONAL SERVICES</v>
      </c>
      <c r="C112" s="9"/>
      <c r="D112" s="6">
        <v>1551.33</v>
      </c>
      <c r="E112" s="3"/>
      <c r="F112" s="7">
        <f t="shared" si="20"/>
        <v>5.0536786195544232E-3</v>
      </c>
      <c r="G112" s="3"/>
      <c r="H112" s="6">
        <v>0</v>
      </c>
      <c r="I112" s="3"/>
      <c r="J112" s="7">
        <f t="shared" si="21"/>
        <v>0</v>
      </c>
      <c r="K112" s="3"/>
      <c r="L112" s="6">
        <f t="shared" si="22"/>
        <v>1551.33</v>
      </c>
      <c r="M112" s="3"/>
      <c r="N112" s="7">
        <f t="shared" si="23"/>
        <v>0</v>
      </c>
      <c r="O112" s="9"/>
      <c r="P112" s="6">
        <v>11177.86</v>
      </c>
      <c r="Q112" s="3"/>
      <c r="R112" s="7">
        <f t="shared" si="24"/>
        <v>1.3428074547207865E-3</v>
      </c>
      <c r="S112" s="3"/>
      <c r="T112" s="6">
        <v>1750</v>
      </c>
      <c r="U112" s="3"/>
      <c r="V112" s="7">
        <f t="shared" si="25"/>
        <v>1.8632232313912442E-4</v>
      </c>
      <c r="W112" s="3"/>
      <c r="X112" s="6">
        <f t="shared" si="26"/>
        <v>9427.86</v>
      </c>
      <c r="Y112" s="3"/>
      <c r="Z112" s="7">
        <f t="shared" si="27"/>
        <v>5.3873485714285714</v>
      </c>
    </row>
    <row r="113" spans="1:26" s="69" customFormat="1" ht="15" customHeight="1" outlineLevel="1" collapsed="1" x14ac:dyDescent="0.3">
      <c r="A113" s="20"/>
      <c r="B113" s="11" t="str">
        <f>CONCATENATE("     ","Rent                                              ")</f>
        <v xml:space="preserve">     Rent                                              </v>
      </c>
      <c r="C113" s="11"/>
      <c r="D113" s="2">
        <f>SUM(OSRRefD22_16x_0)</f>
        <v>6900</v>
      </c>
      <c r="E113" s="2"/>
      <c r="F113" s="5">
        <f t="shared" si="20"/>
        <v>2.2477733605954581E-2</v>
      </c>
      <c r="G113" s="2"/>
      <c r="H113" s="2">
        <f>SUM(OSRRefH22_16x_0)</f>
        <v>6100</v>
      </c>
      <c r="I113" s="2"/>
      <c r="J113" s="5">
        <f t="shared" si="21"/>
        <v>2.0504201680672268E-2</v>
      </c>
      <c r="K113" s="2"/>
      <c r="L113" s="2">
        <f t="shared" si="22"/>
        <v>800</v>
      </c>
      <c r="M113" s="2"/>
      <c r="N113" s="5">
        <f t="shared" si="23"/>
        <v>0.13114754098360656</v>
      </c>
      <c r="O113" s="11"/>
      <c r="P113" s="2">
        <f>SUM(OSRRefP22_16x_0)</f>
        <v>74000</v>
      </c>
      <c r="Q113" s="2"/>
      <c r="R113" s="5">
        <f t="shared" si="24"/>
        <v>8.8896937024920859E-3</v>
      </c>
      <c r="S113" s="2"/>
      <c r="T113" s="2">
        <f>SUM(OSRRefT22_16x_0)</f>
        <v>73200</v>
      </c>
      <c r="U113" s="2"/>
      <c r="V113" s="5">
        <f t="shared" si="25"/>
        <v>7.7935966021622331E-3</v>
      </c>
      <c r="W113" s="2"/>
      <c r="X113" s="2">
        <f t="shared" si="26"/>
        <v>800</v>
      </c>
      <c r="Y113" s="2"/>
      <c r="Z113" s="5">
        <f t="shared" si="27"/>
        <v>1.092896174863388E-2</v>
      </c>
    </row>
    <row r="114" spans="1:26" s="70" customFormat="1" ht="15" hidden="1" customHeight="1" outlineLevel="2" x14ac:dyDescent="0.3">
      <c r="A114" s="21"/>
      <c r="B114" s="9" t="str">
        <f>CONCATENATE("          ","6273"," - ","RENT")</f>
        <v xml:space="preserve">          6273 - RENT</v>
      </c>
      <c r="C114" s="9"/>
      <c r="D114" s="6">
        <v>6900</v>
      </c>
      <c r="E114" s="3"/>
      <c r="F114" s="7">
        <f t="shared" si="20"/>
        <v>2.2477733605954581E-2</v>
      </c>
      <c r="G114" s="3"/>
      <c r="H114" s="6">
        <v>6100</v>
      </c>
      <c r="I114" s="3"/>
      <c r="J114" s="7">
        <f t="shared" si="21"/>
        <v>2.0504201680672268E-2</v>
      </c>
      <c r="K114" s="3"/>
      <c r="L114" s="6">
        <f t="shared" si="22"/>
        <v>800</v>
      </c>
      <c r="M114" s="3"/>
      <c r="N114" s="7">
        <f t="shared" si="23"/>
        <v>0.13114754098360656</v>
      </c>
      <c r="O114" s="9"/>
      <c r="P114" s="6">
        <v>74000</v>
      </c>
      <c r="Q114" s="3"/>
      <c r="R114" s="7">
        <f t="shared" si="24"/>
        <v>8.8896937024920859E-3</v>
      </c>
      <c r="S114" s="3"/>
      <c r="T114" s="6">
        <v>73200</v>
      </c>
      <c r="U114" s="3"/>
      <c r="V114" s="7">
        <f t="shared" si="25"/>
        <v>7.7935966021622331E-3</v>
      </c>
      <c r="W114" s="3"/>
      <c r="X114" s="6">
        <f t="shared" si="26"/>
        <v>800</v>
      </c>
      <c r="Y114" s="3"/>
      <c r="Z114" s="7">
        <f t="shared" si="27"/>
        <v>1.092896174863388E-2</v>
      </c>
    </row>
    <row r="115" spans="1:26" s="69" customFormat="1" ht="15" customHeight="1" outlineLevel="1" collapsed="1" x14ac:dyDescent="0.3">
      <c r="A115" s="20"/>
      <c r="B115" s="11" t="str">
        <f>CONCATENATE("     ","Repair and Maintenance                            ")</f>
        <v xml:space="preserve">     Repair and Maintenance                            </v>
      </c>
      <c r="C115" s="11"/>
      <c r="D115" s="2">
        <f>SUM(OSRRefD22_17x_0)</f>
        <v>31999.120000000003</v>
      </c>
      <c r="E115" s="2"/>
      <c r="F115" s="5">
        <f t="shared" si="20"/>
        <v>0.10424169492535848</v>
      </c>
      <c r="G115" s="2"/>
      <c r="H115" s="2">
        <f>SUM(OSRRefH22_17x_0)</f>
        <v>10960</v>
      </c>
      <c r="I115" s="2"/>
      <c r="J115" s="5">
        <f t="shared" si="21"/>
        <v>3.6840336134453783E-2</v>
      </c>
      <c r="K115" s="2"/>
      <c r="L115" s="2">
        <f t="shared" si="22"/>
        <v>21039.120000000003</v>
      </c>
      <c r="M115" s="2"/>
      <c r="N115" s="5">
        <f t="shared" si="23"/>
        <v>1.9196277372262776</v>
      </c>
      <c r="O115" s="11"/>
      <c r="P115" s="2">
        <f>SUM(OSRRefP22_17x_0)</f>
        <v>181695.86</v>
      </c>
      <c r="Q115" s="2"/>
      <c r="R115" s="5">
        <f t="shared" si="24"/>
        <v>2.1827304627174103E-2</v>
      </c>
      <c r="S115" s="2"/>
      <c r="T115" s="2">
        <f>SUM(OSRRefT22_17x_0)</f>
        <v>187767</v>
      </c>
      <c r="U115" s="2"/>
      <c r="V115" s="5">
        <f t="shared" si="25"/>
        <v>1.9991533513636559E-2</v>
      </c>
      <c r="W115" s="2"/>
      <c r="X115" s="2">
        <f t="shared" si="26"/>
        <v>-6071.140000000014</v>
      </c>
      <c r="Y115" s="2"/>
      <c r="Z115" s="5">
        <f t="shared" si="27"/>
        <v>-3.2333370613579673E-2</v>
      </c>
    </row>
    <row r="116" spans="1:26" s="70" customFormat="1" ht="15" hidden="1" customHeight="1" outlineLevel="2" x14ac:dyDescent="0.3">
      <c r="A116" s="21"/>
      <c r="B116" s="9" t="str">
        <f>CONCATENATE("          ","6371"," - ","COMPUTER SOFTWARE MAINTENANCE")</f>
        <v xml:space="preserve">          6371 - COMPUTER SOFTWARE MAINTENANCE</v>
      </c>
      <c r="C116" s="9"/>
      <c r="D116" s="6"/>
      <c r="E116" s="3"/>
      <c r="F116" s="7">
        <f t="shared" si="20"/>
        <v>0</v>
      </c>
      <c r="G116" s="3"/>
      <c r="H116" s="6">
        <v>1000</v>
      </c>
      <c r="I116" s="3"/>
      <c r="J116" s="7">
        <f t="shared" si="21"/>
        <v>3.3613445378151263E-3</v>
      </c>
      <c r="K116" s="3"/>
      <c r="L116" s="6">
        <f t="shared" si="22"/>
        <v>-1000</v>
      </c>
      <c r="M116" s="3"/>
      <c r="N116" s="7">
        <f t="shared" si="23"/>
        <v>-1</v>
      </c>
      <c r="O116" s="9"/>
      <c r="P116" s="6">
        <v>62511</v>
      </c>
      <c r="Q116" s="3"/>
      <c r="R116" s="7">
        <f t="shared" si="24"/>
        <v>7.5095086896822E-3</v>
      </c>
      <c r="S116" s="3"/>
      <c r="T116" s="6">
        <v>53723</v>
      </c>
      <c r="U116" s="3"/>
      <c r="V116" s="7">
        <f t="shared" si="25"/>
        <v>5.7198823805732464E-3</v>
      </c>
      <c r="W116" s="3"/>
      <c r="X116" s="6">
        <f t="shared" si="26"/>
        <v>8788</v>
      </c>
      <c r="Y116" s="3"/>
      <c r="Z116" s="7">
        <f t="shared" si="27"/>
        <v>0.1635798447592279</v>
      </c>
    </row>
    <row r="117" spans="1:26" s="70" customFormat="1" ht="15" hidden="1" customHeight="1" outlineLevel="2" x14ac:dyDescent="0.3">
      <c r="A117" s="21"/>
      <c r="B117" s="9" t="str">
        <f>CONCATENATE("          ","6372"," - ","COMPUTER HARDWARE MAINTENANCE")</f>
        <v xml:space="preserve">          6372 - COMPUTER HARDWARE MAINTENANCE</v>
      </c>
      <c r="C117" s="9"/>
      <c r="D117" s="6"/>
      <c r="E117" s="3"/>
      <c r="F117" s="7">
        <f t="shared" si="20"/>
        <v>0</v>
      </c>
      <c r="G117" s="3"/>
      <c r="H117" s="6">
        <v>3750</v>
      </c>
      <c r="I117" s="3"/>
      <c r="J117" s="7">
        <f t="shared" si="21"/>
        <v>1.2605042016806723E-2</v>
      </c>
      <c r="K117" s="3"/>
      <c r="L117" s="6">
        <f t="shared" si="22"/>
        <v>-3750</v>
      </c>
      <c r="M117" s="3"/>
      <c r="N117" s="7">
        <f t="shared" si="23"/>
        <v>-1</v>
      </c>
      <c r="O117" s="9"/>
      <c r="P117" s="6"/>
      <c r="Q117" s="3"/>
      <c r="R117" s="7">
        <f t="shared" si="24"/>
        <v>0</v>
      </c>
      <c r="S117" s="3"/>
      <c r="T117" s="6">
        <v>41620</v>
      </c>
      <c r="U117" s="3"/>
      <c r="V117" s="7">
        <f t="shared" si="25"/>
        <v>4.4312771937430624E-3</v>
      </c>
      <c r="W117" s="3"/>
      <c r="X117" s="6">
        <f t="shared" si="26"/>
        <v>-41620</v>
      </c>
      <c r="Y117" s="3"/>
      <c r="Z117" s="7">
        <f t="shared" si="27"/>
        <v>-1</v>
      </c>
    </row>
    <row r="118" spans="1:26" s="70" customFormat="1" ht="15" hidden="1" customHeight="1" outlineLevel="2" x14ac:dyDescent="0.3">
      <c r="A118" s="21"/>
      <c r="B118" s="9" t="str">
        <f>CONCATENATE("          ","6373"," - ","MAINTENANCE CONTRACTS")</f>
        <v xml:space="preserve">          6373 - MAINTENANCE CONTRACTS</v>
      </c>
      <c r="C118" s="9"/>
      <c r="D118" s="6">
        <v>4242.3999999999996</v>
      </c>
      <c r="E118" s="3"/>
      <c r="F118" s="7">
        <f t="shared" si="20"/>
        <v>1.3820222760855322E-2</v>
      </c>
      <c r="G118" s="3"/>
      <c r="H118" s="6">
        <v>5955</v>
      </c>
      <c r="I118" s="3"/>
      <c r="J118" s="7">
        <f t="shared" si="21"/>
        <v>2.0016806722689077E-2</v>
      </c>
      <c r="K118" s="3"/>
      <c r="L118" s="6">
        <f t="shared" si="22"/>
        <v>-1712.6000000000004</v>
      </c>
      <c r="M118" s="3"/>
      <c r="N118" s="7">
        <f t="shared" si="23"/>
        <v>-0.28759026028547446</v>
      </c>
      <c r="O118" s="9"/>
      <c r="P118" s="6">
        <v>29676.28</v>
      </c>
      <c r="Q118" s="3"/>
      <c r="R118" s="7">
        <f t="shared" si="24"/>
        <v>3.5650410733701599E-3</v>
      </c>
      <c r="S118" s="3"/>
      <c r="T118" s="6">
        <v>87234</v>
      </c>
      <c r="U118" s="3"/>
      <c r="V118" s="7">
        <f t="shared" si="25"/>
        <v>9.287795163839074E-3</v>
      </c>
      <c r="W118" s="3"/>
      <c r="X118" s="6">
        <f t="shared" si="26"/>
        <v>-57557.72</v>
      </c>
      <c r="Y118" s="3"/>
      <c r="Z118" s="7">
        <f t="shared" si="27"/>
        <v>-0.65980833161382035</v>
      </c>
    </row>
    <row r="119" spans="1:26" s="70" customFormat="1" ht="15" hidden="1" customHeight="1" outlineLevel="2" x14ac:dyDescent="0.3">
      <c r="A119" s="21"/>
      <c r="B119" s="9" t="str">
        <f>CONCATENATE("          ","6375"," - ","OUTSIDE REPAIRS &amp; MAINTENANCE")</f>
        <v xml:space="preserve">          6375 - OUTSIDE REPAIRS &amp; MAINTENANCE</v>
      </c>
      <c r="C119" s="9"/>
      <c r="D119" s="6">
        <v>27756.720000000001</v>
      </c>
      <c r="E119" s="3"/>
      <c r="F119" s="7">
        <f t="shared" si="20"/>
        <v>9.042147216450315E-2</v>
      </c>
      <c r="G119" s="3"/>
      <c r="H119" s="6">
        <v>255</v>
      </c>
      <c r="I119" s="3"/>
      <c r="J119" s="7">
        <f t="shared" si="21"/>
        <v>8.571428571428571E-4</v>
      </c>
      <c r="K119" s="3"/>
      <c r="L119" s="6">
        <f t="shared" si="22"/>
        <v>27501.72</v>
      </c>
      <c r="M119" s="3"/>
      <c r="N119" s="7">
        <f t="shared" si="23"/>
        <v>107.84988235294118</v>
      </c>
      <c r="O119" s="9"/>
      <c r="P119" s="6">
        <v>89508.58</v>
      </c>
      <c r="Q119" s="3"/>
      <c r="R119" s="7">
        <f t="shared" si="24"/>
        <v>1.0752754864121744E-2</v>
      </c>
      <c r="S119" s="3"/>
      <c r="T119" s="6">
        <v>5190</v>
      </c>
      <c r="U119" s="3"/>
      <c r="V119" s="7">
        <f t="shared" si="25"/>
        <v>5.5257877548117468E-4</v>
      </c>
      <c r="W119" s="3"/>
      <c r="X119" s="6">
        <f t="shared" si="26"/>
        <v>84318.58</v>
      </c>
      <c r="Y119" s="3"/>
      <c r="Z119" s="7">
        <f t="shared" si="27"/>
        <v>16.246354527938344</v>
      </c>
    </row>
    <row r="120" spans="1:26" s="69" customFormat="1" ht="15" customHeight="1" outlineLevel="1" collapsed="1" x14ac:dyDescent="0.3">
      <c r="A120" s="20"/>
      <c r="B120" s="11" t="str">
        <f>CONCATENATE("     ","Royalty &amp; Commissions                             ")</f>
        <v xml:space="preserve">     Royalty &amp; Commissions                             </v>
      </c>
      <c r="C120" s="11"/>
      <c r="D120" s="2">
        <f>SUM(OSRRefD22_18x_0)</f>
        <v>503.53</v>
      </c>
      <c r="E120" s="2"/>
      <c r="F120" s="5">
        <f t="shared" si="20"/>
        <v>1.6403207540009147E-3</v>
      </c>
      <c r="G120" s="2"/>
      <c r="H120" s="2">
        <f>SUM(OSRRefH22_18x_0)</f>
        <v>10158</v>
      </c>
      <c r="I120" s="2"/>
      <c r="J120" s="5">
        <f t="shared" si="21"/>
        <v>3.4144537815126053E-2</v>
      </c>
      <c r="K120" s="2"/>
      <c r="L120" s="2">
        <f t="shared" si="22"/>
        <v>-9654.4699999999993</v>
      </c>
      <c r="M120" s="2"/>
      <c r="N120" s="5">
        <f t="shared" si="23"/>
        <v>-0.95043020279582591</v>
      </c>
      <c r="O120" s="11"/>
      <c r="P120" s="2">
        <f>SUM(OSRRefP22_18x_0)</f>
        <v>90338.51</v>
      </c>
      <c r="Q120" s="2"/>
      <c r="R120" s="5">
        <f t="shared" si="24"/>
        <v>1.0852455181615112E-2</v>
      </c>
      <c r="S120" s="2"/>
      <c r="T120" s="2">
        <f>SUM(OSRRefT22_18x_0)</f>
        <v>123180</v>
      </c>
      <c r="U120" s="2"/>
      <c r="V120" s="5">
        <f t="shared" si="25"/>
        <v>1.3114962151015626E-2</v>
      </c>
      <c r="W120" s="2"/>
      <c r="X120" s="2">
        <f t="shared" si="26"/>
        <v>-32841.490000000005</v>
      </c>
      <c r="Y120" s="2"/>
      <c r="Z120" s="5">
        <f t="shared" si="27"/>
        <v>-0.26661381717811339</v>
      </c>
    </row>
    <row r="121" spans="1:26" s="70" customFormat="1" ht="15" hidden="1" customHeight="1" outlineLevel="2" x14ac:dyDescent="0.3">
      <c r="A121" s="21"/>
      <c r="B121" s="9" t="str">
        <f>CONCATENATE("          ","6252"," - ","ROYALTY DUE CSTV")</f>
        <v xml:space="preserve">          6252 - ROYALTY DUE CSTV</v>
      </c>
      <c r="C121" s="9"/>
      <c r="D121" s="6"/>
      <c r="E121" s="3"/>
      <c r="F121" s="7">
        <f t="shared" si="20"/>
        <v>0</v>
      </c>
      <c r="G121" s="3"/>
      <c r="H121" s="6">
        <v>3322</v>
      </c>
      <c r="I121" s="3"/>
      <c r="J121" s="7">
        <f t="shared" si="21"/>
        <v>1.1166386554621849E-2</v>
      </c>
      <c r="K121" s="3"/>
      <c r="L121" s="6">
        <f t="shared" si="22"/>
        <v>-3322</v>
      </c>
      <c r="M121" s="3"/>
      <c r="N121" s="7">
        <f t="shared" si="23"/>
        <v>-1</v>
      </c>
      <c r="O121" s="9"/>
      <c r="P121" s="6"/>
      <c r="Q121" s="3"/>
      <c r="R121" s="7">
        <f t="shared" si="24"/>
        <v>0</v>
      </c>
      <c r="S121" s="3"/>
      <c r="T121" s="6">
        <v>19008</v>
      </c>
      <c r="U121" s="3"/>
      <c r="V121" s="7">
        <f t="shared" si="25"/>
        <v>2.0237798389877012E-3</v>
      </c>
      <c r="W121" s="3"/>
      <c r="X121" s="6">
        <f t="shared" si="26"/>
        <v>-19008</v>
      </c>
      <c r="Y121" s="3"/>
      <c r="Z121" s="7">
        <f t="shared" si="27"/>
        <v>-1</v>
      </c>
    </row>
    <row r="122" spans="1:26" s="70" customFormat="1" ht="15" hidden="1" customHeight="1" outlineLevel="2" x14ac:dyDescent="0.3">
      <c r="A122" s="21"/>
      <c r="B122" s="9" t="str">
        <f>CONCATENATE("          ","6253"," - ","ROYALTY DUE ATHLETICS-LRG")</f>
        <v xml:space="preserve">          6253 - ROYALTY DUE ATHLETICS-LRG</v>
      </c>
      <c r="C122" s="9"/>
      <c r="D122" s="6"/>
      <c r="E122" s="3"/>
      <c r="F122" s="7">
        <f t="shared" ref="F122:F151" si="28">IF(D$12=0,0,D122/D$12)</f>
        <v>0</v>
      </c>
      <c r="G122" s="3"/>
      <c r="H122" s="6">
        <v>0</v>
      </c>
      <c r="I122" s="3"/>
      <c r="J122" s="7">
        <f t="shared" ref="J122:J151" si="29">IF(H$12=0,0,H122/H$12)</f>
        <v>0</v>
      </c>
      <c r="K122" s="3"/>
      <c r="L122" s="6">
        <f t="shared" ref="L122:L151" si="30">+D122-H122</f>
        <v>0</v>
      </c>
      <c r="M122" s="3"/>
      <c r="N122" s="7">
        <f t="shared" ref="N122:N151" si="31">IF(H122=0,0,L122/H122)</f>
        <v>0</v>
      </c>
      <c r="O122" s="9"/>
      <c r="P122" s="6">
        <v>51456.52</v>
      </c>
      <c r="Q122" s="3"/>
      <c r="R122" s="7">
        <f t="shared" ref="R122:R151" si="32">IF(P$12=0,0,P122/P$12)</f>
        <v>6.1815229972453792E-3</v>
      </c>
      <c r="S122" s="3"/>
      <c r="T122" s="6">
        <v>38502</v>
      </c>
      <c r="U122" s="3"/>
      <c r="V122" s="7">
        <f t="shared" ref="V122:V151" si="33">IF(T$12=0,0,T122/T$12)</f>
        <v>4.0993040488586105E-3</v>
      </c>
      <c r="W122" s="3"/>
      <c r="X122" s="6">
        <f t="shared" ref="X122:X151" si="34">+P122-T122</f>
        <v>12954.519999999997</v>
      </c>
      <c r="Y122" s="3"/>
      <c r="Z122" s="7">
        <f t="shared" ref="Z122:Z151" si="35">IF(T122=0,0,X122/T122)</f>
        <v>0.33646356033452801</v>
      </c>
    </row>
    <row r="123" spans="1:26" s="70" customFormat="1" ht="15" hidden="1" customHeight="1" outlineLevel="2" x14ac:dyDescent="0.3">
      <c r="A123" s="21"/>
      <c r="B123" s="9" t="str">
        <f>CONCATENATE("          ","6254"," - ","ROYALTY &amp; COMMISSIONS")</f>
        <v xml:space="preserve">          6254 - ROYALTY &amp; COMMISSIONS</v>
      </c>
      <c r="C123" s="9"/>
      <c r="D123" s="6">
        <v>108</v>
      </c>
      <c r="E123" s="3"/>
      <c r="F123" s="7">
        <f t="shared" si="28"/>
        <v>3.5182539557146306E-4</v>
      </c>
      <c r="G123" s="3"/>
      <c r="H123" s="6">
        <v>0</v>
      </c>
      <c r="I123" s="3"/>
      <c r="J123" s="7">
        <f t="shared" si="29"/>
        <v>0</v>
      </c>
      <c r="K123" s="3"/>
      <c r="L123" s="6">
        <f t="shared" si="30"/>
        <v>108</v>
      </c>
      <c r="M123" s="3"/>
      <c r="N123" s="7">
        <f t="shared" si="31"/>
        <v>0</v>
      </c>
      <c r="O123" s="9"/>
      <c r="P123" s="6">
        <v>25175</v>
      </c>
      <c r="Q123" s="3"/>
      <c r="R123" s="7">
        <f t="shared" si="32"/>
        <v>3.0242978237870035E-3</v>
      </c>
      <c r="S123" s="3"/>
      <c r="T123" s="6">
        <v>4500</v>
      </c>
      <c r="U123" s="3"/>
      <c r="V123" s="7">
        <f t="shared" si="33"/>
        <v>4.791145452148914E-4</v>
      </c>
      <c r="W123" s="3"/>
      <c r="X123" s="6">
        <f t="shared" si="34"/>
        <v>20675</v>
      </c>
      <c r="Y123" s="3"/>
      <c r="Z123" s="7">
        <f t="shared" si="35"/>
        <v>4.5944444444444441</v>
      </c>
    </row>
    <row r="124" spans="1:26" s="70" customFormat="1" ht="15" hidden="1" customHeight="1" outlineLevel="2" x14ac:dyDescent="0.3">
      <c r="A124" s="21"/>
      <c r="B124" s="9" t="str">
        <f>CONCATENATE("          ","6259"," - ","ROYALTY &amp; COMMISSIONS")</f>
        <v xml:space="preserve">          6259 - ROYALTY &amp; COMMISSIONS</v>
      </c>
      <c r="C124" s="9"/>
      <c r="D124" s="6">
        <v>395.53</v>
      </c>
      <c r="E124" s="3"/>
      <c r="F124" s="7">
        <f t="shared" si="28"/>
        <v>1.2884953584294514E-3</v>
      </c>
      <c r="G124" s="3"/>
      <c r="H124" s="6">
        <v>6836</v>
      </c>
      <c r="I124" s="3"/>
      <c r="J124" s="7">
        <f t="shared" si="29"/>
        <v>2.29781512605042E-2</v>
      </c>
      <c r="K124" s="3"/>
      <c r="L124" s="6">
        <f t="shared" si="30"/>
        <v>-6440.47</v>
      </c>
      <c r="M124" s="3"/>
      <c r="N124" s="7">
        <f t="shared" si="31"/>
        <v>-0.94214014043300176</v>
      </c>
      <c r="O124" s="9"/>
      <c r="P124" s="6">
        <v>13706.99</v>
      </c>
      <c r="Q124" s="3"/>
      <c r="R124" s="7">
        <f t="shared" si="32"/>
        <v>1.6466343605827298E-3</v>
      </c>
      <c r="S124" s="3"/>
      <c r="T124" s="6">
        <v>61170</v>
      </c>
      <c r="U124" s="3"/>
      <c r="V124" s="7">
        <f t="shared" si="33"/>
        <v>6.5127637179544237E-3</v>
      </c>
      <c r="W124" s="3"/>
      <c r="X124" s="6">
        <f t="shared" si="34"/>
        <v>-47463.01</v>
      </c>
      <c r="Y124" s="3"/>
      <c r="Z124" s="7">
        <f t="shared" si="35"/>
        <v>-0.77591973189471963</v>
      </c>
    </row>
    <row r="125" spans="1:26" s="69" customFormat="1" ht="15" customHeight="1" outlineLevel="1" collapsed="1" x14ac:dyDescent="0.3">
      <c r="A125" s="20"/>
      <c r="B125" s="11" t="str">
        <f>CONCATENATE("     ","Services                                          ")</f>
        <v xml:space="preserve">     Services                                          </v>
      </c>
      <c r="C125" s="11"/>
      <c r="D125" s="2">
        <f>SUM(OSRRefD22_19x_0)</f>
        <v>13627.109999999999</v>
      </c>
      <c r="E125" s="2"/>
      <c r="F125" s="5">
        <f t="shared" si="28"/>
        <v>4.4392253391165176E-2</v>
      </c>
      <c r="G125" s="2"/>
      <c r="H125" s="2">
        <f>SUM(OSRRefH22_19x_0)</f>
        <v>4712</v>
      </c>
      <c r="I125" s="2"/>
      <c r="J125" s="5">
        <f t="shared" si="29"/>
        <v>1.5838655462184874E-2</v>
      </c>
      <c r="K125" s="2"/>
      <c r="L125" s="2">
        <f t="shared" si="30"/>
        <v>8915.1099999999988</v>
      </c>
      <c r="M125" s="2"/>
      <c r="N125" s="5">
        <f t="shared" si="31"/>
        <v>1.8920012733446516</v>
      </c>
      <c r="O125" s="11"/>
      <c r="P125" s="2">
        <f>SUM(OSRRefP22_19x_0)</f>
        <v>87860.849999999991</v>
      </c>
      <c r="Q125" s="2"/>
      <c r="R125" s="5">
        <f t="shared" si="32"/>
        <v>1.055481141811624E-2</v>
      </c>
      <c r="S125" s="2"/>
      <c r="T125" s="2">
        <f>SUM(OSRRefT22_19x_0)</f>
        <v>55781</v>
      </c>
      <c r="U125" s="2"/>
      <c r="V125" s="5">
        <f t="shared" si="33"/>
        <v>5.9389974325848574E-3</v>
      </c>
      <c r="W125" s="2"/>
      <c r="X125" s="2">
        <f t="shared" si="34"/>
        <v>32079.849999999991</v>
      </c>
      <c r="Y125" s="2"/>
      <c r="Z125" s="5">
        <f t="shared" si="35"/>
        <v>0.57510352987576396</v>
      </c>
    </row>
    <row r="126" spans="1:26" s="70" customFormat="1" ht="15" hidden="1" customHeight="1" outlineLevel="2" x14ac:dyDescent="0.3">
      <c r="A126" s="21"/>
      <c r="B126" s="9" t="str">
        <f>CONCATENATE("          ","6282"," - ","JANITORIAL/EXTERMINATOR EXPENS")</f>
        <v xml:space="preserve">          6282 - JANITORIAL/EXTERMINATOR EXPENS</v>
      </c>
      <c r="C126" s="9"/>
      <c r="D126" s="6">
        <v>1016.85</v>
      </c>
      <c r="E126" s="3"/>
      <c r="F126" s="7">
        <f t="shared" si="28"/>
        <v>3.3125338285818723E-3</v>
      </c>
      <c r="G126" s="3"/>
      <c r="H126" s="6">
        <v>4558</v>
      </c>
      <c r="I126" s="3"/>
      <c r="J126" s="7">
        <f t="shared" si="29"/>
        <v>1.5321008403361345E-2</v>
      </c>
      <c r="K126" s="3"/>
      <c r="L126" s="6">
        <f t="shared" si="30"/>
        <v>-3541.15</v>
      </c>
      <c r="M126" s="3"/>
      <c r="N126" s="7">
        <f t="shared" si="31"/>
        <v>-0.77690873189995613</v>
      </c>
      <c r="O126" s="9"/>
      <c r="P126" s="6">
        <v>7968.38</v>
      </c>
      <c r="Q126" s="3"/>
      <c r="R126" s="7">
        <f t="shared" si="32"/>
        <v>9.572494257441066E-4</v>
      </c>
      <c r="S126" s="3"/>
      <c r="T126" s="6">
        <v>54438</v>
      </c>
      <c r="U126" s="3"/>
      <c r="V126" s="7">
        <f t="shared" si="33"/>
        <v>5.7960083583129462E-3</v>
      </c>
      <c r="W126" s="3"/>
      <c r="X126" s="6">
        <f t="shared" si="34"/>
        <v>-46469.62</v>
      </c>
      <c r="Y126" s="3"/>
      <c r="Z126" s="7">
        <f t="shared" si="35"/>
        <v>-0.85362467394099717</v>
      </c>
    </row>
    <row r="127" spans="1:26" s="70" customFormat="1" ht="15" hidden="1" customHeight="1" outlineLevel="2" x14ac:dyDescent="0.3">
      <c r="A127" s="21"/>
      <c r="B127" s="9" t="str">
        <f>CONCATENATE("          ","6284"," - ","TRASH REMOVAL EXPENSE")</f>
        <v xml:space="preserve">          6284 - TRASH REMOVAL EXPENSE</v>
      </c>
      <c r="C127" s="9"/>
      <c r="D127" s="6">
        <v>149.69999999999999</v>
      </c>
      <c r="E127" s="3"/>
      <c r="F127" s="7">
        <f t="shared" si="28"/>
        <v>4.8766908997266678E-4</v>
      </c>
      <c r="G127" s="3"/>
      <c r="H127" s="6">
        <v>120</v>
      </c>
      <c r="I127" s="3"/>
      <c r="J127" s="7">
        <f t="shared" si="29"/>
        <v>4.0336134453781514E-4</v>
      </c>
      <c r="K127" s="3"/>
      <c r="L127" s="6">
        <f t="shared" si="30"/>
        <v>29.699999999999989</v>
      </c>
      <c r="M127" s="3"/>
      <c r="N127" s="7">
        <f t="shared" si="31"/>
        <v>0.24749999999999991</v>
      </c>
      <c r="O127" s="9"/>
      <c r="P127" s="6">
        <v>1639.57</v>
      </c>
      <c r="Q127" s="3"/>
      <c r="R127" s="7">
        <f t="shared" si="32"/>
        <v>1.9696317707831014E-4</v>
      </c>
      <c r="S127" s="3"/>
      <c r="T127" s="6">
        <v>960</v>
      </c>
      <c r="U127" s="3"/>
      <c r="V127" s="7">
        <f t="shared" si="33"/>
        <v>1.0221110297917684E-4</v>
      </c>
      <c r="W127" s="3"/>
      <c r="X127" s="6">
        <f t="shared" si="34"/>
        <v>679.56999999999994</v>
      </c>
      <c r="Y127" s="3"/>
      <c r="Z127" s="7">
        <f t="shared" si="35"/>
        <v>0.7078854166666666</v>
      </c>
    </row>
    <row r="128" spans="1:26" s="70" customFormat="1" ht="15" hidden="1" customHeight="1" outlineLevel="2" x14ac:dyDescent="0.3">
      <c r="A128" s="21"/>
      <c r="B128" s="9" t="str">
        <f>CONCATENATE("          ","6285"," - ","JANITORIAL SERVICES")</f>
        <v xml:space="preserve">          6285 - JANITORIAL SERVICES</v>
      </c>
      <c r="C128" s="9"/>
      <c r="D128" s="6">
        <v>12357.1</v>
      </c>
      <c r="E128" s="3"/>
      <c r="F128" s="7">
        <f t="shared" si="28"/>
        <v>4.0255014774223392E-2</v>
      </c>
      <c r="G128" s="3"/>
      <c r="H128" s="6"/>
      <c r="I128" s="3"/>
      <c r="J128" s="7">
        <f t="shared" si="29"/>
        <v>0</v>
      </c>
      <c r="K128" s="3"/>
      <c r="L128" s="6">
        <f t="shared" si="30"/>
        <v>12357.1</v>
      </c>
      <c r="M128" s="3"/>
      <c r="N128" s="7">
        <f t="shared" si="31"/>
        <v>0</v>
      </c>
      <c r="O128" s="9"/>
      <c r="P128" s="6">
        <v>77001.649999999994</v>
      </c>
      <c r="Q128" s="3"/>
      <c r="R128" s="7">
        <f t="shared" si="32"/>
        <v>9.2502849065743201E-3</v>
      </c>
      <c r="S128" s="3"/>
      <c r="T128" s="6"/>
      <c r="U128" s="3"/>
      <c r="V128" s="7">
        <f t="shared" si="33"/>
        <v>0</v>
      </c>
      <c r="W128" s="3"/>
      <c r="X128" s="6">
        <f t="shared" si="34"/>
        <v>77001.649999999994</v>
      </c>
      <c r="Y128" s="3"/>
      <c r="Z128" s="7">
        <f t="shared" si="35"/>
        <v>0</v>
      </c>
    </row>
    <row r="129" spans="1:26" s="70" customFormat="1" ht="15" hidden="1" customHeight="1" outlineLevel="2" x14ac:dyDescent="0.3">
      <c r="A129" s="21"/>
      <c r="B129" s="9" t="str">
        <f>CONCATENATE("          ","6286"," - ","LAUNDRY EXPENSE")</f>
        <v xml:space="preserve">          6286 - LAUNDRY EXPENSE</v>
      </c>
      <c r="C129" s="9"/>
      <c r="D129" s="6">
        <v>103.46</v>
      </c>
      <c r="E129" s="3"/>
      <c r="F129" s="7">
        <f t="shared" si="28"/>
        <v>3.3703569838725521E-4</v>
      </c>
      <c r="G129" s="3"/>
      <c r="H129" s="6">
        <v>34</v>
      </c>
      <c r="I129" s="3"/>
      <c r="J129" s="7">
        <f t="shared" si="29"/>
        <v>1.1428571428571428E-4</v>
      </c>
      <c r="K129" s="3"/>
      <c r="L129" s="6">
        <f t="shared" si="30"/>
        <v>69.459999999999994</v>
      </c>
      <c r="M129" s="3"/>
      <c r="N129" s="7">
        <f t="shared" si="31"/>
        <v>2.0429411764705883</v>
      </c>
      <c r="O129" s="9"/>
      <c r="P129" s="6">
        <v>1251.25</v>
      </c>
      <c r="Q129" s="3"/>
      <c r="R129" s="7">
        <f t="shared" si="32"/>
        <v>1.50313908719503E-4</v>
      </c>
      <c r="S129" s="3"/>
      <c r="T129" s="6">
        <v>383</v>
      </c>
      <c r="U129" s="3"/>
      <c r="V129" s="7">
        <f t="shared" si="33"/>
        <v>4.0777971292734087E-5</v>
      </c>
      <c r="W129" s="3"/>
      <c r="X129" s="6">
        <f t="shared" si="34"/>
        <v>868.25</v>
      </c>
      <c r="Y129" s="3"/>
      <c r="Z129" s="7">
        <f t="shared" si="35"/>
        <v>2.2669712793733683</v>
      </c>
    </row>
    <row r="130" spans="1:26" s="69" customFormat="1" ht="15" customHeight="1" outlineLevel="1" collapsed="1" x14ac:dyDescent="0.3">
      <c r="A130" s="20"/>
      <c r="B130" s="11" t="str">
        <f>CONCATENATE("     ","Subscriptions &amp; Dues                              ")</f>
        <v xml:space="preserve">     Subscriptions &amp; Dues                              </v>
      </c>
      <c r="C130" s="11"/>
      <c r="D130" s="2">
        <f>SUM(OSRRefD22_20x_0)</f>
        <v>272.35000000000002</v>
      </c>
      <c r="E130" s="2"/>
      <c r="F130" s="5">
        <f t="shared" si="28"/>
        <v>8.8721894892488859E-4</v>
      </c>
      <c r="G130" s="2"/>
      <c r="H130" s="2">
        <f>SUM(OSRRefH22_20x_0)</f>
        <v>661</v>
      </c>
      <c r="I130" s="2"/>
      <c r="J130" s="5">
        <f t="shared" si="29"/>
        <v>2.2218487394957982E-3</v>
      </c>
      <c r="K130" s="2"/>
      <c r="L130" s="2">
        <f t="shared" si="30"/>
        <v>-388.65</v>
      </c>
      <c r="M130" s="2"/>
      <c r="N130" s="5">
        <f t="shared" si="31"/>
        <v>-0.58797276853252645</v>
      </c>
      <c r="O130" s="11"/>
      <c r="P130" s="2">
        <f>SUM(OSRRefP22_20x_0)</f>
        <v>7455.8799999999992</v>
      </c>
      <c r="Q130" s="2"/>
      <c r="R130" s="5">
        <f t="shared" si="32"/>
        <v>8.956822903045499E-4</v>
      </c>
      <c r="S130" s="2"/>
      <c r="T130" s="2">
        <f>SUM(OSRRefT22_20x_0)</f>
        <v>13547</v>
      </c>
      <c r="U130" s="2"/>
      <c r="V130" s="5">
        <f t="shared" si="33"/>
        <v>1.4423477208946964E-3</v>
      </c>
      <c r="W130" s="2"/>
      <c r="X130" s="2">
        <f t="shared" si="34"/>
        <v>-6091.1200000000008</v>
      </c>
      <c r="Y130" s="2"/>
      <c r="Z130" s="5">
        <f t="shared" si="35"/>
        <v>-0.44962870008119887</v>
      </c>
    </row>
    <row r="131" spans="1:26" s="70" customFormat="1" ht="15" hidden="1" customHeight="1" outlineLevel="2" x14ac:dyDescent="0.3">
      <c r="A131" s="21"/>
      <c r="B131" s="9" t="str">
        <f>CONCATENATE("          ","6258"," - ","MEMBERSHIP DUES")</f>
        <v xml:space="preserve">          6258 - MEMBERSHIP DUES</v>
      </c>
      <c r="C131" s="9"/>
      <c r="D131" s="6">
        <v>272.35000000000002</v>
      </c>
      <c r="E131" s="3"/>
      <c r="F131" s="7">
        <f t="shared" si="28"/>
        <v>8.8721894892488859E-4</v>
      </c>
      <c r="G131" s="3"/>
      <c r="H131" s="6">
        <v>500</v>
      </c>
      <c r="I131" s="3"/>
      <c r="J131" s="7">
        <f t="shared" si="29"/>
        <v>1.6806722689075631E-3</v>
      </c>
      <c r="K131" s="3"/>
      <c r="L131" s="6">
        <f t="shared" si="30"/>
        <v>-227.64999999999998</v>
      </c>
      <c r="M131" s="3"/>
      <c r="N131" s="7">
        <f t="shared" si="31"/>
        <v>-0.45529999999999993</v>
      </c>
      <c r="O131" s="9"/>
      <c r="P131" s="6">
        <v>4104.49</v>
      </c>
      <c r="Q131" s="3"/>
      <c r="R131" s="7">
        <f t="shared" si="32"/>
        <v>4.9307647168840194E-4</v>
      </c>
      <c r="S131" s="3"/>
      <c r="T131" s="6">
        <v>10195</v>
      </c>
      <c r="U131" s="3"/>
      <c r="V131" s="7">
        <f t="shared" si="33"/>
        <v>1.0854606196590707E-3</v>
      </c>
      <c r="W131" s="3"/>
      <c r="X131" s="6">
        <f t="shared" si="34"/>
        <v>-6090.51</v>
      </c>
      <c r="Y131" s="3"/>
      <c r="Z131" s="7">
        <f t="shared" si="35"/>
        <v>-0.59740166748406087</v>
      </c>
    </row>
    <row r="132" spans="1:26" s="70" customFormat="1" ht="15" hidden="1" customHeight="1" outlineLevel="2" x14ac:dyDescent="0.3">
      <c r="A132" s="21"/>
      <c r="B132" s="9" t="str">
        <f>CONCATENATE("          ","6275"," - ","SUBSCRIPTIONS")</f>
        <v xml:space="preserve">          6275 - SUBSCRIPTIONS</v>
      </c>
      <c r="C132" s="9"/>
      <c r="D132" s="6"/>
      <c r="E132" s="3"/>
      <c r="F132" s="7">
        <f t="shared" si="28"/>
        <v>0</v>
      </c>
      <c r="G132" s="3"/>
      <c r="H132" s="6">
        <v>161</v>
      </c>
      <c r="I132" s="3"/>
      <c r="J132" s="7">
        <f t="shared" si="29"/>
        <v>5.4117647058823525E-4</v>
      </c>
      <c r="K132" s="3"/>
      <c r="L132" s="6">
        <f t="shared" si="30"/>
        <v>-161</v>
      </c>
      <c r="M132" s="3"/>
      <c r="N132" s="7">
        <f t="shared" si="31"/>
        <v>-1</v>
      </c>
      <c r="O132" s="9"/>
      <c r="P132" s="6">
        <v>3351.39</v>
      </c>
      <c r="Q132" s="3"/>
      <c r="R132" s="7">
        <f t="shared" si="32"/>
        <v>4.0260581861614801E-4</v>
      </c>
      <c r="S132" s="3"/>
      <c r="T132" s="6">
        <v>3352</v>
      </c>
      <c r="U132" s="3"/>
      <c r="V132" s="7">
        <f t="shared" si="33"/>
        <v>3.5688710123562574E-4</v>
      </c>
      <c r="W132" s="3"/>
      <c r="X132" s="6">
        <f t="shared" si="34"/>
        <v>-0.61000000000012733</v>
      </c>
      <c r="Y132" s="3"/>
      <c r="Z132" s="7">
        <f t="shared" si="35"/>
        <v>-1.8198090692127903E-4</v>
      </c>
    </row>
    <row r="133" spans="1:26" s="69" customFormat="1" ht="15" customHeight="1" outlineLevel="1" collapsed="1" x14ac:dyDescent="0.3">
      <c r="A133" s="20"/>
      <c r="B133" s="11" t="str">
        <f>CONCATENATE("     ","Supplies                                          ")</f>
        <v xml:space="preserve">     Supplies                                          </v>
      </c>
      <c r="C133" s="11"/>
      <c r="D133" s="2">
        <f>SUM(OSRRefD22_21x_0)</f>
        <v>36051.089999999997</v>
      </c>
      <c r="E133" s="2"/>
      <c r="F133" s="5">
        <f t="shared" si="28"/>
        <v>0.11744156481511495</v>
      </c>
      <c r="G133" s="2"/>
      <c r="H133" s="2">
        <f>SUM(OSRRefH22_21x_0)</f>
        <v>8130</v>
      </c>
      <c r="I133" s="2"/>
      <c r="J133" s="5">
        <f t="shared" si="29"/>
        <v>2.7327731092436976E-2</v>
      </c>
      <c r="K133" s="2"/>
      <c r="L133" s="2">
        <f t="shared" si="30"/>
        <v>27921.089999999997</v>
      </c>
      <c r="M133" s="2"/>
      <c r="N133" s="5">
        <f t="shared" si="31"/>
        <v>3.4343284132841325</v>
      </c>
      <c r="O133" s="11"/>
      <c r="P133" s="2">
        <f>SUM(OSRRefP22_21x_0)</f>
        <v>158619.76</v>
      </c>
      <c r="Q133" s="2"/>
      <c r="R133" s="5">
        <f t="shared" si="32"/>
        <v>1.9055149750848734E-2</v>
      </c>
      <c r="S133" s="2"/>
      <c r="T133" s="2">
        <f>SUM(OSRRefT22_21x_0)</f>
        <v>150830</v>
      </c>
      <c r="U133" s="2"/>
      <c r="V133" s="5">
        <f t="shared" si="33"/>
        <v>1.6058854856613795E-2</v>
      </c>
      <c r="W133" s="2"/>
      <c r="X133" s="2">
        <f t="shared" si="34"/>
        <v>7789.7600000000093</v>
      </c>
      <c r="Y133" s="2"/>
      <c r="Z133" s="5">
        <f t="shared" si="35"/>
        <v>5.1645959026718882E-2</v>
      </c>
    </row>
    <row r="134" spans="1:26" s="70" customFormat="1" ht="15" hidden="1" customHeight="1" outlineLevel="2" x14ac:dyDescent="0.3">
      <c r="A134" s="21"/>
      <c r="B134" s="9" t="str">
        <f>CONCATENATE("          ","6234"," - ","EXPENDABLE SUPPLIES &amp; EQUIPMEN")</f>
        <v xml:space="preserve">          6234 - EXPENDABLE SUPPLIES &amp; EQUIPMEN</v>
      </c>
      <c r="C134" s="9"/>
      <c r="D134" s="6"/>
      <c r="E134" s="3"/>
      <c r="F134" s="7">
        <f t="shared" si="28"/>
        <v>0</v>
      </c>
      <c r="G134" s="3"/>
      <c r="H134" s="6">
        <v>350</v>
      </c>
      <c r="I134" s="3"/>
      <c r="J134" s="7">
        <f t="shared" si="29"/>
        <v>1.176470588235294E-3</v>
      </c>
      <c r="K134" s="3"/>
      <c r="L134" s="6">
        <f t="shared" si="30"/>
        <v>-350</v>
      </c>
      <c r="M134" s="3"/>
      <c r="N134" s="7">
        <f t="shared" si="31"/>
        <v>-1</v>
      </c>
      <c r="O134" s="9"/>
      <c r="P134" s="6">
        <v>11477.77</v>
      </c>
      <c r="Q134" s="3"/>
      <c r="R134" s="7">
        <f t="shared" si="32"/>
        <v>1.3788359417250351E-3</v>
      </c>
      <c r="S134" s="3"/>
      <c r="T134" s="6">
        <v>3850</v>
      </c>
      <c r="U134" s="3"/>
      <c r="V134" s="7">
        <f t="shared" si="33"/>
        <v>4.0990911090607373E-4</v>
      </c>
      <c r="W134" s="3"/>
      <c r="X134" s="6">
        <f t="shared" si="34"/>
        <v>7627.77</v>
      </c>
      <c r="Y134" s="3"/>
      <c r="Z134" s="7">
        <f t="shared" si="35"/>
        <v>1.9812389610389611</v>
      </c>
    </row>
    <row r="135" spans="1:26" s="70" customFormat="1" ht="15" hidden="1" customHeight="1" outlineLevel="2" x14ac:dyDescent="0.3">
      <c r="A135" s="21"/>
      <c r="B135" s="9" t="str">
        <f>CONCATENATE("          ","6235"," - ","COVID-19 EXPENSES")</f>
        <v xml:space="preserve">          6235 - COVID-19 EXPENSES</v>
      </c>
      <c r="C135" s="9"/>
      <c r="D135" s="6"/>
      <c r="E135" s="3"/>
      <c r="F135" s="7">
        <f t="shared" si="28"/>
        <v>0</v>
      </c>
      <c r="G135" s="3"/>
      <c r="H135" s="6">
        <v>125</v>
      </c>
      <c r="I135" s="3"/>
      <c r="J135" s="7">
        <f t="shared" si="29"/>
        <v>4.2016806722689078E-4</v>
      </c>
      <c r="K135" s="3"/>
      <c r="L135" s="6">
        <f t="shared" si="30"/>
        <v>-125</v>
      </c>
      <c r="M135" s="3"/>
      <c r="N135" s="7">
        <f t="shared" si="31"/>
        <v>-1</v>
      </c>
      <c r="O135" s="9"/>
      <c r="P135" s="6">
        <v>3657.77</v>
      </c>
      <c r="Q135" s="3"/>
      <c r="R135" s="7">
        <f t="shared" si="32"/>
        <v>4.3941155316438486E-4</v>
      </c>
      <c r="S135" s="3"/>
      <c r="T135" s="6">
        <v>1500</v>
      </c>
      <c r="U135" s="3"/>
      <c r="V135" s="7">
        <f t="shared" si="33"/>
        <v>1.5970484840496381E-4</v>
      </c>
      <c r="W135" s="3"/>
      <c r="X135" s="6">
        <f t="shared" si="34"/>
        <v>2157.77</v>
      </c>
      <c r="Y135" s="3"/>
      <c r="Z135" s="7">
        <f t="shared" si="35"/>
        <v>1.4385133333333333</v>
      </c>
    </row>
    <row r="136" spans="1:26" s="70" customFormat="1" ht="15" hidden="1" customHeight="1" outlineLevel="2" x14ac:dyDescent="0.3">
      <c r="A136" s="21"/>
      <c r="B136" s="9" t="str">
        <f>CONCATENATE("          ","6237"," - ","JANITORIAL SUPPLIES")</f>
        <v xml:space="preserve">          6237 - JANITORIAL SUPPLIES</v>
      </c>
      <c r="C136" s="9"/>
      <c r="D136" s="6">
        <v>1587.45</v>
      </c>
      <c r="E136" s="3"/>
      <c r="F136" s="7">
        <f t="shared" si="28"/>
        <v>5.1713446685177685E-3</v>
      </c>
      <c r="G136" s="3"/>
      <c r="H136" s="6">
        <v>10</v>
      </c>
      <c r="I136" s="3"/>
      <c r="J136" s="7">
        <f t="shared" si="29"/>
        <v>3.3613445378151261E-5</v>
      </c>
      <c r="K136" s="3"/>
      <c r="L136" s="6">
        <f t="shared" si="30"/>
        <v>1577.45</v>
      </c>
      <c r="M136" s="3"/>
      <c r="N136" s="7">
        <f t="shared" si="31"/>
        <v>157.745</v>
      </c>
      <c r="O136" s="9"/>
      <c r="P136" s="6">
        <v>9370.77</v>
      </c>
      <c r="Q136" s="3"/>
      <c r="R136" s="7">
        <f t="shared" si="32"/>
        <v>1.1257199331959698E-3</v>
      </c>
      <c r="S136" s="3"/>
      <c r="T136" s="6">
        <v>490</v>
      </c>
      <c r="U136" s="3"/>
      <c r="V136" s="7">
        <f t="shared" si="33"/>
        <v>5.2170250478954842E-5</v>
      </c>
      <c r="W136" s="3"/>
      <c r="X136" s="6">
        <f t="shared" si="34"/>
        <v>8880.77</v>
      </c>
      <c r="Y136" s="3"/>
      <c r="Z136" s="7">
        <f t="shared" si="35"/>
        <v>18.124020408163265</v>
      </c>
    </row>
    <row r="137" spans="1:26" s="70" customFormat="1" ht="15" hidden="1" customHeight="1" outlineLevel="2" x14ac:dyDescent="0.3">
      <c r="A137" s="21"/>
      <c r="B137" s="9" t="str">
        <f>CONCATENATE("          ","6241"," - ","OFFICE EXPENSE")</f>
        <v xml:space="preserve">          6241 - OFFICE EXPENSE</v>
      </c>
      <c r="C137" s="9"/>
      <c r="D137" s="6">
        <v>4473.38</v>
      </c>
      <c r="E137" s="3"/>
      <c r="F137" s="7">
        <f t="shared" si="28"/>
        <v>1.4572673037421031E-2</v>
      </c>
      <c r="G137" s="3"/>
      <c r="H137" s="6">
        <v>420</v>
      </c>
      <c r="I137" s="3"/>
      <c r="J137" s="7">
        <f t="shared" si="29"/>
        <v>1.411764705882353E-3</v>
      </c>
      <c r="K137" s="3"/>
      <c r="L137" s="6">
        <f t="shared" si="30"/>
        <v>4053.38</v>
      </c>
      <c r="M137" s="3"/>
      <c r="N137" s="7">
        <f t="shared" si="31"/>
        <v>9.6509047619047621</v>
      </c>
      <c r="O137" s="9"/>
      <c r="P137" s="6">
        <v>22605.919999999998</v>
      </c>
      <c r="Q137" s="3"/>
      <c r="R137" s="7">
        <f t="shared" si="32"/>
        <v>2.7156716846356743E-3</v>
      </c>
      <c r="S137" s="3"/>
      <c r="T137" s="6">
        <v>6840</v>
      </c>
      <c r="U137" s="3"/>
      <c r="V137" s="7">
        <f t="shared" si="33"/>
        <v>7.2825410872663491E-4</v>
      </c>
      <c r="W137" s="3"/>
      <c r="X137" s="6">
        <f t="shared" si="34"/>
        <v>15765.919999999998</v>
      </c>
      <c r="Y137" s="3"/>
      <c r="Z137" s="7">
        <f t="shared" si="35"/>
        <v>2.3049590643274853</v>
      </c>
    </row>
    <row r="138" spans="1:26" s="70" customFormat="1" ht="15" hidden="1" customHeight="1" outlineLevel="2" x14ac:dyDescent="0.3">
      <c r="A138" s="21"/>
      <c r="B138" s="9" t="str">
        <f>CONCATENATE("          ","6243"," - ","PAPER SUPPLIES")</f>
        <v xml:space="preserve">          6243 - PAPER SUPPLIES</v>
      </c>
      <c r="C138" s="9"/>
      <c r="D138" s="6">
        <v>742</v>
      </c>
      <c r="E138" s="3"/>
      <c r="F138" s="7">
        <f t="shared" si="28"/>
        <v>2.4171707732780147E-3</v>
      </c>
      <c r="G138" s="3"/>
      <c r="H138" s="6">
        <v>1450</v>
      </c>
      <c r="I138" s="3"/>
      <c r="J138" s="7">
        <f t="shared" si="29"/>
        <v>4.8739495798319332E-3</v>
      </c>
      <c r="K138" s="3"/>
      <c r="L138" s="6">
        <f t="shared" si="30"/>
        <v>-708</v>
      </c>
      <c r="M138" s="3"/>
      <c r="N138" s="7">
        <f t="shared" si="31"/>
        <v>-0.4882758620689655</v>
      </c>
      <c r="O138" s="9"/>
      <c r="P138" s="6">
        <v>11554.44</v>
      </c>
      <c r="Q138" s="3"/>
      <c r="R138" s="7">
        <f t="shared" si="32"/>
        <v>1.3880463851867928E-3</v>
      </c>
      <c r="S138" s="3"/>
      <c r="T138" s="6">
        <v>40800</v>
      </c>
      <c r="U138" s="3"/>
      <c r="V138" s="7">
        <f t="shared" si="33"/>
        <v>4.3439718766150152E-3</v>
      </c>
      <c r="W138" s="3"/>
      <c r="X138" s="6">
        <f t="shared" si="34"/>
        <v>-29245.559999999998</v>
      </c>
      <c r="Y138" s="3"/>
      <c r="Z138" s="7">
        <f t="shared" si="35"/>
        <v>-0.71680294117647048</v>
      </c>
    </row>
    <row r="139" spans="1:26" s="70" customFormat="1" ht="15" hidden="1" customHeight="1" outlineLevel="2" x14ac:dyDescent="0.3">
      <c r="A139" s="21"/>
      <c r="B139" s="9" t="str">
        <f>CONCATENATE("          ","6245"," - ","PRINTING")</f>
        <v xml:space="preserve">          6245 - PRINTING</v>
      </c>
      <c r="C139" s="9"/>
      <c r="D139" s="6">
        <v>4642.3999999999996</v>
      </c>
      <c r="E139" s="3"/>
      <c r="F139" s="7">
        <f t="shared" si="28"/>
        <v>1.5123279781490369E-2</v>
      </c>
      <c r="G139" s="3"/>
      <c r="H139" s="6">
        <v>50</v>
      </c>
      <c r="I139" s="3"/>
      <c r="J139" s="7">
        <f t="shared" si="29"/>
        <v>1.6806722689075631E-4</v>
      </c>
      <c r="K139" s="3"/>
      <c r="L139" s="6">
        <f t="shared" si="30"/>
        <v>4592.3999999999996</v>
      </c>
      <c r="M139" s="3"/>
      <c r="N139" s="7">
        <f t="shared" si="31"/>
        <v>91.847999999999999</v>
      </c>
      <c r="O139" s="9"/>
      <c r="P139" s="6">
        <v>16345.8</v>
      </c>
      <c r="Q139" s="3"/>
      <c r="R139" s="7">
        <f t="shared" si="32"/>
        <v>1.963637234083718E-3</v>
      </c>
      <c r="S139" s="3"/>
      <c r="T139" s="6">
        <v>10395</v>
      </c>
      <c r="U139" s="3"/>
      <c r="V139" s="7">
        <f t="shared" si="33"/>
        <v>1.1067545994463991E-3</v>
      </c>
      <c r="W139" s="3"/>
      <c r="X139" s="6">
        <f t="shared" si="34"/>
        <v>5950.7999999999993</v>
      </c>
      <c r="Y139" s="3"/>
      <c r="Z139" s="7">
        <f t="shared" si="35"/>
        <v>0.57246753246753235</v>
      </c>
    </row>
    <row r="140" spans="1:26" s="70" customFormat="1" ht="15" hidden="1" customHeight="1" outlineLevel="2" x14ac:dyDescent="0.3">
      <c r="A140" s="21"/>
      <c r="B140" s="9" t="str">
        <f>CONCATENATE("          ","6247"," - ","STORE SUPPLIES")</f>
        <v xml:space="preserve">          6247 - STORE SUPPLIES</v>
      </c>
      <c r="C140" s="9"/>
      <c r="D140" s="6">
        <v>24605.86</v>
      </c>
      <c r="E140" s="3"/>
      <c r="F140" s="7">
        <f t="shared" si="28"/>
        <v>8.0157096554407781E-2</v>
      </c>
      <c r="G140" s="3"/>
      <c r="H140" s="6">
        <v>5725</v>
      </c>
      <c r="I140" s="3"/>
      <c r="J140" s="7">
        <f t="shared" si="29"/>
        <v>1.9243697478991597E-2</v>
      </c>
      <c r="K140" s="3"/>
      <c r="L140" s="6">
        <f t="shared" si="30"/>
        <v>18880.86</v>
      </c>
      <c r="M140" s="3"/>
      <c r="N140" s="7">
        <f t="shared" si="31"/>
        <v>3.2979668122270742</v>
      </c>
      <c r="O140" s="9"/>
      <c r="P140" s="6">
        <v>83607.289999999994</v>
      </c>
      <c r="Q140" s="3"/>
      <c r="R140" s="7">
        <f t="shared" si="32"/>
        <v>1.0043827018857155E-2</v>
      </c>
      <c r="S140" s="3"/>
      <c r="T140" s="6">
        <v>86955</v>
      </c>
      <c r="U140" s="3"/>
      <c r="V140" s="7">
        <f t="shared" si="33"/>
        <v>9.2580900620357516E-3</v>
      </c>
      <c r="W140" s="3"/>
      <c r="X140" s="6">
        <f t="shared" si="34"/>
        <v>-3347.7100000000064</v>
      </c>
      <c r="Y140" s="3"/>
      <c r="Z140" s="7">
        <f t="shared" si="35"/>
        <v>-3.8499338738427993E-2</v>
      </c>
    </row>
    <row r="141" spans="1:26" s="69" customFormat="1" ht="15" customHeight="1" outlineLevel="1" collapsed="1" x14ac:dyDescent="0.3">
      <c r="A141" s="20"/>
      <c r="B141" s="11" t="str">
        <f>CONCATENATE("     ","Telephone/Data Lines                              ")</f>
        <v xml:space="preserve">     Telephone/Data Lines                              </v>
      </c>
      <c r="C141" s="11"/>
      <c r="D141" s="2">
        <f>SUM(OSRRefD22_22x_0)</f>
        <v>1380.53</v>
      </c>
      <c r="E141" s="2"/>
      <c r="F141" s="5">
        <f t="shared" si="28"/>
        <v>4.4972732717432577E-3</v>
      </c>
      <c r="G141" s="2"/>
      <c r="H141" s="2">
        <f>SUM(OSRRefH22_22x_0)</f>
        <v>1913</v>
      </c>
      <c r="I141" s="2"/>
      <c r="J141" s="5">
        <f t="shared" si="29"/>
        <v>6.4302521008403361E-3</v>
      </c>
      <c r="K141" s="2"/>
      <c r="L141" s="2">
        <f t="shared" si="30"/>
        <v>-532.47</v>
      </c>
      <c r="M141" s="2"/>
      <c r="N141" s="5">
        <f t="shared" si="31"/>
        <v>-0.27834291688447466</v>
      </c>
      <c r="O141" s="11"/>
      <c r="P141" s="2">
        <f>SUM(OSRRefP22_22x_0)</f>
        <v>23432.58</v>
      </c>
      <c r="Q141" s="2"/>
      <c r="R141" s="5">
        <f t="shared" si="32"/>
        <v>2.8149791737721894E-3</v>
      </c>
      <c r="S141" s="2"/>
      <c r="T141" s="2">
        <f>SUM(OSRRefT22_22x_0)</f>
        <v>23556</v>
      </c>
      <c r="U141" s="2"/>
      <c r="V141" s="5">
        <f t="shared" si="33"/>
        <v>2.5080049393515513E-3</v>
      </c>
      <c r="W141" s="2"/>
      <c r="X141" s="2">
        <f t="shared" si="34"/>
        <v>-123.41999999999825</v>
      </c>
      <c r="Y141" s="2"/>
      <c r="Z141" s="5">
        <f t="shared" si="35"/>
        <v>-5.2394294447273837E-3</v>
      </c>
    </row>
    <row r="142" spans="1:26" s="70" customFormat="1" ht="15" hidden="1" customHeight="1" outlineLevel="2" x14ac:dyDescent="0.3">
      <c r="A142" s="21"/>
      <c r="B142" s="9" t="str">
        <f>CONCATENATE("          ","6303"," - ","DATA PHONE LINES")</f>
        <v xml:space="preserve">          6303 - DATA PHONE LINES</v>
      </c>
      <c r="C142" s="9"/>
      <c r="D142" s="6"/>
      <c r="E142" s="3"/>
      <c r="F142" s="7">
        <f t="shared" si="28"/>
        <v>0</v>
      </c>
      <c r="G142" s="3"/>
      <c r="H142" s="6">
        <v>50</v>
      </c>
      <c r="I142" s="3"/>
      <c r="J142" s="7">
        <f t="shared" si="29"/>
        <v>1.6806722689075631E-4</v>
      </c>
      <c r="K142" s="3"/>
      <c r="L142" s="6">
        <f t="shared" si="30"/>
        <v>-50</v>
      </c>
      <c r="M142" s="3"/>
      <c r="N142" s="7">
        <f t="shared" si="31"/>
        <v>-1</v>
      </c>
      <c r="O142" s="9"/>
      <c r="P142" s="6">
        <v>295</v>
      </c>
      <c r="Q142" s="3"/>
      <c r="R142" s="7">
        <f t="shared" si="32"/>
        <v>3.5438643813988722E-5</v>
      </c>
      <c r="S142" s="3"/>
      <c r="T142" s="6">
        <v>600</v>
      </c>
      <c r="U142" s="3"/>
      <c r="V142" s="7">
        <f t="shared" si="33"/>
        <v>6.3881939361985516E-5</v>
      </c>
      <c r="W142" s="3"/>
      <c r="X142" s="6">
        <f t="shared" si="34"/>
        <v>-305</v>
      </c>
      <c r="Y142" s="3"/>
      <c r="Z142" s="7">
        <f t="shared" si="35"/>
        <v>-0.5083333333333333</v>
      </c>
    </row>
    <row r="143" spans="1:26" s="70" customFormat="1" ht="15" hidden="1" customHeight="1" outlineLevel="2" x14ac:dyDescent="0.3">
      <c r="A143" s="21"/>
      <c r="B143" s="9" t="str">
        <f>CONCATENATE("          ","6309"," - ","TELEPHONE")</f>
        <v xml:space="preserve">          6309 - TELEPHONE</v>
      </c>
      <c r="C143" s="9"/>
      <c r="D143" s="6">
        <v>1380.53</v>
      </c>
      <c r="E143" s="3"/>
      <c r="F143" s="7">
        <f t="shared" si="28"/>
        <v>4.4972732717432577E-3</v>
      </c>
      <c r="G143" s="3"/>
      <c r="H143" s="6">
        <v>1863</v>
      </c>
      <c r="I143" s="3"/>
      <c r="J143" s="7">
        <f t="shared" si="29"/>
        <v>6.2621848739495799E-3</v>
      </c>
      <c r="K143" s="3"/>
      <c r="L143" s="6">
        <f t="shared" si="30"/>
        <v>-482.47</v>
      </c>
      <c r="M143" s="3"/>
      <c r="N143" s="7">
        <f t="shared" si="31"/>
        <v>-0.25897477187332263</v>
      </c>
      <c r="O143" s="9"/>
      <c r="P143" s="6">
        <v>23137.58</v>
      </c>
      <c r="Q143" s="3"/>
      <c r="R143" s="7">
        <f t="shared" si="32"/>
        <v>2.7795405299582006E-3</v>
      </c>
      <c r="S143" s="3"/>
      <c r="T143" s="6">
        <v>22956</v>
      </c>
      <c r="U143" s="3"/>
      <c r="V143" s="7">
        <f t="shared" si="33"/>
        <v>2.4441229999895659E-3</v>
      </c>
      <c r="W143" s="3"/>
      <c r="X143" s="6">
        <f t="shared" si="34"/>
        <v>181.58000000000175</v>
      </c>
      <c r="Y143" s="3"/>
      <c r="Z143" s="7">
        <f t="shared" si="35"/>
        <v>7.9099146192717264E-3</v>
      </c>
    </row>
    <row r="144" spans="1:26" s="69" customFormat="1" ht="15" customHeight="1" outlineLevel="1" collapsed="1" x14ac:dyDescent="0.3">
      <c r="A144" s="20"/>
      <c r="B144" s="11" t="str">
        <f>CONCATENATE("     ","Training                                          ")</f>
        <v xml:space="preserve">     Training                                          </v>
      </c>
      <c r="C144" s="11"/>
      <c r="D144" s="2">
        <f>SUM(OSRRefD22_23x_0)</f>
        <v>0</v>
      </c>
      <c r="E144" s="2"/>
      <c r="F144" s="5">
        <f t="shared" si="28"/>
        <v>0</v>
      </c>
      <c r="G144" s="2"/>
      <c r="H144" s="2">
        <f>SUM(OSRRefH22_23x_0)</f>
        <v>0</v>
      </c>
      <c r="I144" s="2"/>
      <c r="J144" s="5">
        <f t="shared" si="29"/>
        <v>0</v>
      </c>
      <c r="K144" s="2"/>
      <c r="L144" s="2">
        <f t="shared" si="30"/>
        <v>0</v>
      </c>
      <c r="M144" s="2"/>
      <c r="N144" s="5">
        <f t="shared" si="31"/>
        <v>0</v>
      </c>
      <c r="O144" s="11"/>
      <c r="P144" s="2">
        <f>SUM(OSRRefP22_23x_0)</f>
        <v>7239</v>
      </c>
      <c r="Q144" s="2"/>
      <c r="R144" s="5">
        <f t="shared" si="32"/>
        <v>8.6962827989648934E-4</v>
      </c>
      <c r="S144" s="2"/>
      <c r="T144" s="2">
        <f>SUM(OSRRefT22_23x_0)</f>
        <v>2150</v>
      </c>
      <c r="U144" s="2"/>
      <c r="V144" s="5">
        <f t="shared" si="33"/>
        <v>2.2891028271378145E-4</v>
      </c>
      <c r="W144" s="2"/>
      <c r="X144" s="2">
        <f t="shared" si="34"/>
        <v>5089</v>
      </c>
      <c r="Y144" s="2"/>
      <c r="Z144" s="5">
        <f t="shared" si="35"/>
        <v>2.3669767441860463</v>
      </c>
    </row>
    <row r="145" spans="1:26" s="70" customFormat="1" ht="15" hidden="1" customHeight="1" outlineLevel="2" x14ac:dyDescent="0.3">
      <c r="A145" s="21"/>
      <c r="B145" s="9" t="str">
        <f>CONCATENATE("          ","6376"," - ","TRAINING")</f>
        <v xml:space="preserve">          6376 - TRAINING</v>
      </c>
      <c r="C145" s="9"/>
      <c r="D145" s="6"/>
      <c r="E145" s="3"/>
      <c r="F145" s="7">
        <f t="shared" si="28"/>
        <v>0</v>
      </c>
      <c r="G145" s="3"/>
      <c r="H145" s="6"/>
      <c r="I145" s="3"/>
      <c r="J145" s="7">
        <f t="shared" si="29"/>
        <v>0</v>
      </c>
      <c r="K145" s="3"/>
      <c r="L145" s="6">
        <f t="shared" si="30"/>
        <v>0</v>
      </c>
      <c r="M145" s="3"/>
      <c r="N145" s="7">
        <f t="shared" si="31"/>
        <v>0</v>
      </c>
      <c r="O145" s="9"/>
      <c r="P145" s="6">
        <v>7239</v>
      </c>
      <c r="Q145" s="3"/>
      <c r="R145" s="7">
        <f t="shared" si="32"/>
        <v>8.6962827989648934E-4</v>
      </c>
      <c r="S145" s="3"/>
      <c r="T145" s="6">
        <v>2150</v>
      </c>
      <c r="U145" s="3"/>
      <c r="V145" s="7">
        <f t="shared" si="33"/>
        <v>2.2891028271378145E-4</v>
      </c>
      <c r="W145" s="3"/>
      <c r="X145" s="6">
        <f t="shared" si="34"/>
        <v>5089</v>
      </c>
      <c r="Y145" s="3"/>
      <c r="Z145" s="7">
        <f t="shared" si="35"/>
        <v>2.3669767441860463</v>
      </c>
    </row>
    <row r="146" spans="1:26" s="69" customFormat="1" ht="15" customHeight="1" outlineLevel="1" collapsed="1" x14ac:dyDescent="0.3">
      <c r="A146" s="20"/>
      <c r="B146" s="11" t="str">
        <f>CONCATENATE("     ","Travel                                            ")</f>
        <v xml:space="preserve">     Travel                                            </v>
      </c>
      <c r="C146" s="11"/>
      <c r="D146" s="2">
        <f>SUM(OSRRefD22_24x_0)</f>
        <v>1117.6500000000001</v>
      </c>
      <c r="E146" s="2"/>
      <c r="F146" s="5">
        <f t="shared" si="28"/>
        <v>3.6409041977819045E-3</v>
      </c>
      <c r="G146" s="2"/>
      <c r="H146" s="2">
        <f>SUM(OSRRefH22_24x_0)</f>
        <v>175</v>
      </c>
      <c r="I146" s="2"/>
      <c r="J146" s="5">
        <f t="shared" si="29"/>
        <v>5.8823529411764701E-4</v>
      </c>
      <c r="K146" s="2"/>
      <c r="L146" s="2">
        <f t="shared" si="30"/>
        <v>942.65000000000009</v>
      </c>
      <c r="M146" s="2"/>
      <c r="N146" s="5">
        <f t="shared" si="31"/>
        <v>5.386571428571429</v>
      </c>
      <c r="O146" s="11"/>
      <c r="P146" s="2">
        <f>SUM(OSRRefP22_24x_0)</f>
        <v>2722.9</v>
      </c>
      <c r="Q146" s="2"/>
      <c r="R146" s="5">
        <f t="shared" si="32"/>
        <v>3.2710468895291489E-4</v>
      </c>
      <c r="S146" s="2"/>
      <c r="T146" s="2">
        <f>SUM(OSRRefT22_24x_0)</f>
        <v>2350</v>
      </c>
      <c r="U146" s="2"/>
      <c r="V146" s="5">
        <f t="shared" si="33"/>
        <v>2.5020426250110995E-4</v>
      </c>
      <c r="W146" s="2"/>
      <c r="X146" s="2">
        <f t="shared" si="34"/>
        <v>372.90000000000009</v>
      </c>
      <c r="Y146" s="2"/>
      <c r="Z146" s="5">
        <f t="shared" si="35"/>
        <v>0.15868085106382981</v>
      </c>
    </row>
    <row r="147" spans="1:26" s="70" customFormat="1" ht="15" hidden="1" customHeight="1" outlineLevel="2" x14ac:dyDescent="0.3">
      <c r="A147" s="21"/>
      <c r="B147" s="9" t="str">
        <f>CONCATENATE("          ","6292"," - ","TRAVEL/CONFERENCE")</f>
        <v xml:space="preserve">          6292 - TRAVEL/CONFERENCE</v>
      </c>
      <c r="C147" s="9"/>
      <c r="D147" s="6"/>
      <c r="E147" s="3"/>
      <c r="F147" s="7">
        <f t="shared" si="28"/>
        <v>0</v>
      </c>
      <c r="G147" s="3"/>
      <c r="H147" s="6">
        <v>125</v>
      </c>
      <c r="I147" s="3"/>
      <c r="J147" s="7">
        <f t="shared" si="29"/>
        <v>4.2016806722689078E-4</v>
      </c>
      <c r="K147" s="3"/>
      <c r="L147" s="6">
        <f t="shared" si="30"/>
        <v>-125</v>
      </c>
      <c r="M147" s="3"/>
      <c r="N147" s="7">
        <f t="shared" si="31"/>
        <v>-1</v>
      </c>
      <c r="O147" s="9"/>
      <c r="P147" s="6">
        <v>495</v>
      </c>
      <c r="Q147" s="3"/>
      <c r="R147" s="7">
        <f t="shared" si="32"/>
        <v>5.9464843009913278E-5</v>
      </c>
      <c r="S147" s="3"/>
      <c r="T147" s="6">
        <v>1500</v>
      </c>
      <c r="U147" s="3"/>
      <c r="V147" s="7">
        <f t="shared" si="33"/>
        <v>1.5970484840496381E-4</v>
      </c>
      <c r="W147" s="3"/>
      <c r="X147" s="6">
        <f t="shared" si="34"/>
        <v>-1005</v>
      </c>
      <c r="Y147" s="3"/>
      <c r="Z147" s="7">
        <f t="shared" si="35"/>
        <v>-0.67</v>
      </c>
    </row>
    <row r="148" spans="1:26" s="70" customFormat="1" ht="15" hidden="1" customHeight="1" outlineLevel="2" x14ac:dyDescent="0.3">
      <c r="A148" s="21"/>
      <c r="B148" s="9" t="str">
        <f>CONCATENATE("          ","6294"," - ","TRAVEL OPERATIONAL")</f>
        <v xml:space="preserve">          6294 - TRAVEL OPERATIONAL</v>
      </c>
      <c r="C148" s="9"/>
      <c r="D148" s="6">
        <v>1017.65</v>
      </c>
      <c r="E148" s="3"/>
      <c r="F148" s="7">
        <f t="shared" si="28"/>
        <v>3.3151399426231422E-3</v>
      </c>
      <c r="G148" s="3"/>
      <c r="H148" s="6">
        <v>25</v>
      </c>
      <c r="I148" s="3"/>
      <c r="J148" s="7">
        <f t="shared" si="29"/>
        <v>8.4033613445378154E-5</v>
      </c>
      <c r="K148" s="3"/>
      <c r="L148" s="6">
        <f t="shared" si="30"/>
        <v>992.65</v>
      </c>
      <c r="M148" s="3"/>
      <c r="N148" s="7">
        <f t="shared" si="31"/>
        <v>39.705999999999996</v>
      </c>
      <c r="O148" s="9"/>
      <c r="P148" s="6">
        <v>1628.52</v>
      </c>
      <c r="Q148" s="3"/>
      <c r="R148" s="7">
        <f t="shared" si="32"/>
        <v>1.9563572957273531E-4</v>
      </c>
      <c r="S148" s="3"/>
      <c r="T148" s="6">
        <v>300</v>
      </c>
      <c r="U148" s="3"/>
      <c r="V148" s="7">
        <f t="shared" si="33"/>
        <v>3.1940969680992758E-5</v>
      </c>
      <c r="W148" s="3"/>
      <c r="X148" s="6">
        <f t="shared" si="34"/>
        <v>1328.52</v>
      </c>
      <c r="Y148" s="3"/>
      <c r="Z148" s="7">
        <f t="shared" si="35"/>
        <v>4.4283999999999999</v>
      </c>
    </row>
    <row r="149" spans="1:26" s="70" customFormat="1" ht="15" hidden="1" customHeight="1" outlineLevel="2" x14ac:dyDescent="0.3">
      <c r="A149" s="21"/>
      <c r="B149" s="9" t="str">
        <f>CONCATENATE("          ","6298"," - ","VEHICLE MILEAGE")</f>
        <v xml:space="preserve">          6298 - VEHICLE MILEAGE</v>
      </c>
      <c r="C149" s="9"/>
      <c r="D149" s="6">
        <v>100</v>
      </c>
      <c r="E149" s="3"/>
      <c r="F149" s="7">
        <f t="shared" si="28"/>
        <v>3.257642551587621E-4</v>
      </c>
      <c r="G149" s="3"/>
      <c r="H149" s="6">
        <v>25</v>
      </c>
      <c r="I149" s="3"/>
      <c r="J149" s="7">
        <f t="shared" si="29"/>
        <v>8.4033613445378154E-5</v>
      </c>
      <c r="K149" s="3"/>
      <c r="L149" s="6">
        <f t="shared" si="30"/>
        <v>75</v>
      </c>
      <c r="M149" s="3"/>
      <c r="N149" s="7">
        <f t="shared" si="31"/>
        <v>3</v>
      </c>
      <c r="O149" s="9"/>
      <c r="P149" s="6">
        <v>599.38</v>
      </c>
      <c r="Q149" s="3"/>
      <c r="R149" s="7">
        <f t="shared" si="32"/>
        <v>7.2004116370266312E-5</v>
      </c>
      <c r="S149" s="3"/>
      <c r="T149" s="6">
        <v>550</v>
      </c>
      <c r="U149" s="3"/>
      <c r="V149" s="7">
        <f t="shared" si="33"/>
        <v>5.8558444415153391E-5</v>
      </c>
      <c r="W149" s="3"/>
      <c r="X149" s="6">
        <f t="shared" si="34"/>
        <v>49.379999999999995</v>
      </c>
      <c r="Y149" s="3"/>
      <c r="Z149" s="7">
        <f t="shared" si="35"/>
        <v>8.9781818181818171E-2</v>
      </c>
    </row>
    <row r="150" spans="1:26" s="69" customFormat="1" ht="15" customHeight="1" outlineLevel="1" collapsed="1" x14ac:dyDescent="0.3">
      <c r="A150" s="20"/>
      <c r="B150" s="11" t="str">
        <f>CONCATENATE("     ","Utilities                                         ")</f>
        <v xml:space="preserve">     Utilities                                         </v>
      </c>
      <c r="C150" s="11"/>
      <c r="D150" s="2">
        <f>SUM(OSRRefD22_25x_0)</f>
        <v>6671.98</v>
      </c>
      <c r="E150" s="2"/>
      <c r="F150" s="5">
        <f t="shared" si="28"/>
        <v>2.1734925951341574E-2</v>
      </c>
      <c r="G150" s="2"/>
      <c r="H150" s="2">
        <f>SUM(OSRRefH22_25x_0)</f>
        <v>6120</v>
      </c>
      <c r="I150" s="2"/>
      <c r="J150" s="5">
        <f t="shared" si="29"/>
        <v>2.057142857142857E-2</v>
      </c>
      <c r="K150" s="2"/>
      <c r="L150" s="2">
        <f t="shared" si="30"/>
        <v>551.97999999999956</v>
      </c>
      <c r="M150" s="2"/>
      <c r="N150" s="5">
        <f t="shared" si="31"/>
        <v>9.0192810457516273E-2</v>
      </c>
      <c r="O150" s="11"/>
      <c r="P150" s="2">
        <f>SUM(OSRRefP22_25x_0)</f>
        <v>92917.85</v>
      </c>
      <c r="Q150" s="2"/>
      <c r="R150" s="5">
        <f t="shared" si="32"/>
        <v>1.1162313864785193E-2</v>
      </c>
      <c r="S150" s="2"/>
      <c r="T150" s="2">
        <f>SUM(OSRRefT22_25x_0)</f>
        <v>76120</v>
      </c>
      <c r="U150" s="2"/>
      <c r="V150" s="5">
        <f t="shared" si="33"/>
        <v>8.1044887070572287E-3</v>
      </c>
      <c r="W150" s="2"/>
      <c r="X150" s="2">
        <f t="shared" si="34"/>
        <v>16797.850000000006</v>
      </c>
      <c r="Y150" s="2"/>
      <c r="Z150" s="5">
        <f t="shared" si="35"/>
        <v>0.22067590646347879</v>
      </c>
    </row>
    <row r="151" spans="1:26" s="70" customFormat="1" ht="15" hidden="1" customHeight="1" outlineLevel="2" x14ac:dyDescent="0.3">
      <c r="A151" s="21"/>
      <c r="B151" s="9" t="str">
        <f>CONCATENATE("          ","6274"," - ","UTILITIES")</f>
        <v xml:space="preserve">          6274 - UTILITIES</v>
      </c>
      <c r="C151" s="9"/>
      <c r="D151" s="6">
        <v>6671.98</v>
      </c>
      <c r="E151" s="3"/>
      <c r="F151" s="7">
        <f t="shared" si="28"/>
        <v>2.1734925951341574E-2</v>
      </c>
      <c r="G151" s="3"/>
      <c r="H151" s="6">
        <v>6120</v>
      </c>
      <c r="I151" s="3"/>
      <c r="J151" s="7">
        <f t="shared" si="29"/>
        <v>2.057142857142857E-2</v>
      </c>
      <c r="K151" s="3"/>
      <c r="L151" s="6">
        <f t="shared" si="30"/>
        <v>551.97999999999956</v>
      </c>
      <c r="M151" s="3"/>
      <c r="N151" s="7">
        <f t="shared" si="31"/>
        <v>9.0192810457516273E-2</v>
      </c>
      <c r="O151" s="9"/>
      <c r="P151" s="6">
        <v>92917.85</v>
      </c>
      <c r="Q151" s="3"/>
      <c r="R151" s="7">
        <f t="shared" si="32"/>
        <v>1.1162313864785193E-2</v>
      </c>
      <c r="S151" s="3"/>
      <c r="T151" s="6">
        <v>76120</v>
      </c>
      <c r="U151" s="3"/>
      <c r="V151" s="7">
        <f t="shared" si="33"/>
        <v>8.1044887070572287E-3</v>
      </c>
      <c r="W151" s="3"/>
      <c r="X151" s="6">
        <f t="shared" si="34"/>
        <v>16797.850000000006</v>
      </c>
      <c r="Y151" s="3"/>
      <c r="Z151" s="7">
        <f t="shared" si="35"/>
        <v>0.22067590646347879</v>
      </c>
    </row>
    <row r="152" spans="1:26" s="65" customFormat="1" ht="15" customHeight="1" x14ac:dyDescent="0.3">
      <c r="A152" s="36"/>
      <c r="B152" s="36"/>
      <c r="C152" s="36"/>
      <c r="D152" s="2"/>
      <c r="E152" s="2"/>
      <c r="F152" s="5"/>
      <c r="G152" s="2"/>
      <c r="H152" s="2"/>
      <c r="I152" s="2"/>
      <c r="J152" s="5"/>
      <c r="K152" s="2"/>
      <c r="L152" s="2"/>
      <c r="M152" s="2"/>
      <c r="N152" s="5"/>
      <c r="O152" s="36"/>
      <c r="P152" s="2"/>
      <c r="Q152" s="2"/>
      <c r="R152" s="5"/>
      <c r="S152" s="2"/>
      <c r="T152" s="2"/>
      <c r="U152" s="2"/>
      <c r="V152" s="5"/>
      <c r="W152" s="2"/>
      <c r="X152" s="2"/>
      <c r="Y152" s="2"/>
      <c r="Z152" s="5"/>
    </row>
    <row r="153" spans="1:26" s="63" customFormat="1" ht="15" customHeight="1" collapsed="1" x14ac:dyDescent="0.3">
      <c r="A153" s="13"/>
      <c r="B153" s="28" t="s">
        <v>291</v>
      </c>
      <c r="C153" s="13"/>
      <c r="D153" s="8">
        <f>SUM(OSRRefD25x_0)</f>
        <v>29180.559999999998</v>
      </c>
      <c r="E153" s="8"/>
      <c r="F153" s="14">
        <f t="shared" ref="F153:F158" si="36">IF(D$12=0,0,D153/D$12)</f>
        <v>9.5059833935155658E-2</v>
      </c>
      <c r="G153" s="8"/>
      <c r="H153" s="8">
        <f>SUM(OSRRefH25x_0)</f>
        <v>219676</v>
      </c>
      <c r="I153" s="8"/>
      <c r="J153" s="14">
        <f t="shared" ref="J153:J158" si="37">IF(H$12=0,0,H153/H$12)</f>
        <v>0.73840672268907559</v>
      </c>
      <c r="K153" s="8"/>
      <c r="L153" s="8">
        <f t="shared" ref="L153:L158" si="38">+D153-H153</f>
        <v>-190495.44</v>
      </c>
      <c r="M153" s="8"/>
      <c r="N153" s="14">
        <f t="shared" ref="N153:N158" si="39">IF(H153=0,0,L153/H153)</f>
        <v>-0.86716546186201493</v>
      </c>
      <c r="O153" s="13"/>
      <c r="P153" s="8">
        <f>SUM(OSRRefP25x_0)</f>
        <v>1435481.17</v>
      </c>
      <c r="Q153" s="8"/>
      <c r="R153" s="14">
        <f t="shared" ref="R153:R158" si="40">IF(P$12=0,0,P153/P$12)</f>
        <v>0.1724457826620942</v>
      </c>
      <c r="S153" s="8"/>
      <c r="T153" s="8">
        <f>SUM(OSRRefT25x_0)</f>
        <v>1259728.23</v>
      </c>
      <c r="U153" s="8"/>
      <c r="V153" s="14">
        <f t="shared" ref="V153:V158" si="41">IF(T$12=0,0,T153/T$12)</f>
        <v>0.13412313733573558</v>
      </c>
      <c r="W153" s="8"/>
      <c r="X153" s="8">
        <f t="shared" ref="X153:X158" si="42">+P153-T153</f>
        <v>175752.93999999994</v>
      </c>
      <c r="Y153" s="8"/>
      <c r="Z153" s="14">
        <f t="shared" ref="Z153:Z158" si="43">IF(T153=0,0,X153/T153)</f>
        <v>0.13951655270915056</v>
      </c>
    </row>
    <row r="154" spans="1:26" s="70" customFormat="1" ht="15" hidden="1" customHeight="1" outlineLevel="1" x14ac:dyDescent="0.3">
      <c r="A154" s="48"/>
      <c r="B154" s="9" t="str">
        <f>CONCATENATE("          ","9150"," - ","MISC. INCOME")</f>
        <v xml:space="preserve">          9150 - MISC. INCOME</v>
      </c>
      <c r="C154" s="9"/>
      <c r="D154" s="3">
        <f>--6862.48</f>
        <v>6862.48</v>
      </c>
      <c r="E154" s="3"/>
      <c r="F154" s="26">
        <f t="shared" si="36"/>
        <v>2.2355506857419015E-2</v>
      </c>
      <c r="G154" s="3"/>
      <c r="H154" s="3">
        <v>6225</v>
      </c>
      <c r="I154" s="3"/>
      <c r="J154" s="26">
        <f t="shared" si="37"/>
        <v>2.0924369747899161E-2</v>
      </c>
      <c r="K154" s="3"/>
      <c r="L154" s="3">
        <f t="shared" si="38"/>
        <v>637.47999999999956</v>
      </c>
      <c r="M154" s="3"/>
      <c r="N154" s="26">
        <f t="shared" si="39"/>
        <v>0.10240642570281118</v>
      </c>
      <c r="O154" s="9"/>
      <c r="P154" s="3">
        <f>--442058.54</f>
        <v>442058.54</v>
      </c>
      <c r="Q154" s="3"/>
      <c r="R154" s="26">
        <f t="shared" si="40"/>
        <v>5.3104932691497915E-2</v>
      </c>
      <c r="S154" s="3"/>
      <c r="T154" s="3">
        <v>179749</v>
      </c>
      <c r="U154" s="3"/>
      <c r="V154" s="26">
        <f t="shared" si="41"/>
        <v>1.9137857863962559E-2</v>
      </c>
      <c r="W154" s="3"/>
      <c r="X154" s="3">
        <f t="shared" si="42"/>
        <v>262309.53999999998</v>
      </c>
      <c r="Y154" s="3"/>
      <c r="Z154" s="26">
        <f t="shared" si="43"/>
        <v>1.4593101491524292</v>
      </c>
    </row>
    <row r="155" spans="1:26" s="70" customFormat="1" ht="15" hidden="1" customHeight="1" outlineLevel="1" x14ac:dyDescent="0.3">
      <c r="A155" s="48"/>
      <c r="B155" s="9" t="str">
        <f>CONCATENATE("          ","9151"," - ","MISC. INCOME")</f>
        <v xml:space="preserve">          9151 - MISC. INCOME</v>
      </c>
      <c r="C155" s="9"/>
      <c r="D155" s="3">
        <f>--4094.51</f>
        <v>4094.51</v>
      </c>
      <c r="E155" s="3"/>
      <c r="F155" s="26">
        <f t="shared" si="36"/>
        <v>1.333845000390103E-2</v>
      </c>
      <c r="G155" s="3"/>
      <c r="H155" s="3">
        <v>155117</v>
      </c>
      <c r="I155" s="3"/>
      <c r="J155" s="26">
        <f t="shared" si="37"/>
        <v>0.52140168067226889</v>
      </c>
      <c r="K155" s="3"/>
      <c r="L155" s="3">
        <f t="shared" si="38"/>
        <v>-151022.49</v>
      </c>
      <c r="M155" s="3"/>
      <c r="N155" s="26">
        <f t="shared" si="39"/>
        <v>-0.97360373137696055</v>
      </c>
      <c r="O155" s="9"/>
      <c r="P155" s="3">
        <f>--328482.25</f>
        <v>328482.25</v>
      </c>
      <c r="Q155" s="3"/>
      <c r="R155" s="26">
        <f t="shared" si="40"/>
        <v>3.946089985412745E-2</v>
      </c>
      <c r="S155" s="3"/>
      <c r="T155" s="3">
        <v>904979.23</v>
      </c>
      <c r="U155" s="3"/>
      <c r="V155" s="26">
        <f t="shared" si="41"/>
        <v>9.6353047157860569E-2</v>
      </c>
      <c r="W155" s="3"/>
      <c r="X155" s="3">
        <f t="shared" si="42"/>
        <v>-576496.98</v>
      </c>
      <c r="Y155" s="3"/>
      <c r="Z155" s="26">
        <f t="shared" si="43"/>
        <v>-0.63702785753436575</v>
      </c>
    </row>
    <row r="156" spans="1:26" s="70" customFormat="1" ht="15" hidden="1" customHeight="1" outlineLevel="1" x14ac:dyDescent="0.3">
      <c r="A156" s="48"/>
      <c r="B156" s="9" t="str">
        <f>CONCATENATE("          ","9152"," - ","MISC. INCOME")</f>
        <v xml:space="preserve">          9152 - MISC. INCOME</v>
      </c>
      <c r="C156" s="9"/>
      <c r="D156" s="3">
        <f>--221.07</f>
        <v>221.07</v>
      </c>
      <c r="E156" s="3"/>
      <c r="F156" s="26">
        <f t="shared" si="36"/>
        <v>7.2016703887947534E-4</v>
      </c>
      <c r="G156" s="3"/>
      <c r="H156" s="3"/>
      <c r="I156" s="3"/>
      <c r="J156" s="26">
        <f t="shared" si="37"/>
        <v>0</v>
      </c>
      <c r="K156" s="3"/>
      <c r="L156" s="3">
        <f t="shared" si="38"/>
        <v>221.07</v>
      </c>
      <c r="M156" s="3"/>
      <c r="N156" s="26">
        <f t="shared" si="39"/>
        <v>0</v>
      </c>
      <c r="O156" s="9"/>
      <c r="P156" s="3">
        <f>--5468.18</f>
        <v>5468.18</v>
      </c>
      <c r="Q156" s="3"/>
      <c r="R156" s="26">
        <f t="shared" si="40"/>
        <v>6.5689790959585375E-4</v>
      </c>
      <c r="S156" s="3"/>
      <c r="T156" s="3"/>
      <c r="U156" s="3"/>
      <c r="V156" s="26">
        <f t="shared" si="41"/>
        <v>0</v>
      </c>
      <c r="W156" s="3"/>
      <c r="X156" s="3">
        <f t="shared" si="42"/>
        <v>5468.18</v>
      </c>
      <c r="Y156" s="3"/>
      <c r="Z156" s="26">
        <f t="shared" si="43"/>
        <v>0</v>
      </c>
    </row>
    <row r="157" spans="1:26" s="70" customFormat="1" ht="15" hidden="1" customHeight="1" outlineLevel="1" x14ac:dyDescent="0.3">
      <c r="A157" s="48"/>
      <c r="B157" s="9" t="str">
        <f>CONCATENATE("          ","9160"," - ","MISC. INCOME")</f>
        <v xml:space="preserve">          9160 - MISC. INCOME</v>
      </c>
      <c r="C157" s="9"/>
      <c r="D157" s="3">
        <f>0</f>
        <v>0</v>
      </c>
      <c r="E157" s="3"/>
      <c r="F157" s="26">
        <f t="shared" si="36"/>
        <v>0</v>
      </c>
      <c r="G157" s="3"/>
      <c r="H157" s="3">
        <v>58334</v>
      </c>
      <c r="I157" s="3"/>
      <c r="J157" s="26">
        <f t="shared" si="37"/>
        <v>0.19608067226890757</v>
      </c>
      <c r="K157" s="3"/>
      <c r="L157" s="3">
        <f t="shared" si="38"/>
        <v>-58334</v>
      </c>
      <c r="M157" s="3"/>
      <c r="N157" s="26">
        <f t="shared" si="39"/>
        <v>-1</v>
      </c>
      <c r="O157" s="9"/>
      <c r="P157" s="3">
        <f>0</f>
        <v>0</v>
      </c>
      <c r="Q157" s="3"/>
      <c r="R157" s="26">
        <f t="shared" si="40"/>
        <v>0</v>
      </c>
      <c r="S157" s="3"/>
      <c r="T157" s="3">
        <v>175000</v>
      </c>
      <c r="U157" s="3"/>
      <c r="V157" s="26">
        <f t="shared" si="41"/>
        <v>1.8632232313912443E-2</v>
      </c>
      <c r="W157" s="3"/>
      <c r="X157" s="3">
        <f t="shared" si="42"/>
        <v>-175000</v>
      </c>
      <c r="Y157" s="3"/>
      <c r="Z157" s="26">
        <f t="shared" si="43"/>
        <v>-1</v>
      </c>
    </row>
    <row r="158" spans="1:26" s="70" customFormat="1" ht="15" hidden="1" customHeight="1" outlineLevel="1" x14ac:dyDescent="0.3">
      <c r="A158" s="48"/>
      <c r="B158" s="9" t="str">
        <f>CONCATENATE("          ","9163"," - ","MISC. INCOME")</f>
        <v xml:space="preserve">          9163 - MISC. INCOME</v>
      </c>
      <c r="C158" s="9"/>
      <c r="D158" s="3">
        <f>--18002.5</f>
        <v>18002.5</v>
      </c>
      <c r="E158" s="3"/>
      <c r="F158" s="26">
        <f t="shared" si="36"/>
        <v>5.8645710034956139E-2</v>
      </c>
      <c r="G158" s="3"/>
      <c r="H158" s="3"/>
      <c r="I158" s="3"/>
      <c r="J158" s="26">
        <f t="shared" si="37"/>
        <v>0</v>
      </c>
      <c r="K158" s="3"/>
      <c r="L158" s="3">
        <f t="shared" si="38"/>
        <v>18002.5</v>
      </c>
      <c r="M158" s="3"/>
      <c r="N158" s="26">
        <f t="shared" si="39"/>
        <v>0</v>
      </c>
      <c r="O158" s="9"/>
      <c r="P158" s="3">
        <f>--659472.2</f>
        <v>659472.19999999995</v>
      </c>
      <c r="Q158" s="3"/>
      <c r="R158" s="26">
        <f t="shared" si="40"/>
        <v>7.9223052206872993E-2</v>
      </c>
      <c r="S158" s="3"/>
      <c r="T158" s="3"/>
      <c r="U158" s="3"/>
      <c r="V158" s="26">
        <f t="shared" si="41"/>
        <v>0</v>
      </c>
      <c r="W158" s="3"/>
      <c r="X158" s="3">
        <f t="shared" si="42"/>
        <v>659472.19999999995</v>
      </c>
      <c r="Y158" s="3"/>
      <c r="Z158" s="26">
        <f t="shared" si="43"/>
        <v>0</v>
      </c>
    </row>
    <row r="159" spans="1:26" ht="15" customHeight="1" x14ac:dyDescent="0.3">
      <c r="A159" s="12"/>
      <c r="B159" s="13"/>
      <c r="C159" s="13"/>
      <c r="D159" s="4"/>
      <c r="E159" s="4"/>
      <c r="F159" s="10"/>
      <c r="G159" s="4"/>
      <c r="H159" s="4"/>
      <c r="I159" s="4"/>
      <c r="J159" s="10"/>
      <c r="K159" s="4"/>
      <c r="L159" s="4"/>
      <c r="M159" s="4"/>
      <c r="N159" s="10"/>
      <c r="O159" s="13"/>
      <c r="P159" s="4"/>
      <c r="Q159" s="4"/>
      <c r="R159" s="10"/>
      <c r="S159" s="4"/>
      <c r="T159" s="4"/>
      <c r="U159" s="4"/>
      <c r="V159" s="10"/>
      <c r="W159" s="4"/>
      <c r="X159" s="4"/>
      <c r="Y159" s="4"/>
      <c r="Z159" s="10"/>
    </row>
    <row r="160" spans="1:26" s="63" customFormat="1" ht="15" customHeight="1" x14ac:dyDescent="0.3">
      <c r="A160" s="13"/>
      <c r="B160" s="27" t="s">
        <v>292</v>
      </c>
      <c r="C160" s="27"/>
      <c r="D160" s="23">
        <f>+D56-D58+D153</f>
        <v>-392440.90000000014</v>
      </c>
      <c r="E160" s="15"/>
      <c r="F160" s="22">
        <f>IF(D$12=0,0,D160/D$12)</f>
        <v>-1.2784321748233427</v>
      </c>
      <c r="G160" s="15"/>
      <c r="H160" s="23">
        <f>+H56-H58+H153</f>
        <v>53228.248327787151</v>
      </c>
      <c r="I160" s="15"/>
      <c r="J160" s="22">
        <f>IF(H$12=0,0,H160/H$12)</f>
        <v>0.17891848177407446</v>
      </c>
      <c r="K160" s="17"/>
      <c r="L160" s="23">
        <f>+D160-H160</f>
        <v>-445669.14832778729</v>
      </c>
      <c r="M160" s="17"/>
      <c r="N160" s="22">
        <f>IF(H160=0,0,L160/H160)</f>
        <v>-8.3727938139781166</v>
      </c>
      <c r="O160" s="28"/>
      <c r="P160" s="23">
        <f>+P56-P58+P153</f>
        <v>822796.45000000112</v>
      </c>
      <c r="Q160" s="15"/>
      <c r="R160" s="22">
        <f>IF(P$12=0,0,P160/P$12)</f>
        <v>9.8843357026998035E-2</v>
      </c>
      <c r="S160" s="15"/>
      <c r="T160" s="23">
        <f>+T56-T58+T153</f>
        <v>660345.10225694207</v>
      </c>
      <c r="U160" s="15"/>
      <c r="V160" s="22">
        <f>IF(T$12=0,0,T160/T$12)</f>
        <v>7.0306876300603505E-2</v>
      </c>
      <c r="W160" s="17"/>
      <c r="X160" s="23">
        <f>+P160-T160</f>
        <v>162451.34774305904</v>
      </c>
      <c r="Y160" s="17"/>
      <c r="Z160" s="22">
        <f>IF(T160=0,0,X160/T160)</f>
        <v>0.24600977153889569</v>
      </c>
    </row>
    <row r="161" spans="1:26" ht="15" customHeight="1" x14ac:dyDescent="0.3">
      <c r="A161" s="12"/>
      <c r="B161" s="13"/>
      <c r="C161" s="12"/>
      <c r="D161" s="4"/>
      <c r="E161" s="4"/>
      <c r="F161" s="10"/>
      <c r="G161" s="4"/>
      <c r="H161" s="4"/>
      <c r="I161" s="4"/>
      <c r="J161" s="10"/>
      <c r="K161" s="4"/>
      <c r="L161" s="4"/>
      <c r="M161" s="4"/>
      <c r="N161" s="10"/>
      <c r="P161" s="4"/>
      <c r="Q161" s="4"/>
      <c r="R161" s="10"/>
      <c r="S161" s="4"/>
      <c r="T161" s="4"/>
      <c r="U161" s="4"/>
      <c r="V161" s="10"/>
      <c r="W161" s="4"/>
      <c r="X161" s="4"/>
      <c r="Y161" s="4"/>
      <c r="Z161" s="10"/>
    </row>
    <row r="162" spans="1:26" s="63" customFormat="1" ht="15" customHeight="1" x14ac:dyDescent="0.3">
      <c r="A162" s="49"/>
      <c r="B162" s="13" t="s">
        <v>293</v>
      </c>
      <c r="C162" s="13"/>
      <c r="D162" s="8">
        <v>-1861036.85</v>
      </c>
      <c r="E162" s="8"/>
      <c r="F162" s="14">
        <f>IF(D$12=0,0,D162/D$12)</f>
        <v>-6.0625928326325882</v>
      </c>
      <c r="G162" s="8"/>
      <c r="H162" s="8">
        <v>-62383</v>
      </c>
      <c r="I162" s="8"/>
      <c r="J162" s="14">
        <f>IF(H$12=0,0,H162/H$12)</f>
        <v>-0.20969075630252101</v>
      </c>
      <c r="K162" s="8"/>
      <c r="L162" s="8">
        <f>+D162-H162</f>
        <v>-1798653.85</v>
      </c>
      <c r="M162" s="8"/>
      <c r="N162" s="14">
        <f>IF(H162=0,0,L162/H162)</f>
        <v>28.832435920042322</v>
      </c>
      <c r="O162" s="13"/>
      <c r="P162" s="8">
        <v>-959691.77</v>
      </c>
      <c r="Q162" s="8"/>
      <c r="R162" s="14">
        <f>IF(P$12=0,0,P162/P$12)</f>
        <v>-0.11528872816354709</v>
      </c>
      <c r="S162" s="8"/>
      <c r="T162" s="8">
        <v>1065032</v>
      </c>
      <c r="U162" s="8"/>
      <c r="V162" s="14">
        <f>IF(T$12=0,0,T162/T$12)</f>
        <v>0.11339384940429027</v>
      </c>
      <c r="W162" s="8"/>
      <c r="X162" s="8">
        <f>+P162-T162</f>
        <v>-2024723.77</v>
      </c>
      <c r="Y162" s="8"/>
      <c r="Z162" s="14">
        <f>IF(T162=0,0,X162/T162)</f>
        <v>-1.9010919578003289</v>
      </c>
    </row>
    <row r="163" spans="1:26" ht="15" customHeight="1" x14ac:dyDescent="0.3">
      <c r="A163" s="12"/>
      <c r="B163" s="13"/>
      <c r="C163" s="13"/>
      <c r="D163" s="4"/>
      <c r="E163" s="4"/>
      <c r="F163" s="10"/>
      <c r="G163" s="4"/>
      <c r="H163" s="4"/>
      <c r="I163" s="4"/>
      <c r="J163" s="10"/>
      <c r="K163" s="4"/>
      <c r="L163" s="4"/>
      <c r="M163" s="4"/>
      <c r="N163" s="10"/>
      <c r="O163" s="13"/>
      <c r="P163" s="4"/>
      <c r="Q163" s="4"/>
      <c r="R163" s="10"/>
      <c r="S163" s="4"/>
      <c r="T163" s="4"/>
      <c r="U163" s="4"/>
      <c r="V163" s="10"/>
      <c r="W163" s="4"/>
      <c r="X163" s="4"/>
      <c r="Y163" s="4"/>
      <c r="Z163" s="10"/>
    </row>
    <row r="164" spans="1:26" s="63" customFormat="1" ht="15" customHeight="1" x14ac:dyDescent="0.3">
      <c r="A164" s="13"/>
      <c r="B164" s="27" t="s">
        <v>294</v>
      </c>
      <c r="C164" s="27"/>
      <c r="D164" s="30">
        <f>+D160-D162</f>
        <v>1468595.95</v>
      </c>
      <c r="E164" s="15"/>
      <c r="F164" s="35">
        <f>IF(D$12=0,0,D164/D$12)</f>
        <v>4.7841606578092462</v>
      </c>
      <c r="G164" s="15"/>
      <c r="H164" s="30">
        <f>+H160-H162</f>
        <v>115611.24832778715</v>
      </c>
      <c r="I164" s="15"/>
      <c r="J164" s="35">
        <f>IF(H$12=0,0,H164/H$12)</f>
        <v>0.38860923807659548</v>
      </c>
      <c r="K164" s="17"/>
      <c r="L164" s="30">
        <f>D164-H164</f>
        <v>1352984.7016722127</v>
      </c>
      <c r="M164" s="17"/>
      <c r="N164" s="35">
        <f>IF(H164=0,0,L164/H164)</f>
        <v>11.702881174988775</v>
      </c>
      <c r="O164" s="28"/>
      <c r="P164" s="30">
        <f>+P160-P162</f>
        <v>1782488.2200000011</v>
      </c>
      <c r="Q164" s="15"/>
      <c r="R164" s="35">
        <f>IF(P$12=0,0,P164/P$12)</f>
        <v>0.21413208519054511</v>
      </c>
      <c r="S164" s="15"/>
      <c r="T164" s="30">
        <f>+T160-T162</f>
        <v>-404686.89774305793</v>
      </c>
      <c r="U164" s="15"/>
      <c r="V164" s="35">
        <f>IF(T$12=0,0,T164/T$12)</f>
        <v>-4.3086973103686768E-2</v>
      </c>
      <c r="W164" s="17"/>
      <c r="X164" s="30">
        <f>P164-T164</f>
        <v>2187175.1177430591</v>
      </c>
      <c r="Y164" s="17"/>
      <c r="Z164" s="35">
        <f>IF(T164=0,0,X164/T164)</f>
        <v>-5.4046106507054024</v>
      </c>
    </row>
    <row r="165" spans="1:26" ht="15" customHeight="1" x14ac:dyDescent="0.3">
      <c r="A165" s="12"/>
      <c r="B165" s="12"/>
      <c r="C165" s="12"/>
      <c r="D165" s="4"/>
      <c r="E165" s="4"/>
      <c r="F165" s="10"/>
      <c r="G165" s="4"/>
      <c r="H165" s="4"/>
      <c r="I165" s="4"/>
      <c r="J165" s="10"/>
      <c r="K165" s="4"/>
      <c r="L165" s="4"/>
      <c r="M165" s="4"/>
      <c r="N165" s="10"/>
      <c r="P165" s="4"/>
      <c r="Q165" s="4"/>
      <c r="R165" s="10"/>
      <c r="S165" s="4"/>
      <c r="T165" s="4"/>
      <c r="U165" s="4"/>
      <c r="V165" s="10"/>
      <c r="W165" s="4"/>
      <c r="X165" s="4"/>
      <c r="Y165" s="4"/>
      <c r="Z165" s="10"/>
    </row>
    <row r="166" spans="1:26" ht="15" customHeight="1" x14ac:dyDescent="0.3">
      <c r="A166" s="12"/>
      <c r="B166" s="12"/>
      <c r="C166" s="12"/>
      <c r="D166" s="4"/>
      <c r="E166" s="4"/>
      <c r="F166" s="10"/>
      <c r="G166" s="4"/>
      <c r="H166" s="4"/>
      <c r="I166" s="4"/>
      <c r="J166" s="10"/>
      <c r="K166" s="4"/>
      <c r="L166" s="4"/>
      <c r="M166" s="4"/>
      <c r="N166" s="10"/>
      <c r="P166" s="4"/>
      <c r="Q166" s="4"/>
      <c r="R166" s="10"/>
      <c r="S166" s="4"/>
      <c r="T166" s="4"/>
      <c r="U166" s="4"/>
      <c r="V166" s="10"/>
      <c r="W166" s="4"/>
      <c r="X166" s="4"/>
      <c r="Y166" s="4"/>
      <c r="Z166" s="10"/>
    </row>
    <row r="167" spans="1:26" s="63" customFormat="1" ht="15" customHeight="1" x14ac:dyDescent="0.3">
      <c r="A167" s="13"/>
      <c r="B167" s="27" t="s">
        <v>297</v>
      </c>
      <c r="C167" s="27"/>
      <c r="D167" s="33">
        <f>SUM(D164:D166)</f>
        <v>1468595.95</v>
      </c>
      <c r="E167" s="15"/>
      <c r="F167" s="31">
        <f>IF(D$12=0,0,D167/D$12)</f>
        <v>4.7841606578092462</v>
      </c>
      <c r="G167" s="15"/>
      <c r="H167" s="33">
        <f>SUM(H164:H166)</f>
        <v>115611.24832778715</v>
      </c>
      <c r="I167" s="15"/>
      <c r="J167" s="31">
        <f>IF(H$12=0,0,H167/H$12)</f>
        <v>0.38860923807659548</v>
      </c>
      <c r="K167" s="17"/>
      <c r="L167" s="33">
        <f>+D167-H167</f>
        <v>1352984.7016722127</v>
      </c>
      <c r="M167" s="17"/>
      <c r="N167" s="31">
        <f>IF(H167=0,0,L167/H167)</f>
        <v>11.702881174988775</v>
      </c>
      <c r="O167" s="28"/>
      <c r="P167" s="33">
        <f>SUM(P164:P166)</f>
        <v>1782488.2200000011</v>
      </c>
      <c r="Q167" s="15"/>
      <c r="R167" s="31">
        <f>IF(P$12=0,0,P167/P$12)</f>
        <v>0.21413208519054511</v>
      </c>
      <c r="S167" s="15"/>
      <c r="T167" s="33">
        <f>SUM(T164:T166)</f>
        <v>-404686.89774305793</v>
      </c>
      <c r="U167" s="15"/>
      <c r="V167" s="31">
        <f>IF(T$12=0,0,T167/T$12)</f>
        <v>-4.3086973103686768E-2</v>
      </c>
      <c r="W167" s="17"/>
      <c r="X167" s="33">
        <f>+P167-T167</f>
        <v>2187175.1177430591</v>
      </c>
      <c r="Y167" s="17"/>
      <c r="Z167" s="31">
        <f>IF(T167=0,0,X167/T167)</f>
        <v>-5.4046106507054024</v>
      </c>
    </row>
    <row r="168" spans="1:26" ht="15" customHeight="1" x14ac:dyDescent="0.3">
      <c r="A168" s="12"/>
      <c r="C168" s="12"/>
      <c r="D168" s="19"/>
      <c r="E168" s="19"/>
      <c r="G168" s="19"/>
      <c r="H168" s="19"/>
      <c r="I168" s="19"/>
      <c r="J168" s="41"/>
      <c r="K168" s="19"/>
      <c r="L168" s="19"/>
      <c r="M168" s="19"/>
      <c r="P168" s="19"/>
      <c r="Q168" s="19"/>
      <c r="R168" s="41"/>
      <c r="S168" s="19"/>
      <c r="T168" s="19"/>
      <c r="U168" s="19"/>
      <c r="V168" s="41"/>
      <c r="W168" s="19"/>
      <c r="X168" s="19"/>
    </row>
    <row r="169" spans="1:26" ht="15" customHeight="1" x14ac:dyDescent="0.3">
      <c r="A169" s="12"/>
      <c r="B169" s="50">
        <v>44767.799534224534</v>
      </c>
      <c r="D169" s="19"/>
      <c r="E169" s="19"/>
      <c r="G169" s="19"/>
      <c r="H169" s="19"/>
      <c r="I169" s="19"/>
      <c r="J169" s="41"/>
      <c r="K169" s="19"/>
      <c r="L169" s="19"/>
      <c r="M169" s="19"/>
      <c r="P169" s="19"/>
      <c r="Q169" s="19"/>
      <c r="R169" s="41"/>
      <c r="S169" s="19"/>
      <c r="T169" s="19"/>
      <c r="U169" s="19"/>
      <c r="V169" s="41"/>
      <c r="W169" s="19"/>
      <c r="X169" s="19"/>
    </row>
    <row r="170" spans="1:26" ht="15" customHeight="1" x14ac:dyDescent="0.3">
      <c r="A170" s="12"/>
      <c r="B170" s="57" t="s">
        <v>298</v>
      </c>
      <c r="D170" s="19"/>
      <c r="E170" s="19"/>
      <c r="G170" s="19"/>
      <c r="H170" s="19"/>
      <c r="I170" s="19"/>
      <c r="J170" s="41"/>
      <c r="K170" s="19"/>
      <c r="L170" s="19"/>
      <c r="M170" s="19"/>
      <c r="P170" s="19"/>
      <c r="Q170" s="19"/>
      <c r="R170" s="41"/>
      <c r="S170" s="19"/>
      <c r="T170" s="19"/>
      <c r="U170" s="19"/>
      <c r="V170" s="41"/>
      <c r="W170" s="19"/>
      <c r="X170" s="19"/>
    </row>
    <row r="171" spans="1:26" ht="15" customHeight="1" x14ac:dyDescent="0.3">
      <c r="A171" s="12"/>
      <c r="B171" s="51"/>
      <c r="D171" s="19"/>
      <c r="E171" s="19"/>
      <c r="G171" s="19"/>
      <c r="H171" s="19"/>
      <c r="I171" s="19"/>
      <c r="J171" s="41"/>
      <c r="K171" s="19"/>
      <c r="L171" s="19"/>
      <c r="M171" s="19"/>
      <c r="P171" s="19"/>
      <c r="Q171" s="19"/>
      <c r="R171" s="41"/>
      <c r="S171" s="19"/>
      <c r="T171" s="19"/>
      <c r="U171" s="19"/>
      <c r="V171" s="41"/>
      <c r="W171" s="19"/>
      <c r="X171" s="19"/>
    </row>
    <row r="172" spans="1:26" ht="15" customHeight="1" x14ac:dyDescent="0.3">
      <c r="D172" s="19"/>
      <c r="E172" s="19"/>
      <c r="G172" s="19"/>
      <c r="H172" s="19"/>
      <c r="I172" s="19"/>
      <c r="J172" s="41"/>
      <c r="K172" s="19"/>
      <c r="L172" s="19"/>
      <c r="M172" s="19"/>
      <c r="P172" s="19"/>
      <c r="Q172" s="19"/>
      <c r="R172" s="41"/>
      <c r="S172" s="19"/>
      <c r="T172" s="19"/>
      <c r="U172" s="19"/>
      <c r="V172" s="41"/>
      <c r="W172" s="19"/>
      <c r="X172" s="19"/>
    </row>
  </sheetData>
  <pageMargins left="0.25" right="0.25" top="0.75" bottom="0.75" header="0.3" footer="0.3"/>
  <pageSetup scale="55" orientation="landscape" r:id="rId1"/>
  <headerFooter>
    <oddHeader>&amp;RPre-Audit</oddHeader>
    <oddFooter>&amp;L&amp;C&amp;R</oddFooter>
    <evenHeader>&amp;L&amp;C&amp;R</evenHeader>
    <evenFooter>&amp;L&amp;C&amp;R</even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26DC6E-6A46-E668-ED42-44DA603F29DE}">
  <sheetPr>
    <tabColor rgb="FFFFFF00"/>
    <outlinePr summaryBelow="0" summaryRight="0"/>
  </sheetPr>
  <dimension ref="A2:Z163"/>
  <sheetViews>
    <sheetView showGridLines="0" defaultGridColor="0" colorId="8" zoomScale="80" workbookViewId="0">
      <pane xSplit="3" ySplit="10" topLeftCell="D11" activePane="bottomRight" state="frozen"/>
      <selection activeCell="D78" sqref="D78"/>
      <selection pane="topRight" activeCell="D78" sqref="D78"/>
      <selection pane="bottomLeft" activeCell="D78" sqref="D78"/>
      <selection pane="bottomRight" activeCell="D78" sqref="D78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3" t="s">
        <v>276</v>
      </c>
    </row>
    <row r="3" spans="1:26" ht="15" customHeight="1" x14ac:dyDescent="0.3">
      <c r="D3" s="53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3" t="str">
        <f>CONCATENATE("Period ",RIGHT(202212,2),", ",2022)</f>
        <v>Period 12,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5"/>
      <c r="D5" s="60">
        <v>44742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5"/>
      <c r="B6" s="47"/>
      <c r="C6" s="47"/>
      <c r="D6" s="25" t="s">
        <v>302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4"/>
    </row>
    <row r="8" spans="1:26" ht="15" customHeight="1" x14ac:dyDescent="0.3">
      <c r="B8" s="54"/>
    </row>
    <row r="9" spans="1:26" ht="15" customHeight="1" x14ac:dyDescent="0.3">
      <c r="B9" s="12"/>
      <c r="C9" s="12"/>
      <c r="D9" s="16" t="s">
        <v>279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280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ht="15" customHeight="1" x14ac:dyDescent="0.3">
      <c r="A10" s="13"/>
      <c r="B10" s="52"/>
      <c r="C10" s="13"/>
      <c r="D10" s="40" t="s">
        <v>281</v>
      </c>
      <c r="E10" s="32"/>
      <c r="F10" s="39" t="s">
        <v>282</v>
      </c>
      <c r="G10" s="32"/>
      <c r="H10" s="45" t="s">
        <v>283</v>
      </c>
      <c r="I10" s="32"/>
      <c r="J10" s="42" t="s">
        <v>284</v>
      </c>
      <c r="K10" s="13"/>
      <c r="L10" s="40" t="s">
        <v>285</v>
      </c>
      <c r="M10" s="13"/>
      <c r="N10" s="39" t="s">
        <v>286</v>
      </c>
      <c r="O10" s="13"/>
      <c r="P10" s="55" t="s">
        <v>281</v>
      </c>
      <c r="Q10" s="32"/>
      <c r="R10" s="39" t="s">
        <v>282</v>
      </c>
      <c r="S10" s="32"/>
      <c r="T10" s="45" t="s">
        <v>283</v>
      </c>
      <c r="U10" s="32"/>
      <c r="V10" s="42" t="s">
        <v>284</v>
      </c>
      <c r="W10" s="13"/>
      <c r="X10" s="40" t="s">
        <v>285</v>
      </c>
      <c r="Y10" s="13"/>
      <c r="Z10" s="39" t="s">
        <v>286</v>
      </c>
    </row>
    <row r="11" spans="1:26" ht="16.5" customHeight="1" x14ac:dyDescent="0.3">
      <c r="A11" s="12"/>
      <c r="B11" s="58"/>
      <c r="C11" s="12"/>
      <c r="D11" s="12"/>
      <c r="E11" s="12"/>
      <c r="F11" s="10"/>
      <c r="G11" s="12"/>
      <c r="H11" s="12"/>
      <c r="I11" s="12"/>
      <c r="J11" s="43"/>
      <c r="K11" s="12"/>
      <c r="L11" s="12"/>
      <c r="M11" s="12"/>
      <c r="N11" s="10"/>
      <c r="P11" s="12"/>
      <c r="Q11" s="12"/>
      <c r="R11" s="10"/>
      <c r="S11" s="12"/>
      <c r="T11" s="12"/>
      <c r="U11" s="12"/>
      <c r="V11" s="43"/>
      <c r="W11" s="12"/>
      <c r="X11" s="12"/>
      <c r="Y11" s="12"/>
      <c r="Z11" s="10"/>
    </row>
    <row r="12" spans="1:26" s="63" customFormat="1" ht="15" customHeight="1" collapsed="1" x14ac:dyDescent="0.3">
      <c r="A12" s="13"/>
      <c r="B12" s="28" t="s">
        <v>287</v>
      </c>
      <c r="C12" s="13"/>
      <c r="D12" s="8">
        <f>SUM(OSRRefD13x_0)</f>
        <v>291451.78999999992</v>
      </c>
      <c r="E12" s="8"/>
      <c r="F12" s="14"/>
      <c r="G12" s="8"/>
      <c r="H12" s="8">
        <f>SUM(OSRRefH13x_0)</f>
        <v>284475</v>
      </c>
      <c r="I12" s="8"/>
      <c r="J12" s="14"/>
      <c r="K12" s="8"/>
      <c r="L12" s="8">
        <f t="shared" ref="L12:L19" si="0">+D12-H12</f>
        <v>6976.7899999999208</v>
      </c>
      <c r="M12" s="8"/>
      <c r="N12" s="14">
        <f t="shared" ref="N12:N19" si="1">IF(H12=0,0,L12/H12)</f>
        <v>2.4525142806924759E-2</v>
      </c>
      <c r="O12" s="13"/>
      <c r="P12" s="8">
        <f>SUM(OSRRefP13x_0)</f>
        <v>7810763.7500000009</v>
      </c>
      <c r="Q12" s="8"/>
      <c r="R12" s="14"/>
      <c r="S12" s="8"/>
      <c r="T12" s="8">
        <f>SUM(OSRRefT13x_0)</f>
        <v>8874417</v>
      </c>
      <c r="U12" s="8"/>
      <c r="V12" s="14"/>
      <c r="W12" s="8"/>
      <c r="X12" s="8">
        <f t="shared" ref="X12:X19" si="2">+P12-T12</f>
        <v>-1063653.2499999991</v>
      </c>
      <c r="Y12" s="8"/>
      <c r="Z12" s="14">
        <f t="shared" ref="Z12:Z19" si="3">IF(T12=0,0,X12/T12)</f>
        <v>-0.11985612688698301</v>
      </c>
    </row>
    <row r="13" spans="1:26" s="70" customFormat="1" ht="15" hidden="1" customHeight="1" outlineLevel="1" x14ac:dyDescent="0.3">
      <c r="A13" s="48"/>
      <c r="B13" s="9" t="str">
        <f>CONCATENATE("          ","4000"," - ","TAXABLE SALES")</f>
        <v xml:space="preserve">          4000 - TAXABLE SALES</v>
      </c>
      <c r="C13" s="9"/>
      <c r="D13" s="3">
        <f>--298278.05</f>
        <v>298278.05</v>
      </c>
      <c r="E13" s="3"/>
      <c r="F13" s="26"/>
      <c r="G13" s="3"/>
      <c r="H13" s="3">
        <v>281975</v>
      </c>
      <c r="I13" s="3"/>
      <c r="J13" s="26"/>
      <c r="K13" s="3"/>
      <c r="L13" s="3">
        <f t="shared" si="0"/>
        <v>16303.049999999988</v>
      </c>
      <c r="M13" s="3"/>
      <c r="N13" s="26">
        <f t="shared" si="1"/>
        <v>5.7817359695008383E-2</v>
      </c>
      <c r="O13" s="9"/>
      <c r="P13" s="3">
        <f>--6868749.2</f>
        <v>6868749.2000000002</v>
      </c>
      <c r="Q13" s="3"/>
      <c r="R13" s="26"/>
      <c r="S13" s="3"/>
      <c r="T13" s="3">
        <v>8498817</v>
      </c>
      <c r="U13" s="3"/>
      <c r="V13" s="26"/>
      <c r="W13" s="3"/>
      <c r="X13" s="3">
        <f t="shared" si="2"/>
        <v>-1630067.7999999998</v>
      </c>
      <c r="Y13" s="3"/>
      <c r="Z13" s="26">
        <f t="shared" si="3"/>
        <v>-0.19179937631319746</v>
      </c>
    </row>
    <row r="14" spans="1:26" s="70" customFormat="1" ht="15" hidden="1" customHeight="1" outlineLevel="1" x14ac:dyDescent="0.3">
      <c r="A14" s="48"/>
      <c r="B14" s="9" t="str">
        <f>CONCATENATE("          ","4100"," - ","NON-TAXABLE SALES")</f>
        <v xml:space="preserve">          4100 - NON-TAXABLE SALES</v>
      </c>
      <c r="C14" s="9"/>
      <c r="D14" s="3">
        <f>--22517.48</f>
        <v>22517.48</v>
      </c>
      <c r="E14" s="3"/>
      <c r="F14" s="26"/>
      <c r="G14" s="3"/>
      <c r="H14" s="3">
        <v>2500</v>
      </c>
      <c r="I14" s="3"/>
      <c r="J14" s="26"/>
      <c r="K14" s="3"/>
      <c r="L14" s="3">
        <f t="shared" si="0"/>
        <v>20017.48</v>
      </c>
      <c r="M14" s="3"/>
      <c r="N14" s="26">
        <f t="shared" si="1"/>
        <v>8.0069920000000003</v>
      </c>
      <c r="O14" s="9"/>
      <c r="P14" s="3">
        <f>--1357135.47</f>
        <v>1357135.47</v>
      </c>
      <c r="Q14" s="3"/>
      <c r="R14" s="26"/>
      <c r="S14" s="3"/>
      <c r="T14" s="3">
        <v>375600</v>
      </c>
      <c r="U14" s="3"/>
      <c r="V14" s="26"/>
      <c r="W14" s="3"/>
      <c r="X14" s="3">
        <f t="shared" si="2"/>
        <v>981535.47</v>
      </c>
      <c r="Y14" s="3"/>
      <c r="Z14" s="26">
        <f t="shared" si="3"/>
        <v>2.6132467252396165</v>
      </c>
    </row>
    <row r="15" spans="1:26" s="70" customFormat="1" ht="15" hidden="1" customHeight="1" outlineLevel="1" x14ac:dyDescent="0.3">
      <c r="A15" s="48"/>
      <c r="B15" s="9" t="str">
        <f>CONCATENATE("          ","4141"," - ","NON-TAXABLE SALES-LOGO GIFTS")</f>
        <v xml:space="preserve">          4141 - NON-TAXABLE SALES-LOGO GIFTS</v>
      </c>
      <c r="C15" s="9"/>
      <c r="D15" s="3">
        <f>0</f>
        <v>0</v>
      </c>
      <c r="E15" s="3"/>
      <c r="F15" s="26"/>
      <c r="G15" s="3"/>
      <c r="H15" s="3"/>
      <c r="I15" s="3"/>
      <c r="J15" s="26"/>
      <c r="K15" s="3"/>
      <c r="L15" s="3">
        <f t="shared" si="0"/>
        <v>0</v>
      </c>
      <c r="M15" s="3"/>
      <c r="N15" s="26">
        <f t="shared" si="1"/>
        <v>0</v>
      </c>
      <c r="O15" s="9"/>
      <c r="P15" s="3">
        <f>0</f>
        <v>0</v>
      </c>
      <c r="Q15" s="3"/>
      <c r="R15" s="26"/>
      <c r="S15" s="3"/>
      <c r="T15" s="3"/>
      <c r="U15" s="3"/>
      <c r="V15" s="26"/>
      <c r="W15" s="3"/>
      <c r="X15" s="3">
        <f t="shared" si="2"/>
        <v>0</v>
      </c>
      <c r="Y15" s="3"/>
      <c r="Z15" s="26">
        <f t="shared" si="3"/>
        <v>0</v>
      </c>
    </row>
    <row r="16" spans="1:26" s="70" customFormat="1" ht="15" hidden="1" customHeight="1" outlineLevel="1" x14ac:dyDescent="0.3">
      <c r="A16" s="48"/>
      <c r="B16" s="9" t="str">
        <f>CONCATENATE("          ","4146"," - ","NON-TAXABLE SALES-COIN OP MACH")</f>
        <v xml:space="preserve">          4146 - NON-TAXABLE SALES-COIN OP MACH</v>
      </c>
      <c r="C16" s="9"/>
      <c r="D16" s="3">
        <f>0</f>
        <v>0</v>
      </c>
      <c r="E16" s="3"/>
      <c r="F16" s="26"/>
      <c r="G16" s="3"/>
      <c r="H16" s="3"/>
      <c r="I16" s="3"/>
      <c r="J16" s="26"/>
      <c r="K16" s="3"/>
      <c r="L16" s="3">
        <f t="shared" si="0"/>
        <v>0</v>
      </c>
      <c r="M16" s="3"/>
      <c r="N16" s="26">
        <f t="shared" si="1"/>
        <v>0</v>
      </c>
      <c r="O16" s="9"/>
      <c r="P16" s="3">
        <f>0</f>
        <v>0</v>
      </c>
      <c r="Q16" s="3"/>
      <c r="R16" s="26"/>
      <c r="S16" s="3"/>
      <c r="T16" s="3"/>
      <c r="U16" s="3"/>
      <c r="V16" s="26"/>
      <c r="W16" s="3"/>
      <c r="X16" s="3">
        <f t="shared" si="2"/>
        <v>0</v>
      </c>
      <c r="Y16" s="3"/>
      <c r="Z16" s="26">
        <f t="shared" si="3"/>
        <v>0</v>
      </c>
    </row>
    <row r="17" spans="1:26" s="70" customFormat="1" ht="15" hidden="1" customHeight="1" outlineLevel="1" x14ac:dyDescent="0.3">
      <c r="A17" s="48"/>
      <c r="B17" s="9" t="str">
        <f>CONCATENATE("          ","4200"," - ","TAXABLE RETURNS")</f>
        <v xml:space="preserve">          4200 - TAXABLE RETURNS</v>
      </c>
      <c r="C17" s="9"/>
      <c r="D17" s="3">
        <f>-20727.59</f>
        <v>-20727.59</v>
      </c>
      <c r="E17" s="3"/>
      <c r="F17" s="26"/>
      <c r="G17" s="3"/>
      <c r="H17" s="3"/>
      <c r="I17" s="3"/>
      <c r="J17" s="26"/>
      <c r="K17" s="3"/>
      <c r="L17" s="3">
        <f t="shared" si="0"/>
        <v>-20727.59</v>
      </c>
      <c r="M17" s="3"/>
      <c r="N17" s="26">
        <f t="shared" si="1"/>
        <v>0</v>
      </c>
      <c r="O17" s="9"/>
      <c r="P17" s="3">
        <f>-236811.43</f>
        <v>-236811.43</v>
      </c>
      <c r="Q17" s="3"/>
      <c r="R17" s="26"/>
      <c r="S17" s="3"/>
      <c r="T17" s="3"/>
      <c r="U17" s="3"/>
      <c r="V17" s="26"/>
      <c r="W17" s="3"/>
      <c r="X17" s="3">
        <f t="shared" si="2"/>
        <v>-236811.43</v>
      </c>
      <c r="Y17" s="3"/>
      <c r="Z17" s="26">
        <f t="shared" si="3"/>
        <v>0</v>
      </c>
    </row>
    <row r="18" spans="1:26" s="70" customFormat="1" ht="15" hidden="1" customHeight="1" outlineLevel="1" x14ac:dyDescent="0.3">
      <c r="A18" s="48"/>
      <c r="B18" s="9" t="str">
        <f>CONCATENATE("          ","4300"," - ","NON-TAX RETURNS")</f>
        <v xml:space="preserve">          4300 - NON-TAX RETURNS</v>
      </c>
      <c r="C18" s="9"/>
      <c r="D18" s="3">
        <f>-1514.12</f>
        <v>-1514.12</v>
      </c>
      <c r="E18" s="3"/>
      <c r="F18" s="26"/>
      <c r="G18" s="3"/>
      <c r="H18" s="3"/>
      <c r="I18" s="3"/>
      <c r="J18" s="26"/>
      <c r="K18" s="3"/>
      <c r="L18" s="3">
        <f t="shared" si="0"/>
        <v>-1514.12</v>
      </c>
      <c r="M18" s="3"/>
      <c r="N18" s="26">
        <f t="shared" si="1"/>
        <v>0</v>
      </c>
      <c r="O18" s="9"/>
      <c r="P18" s="3">
        <f>-43285.18</f>
        <v>-43285.18</v>
      </c>
      <c r="Q18" s="3"/>
      <c r="R18" s="26"/>
      <c r="S18" s="3"/>
      <c r="T18" s="3"/>
      <c r="U18" s="3"/>
      <c r="V18" s="26"/>
      <c r="W18" s="3"/>
      <c r="X18" s="3">
        <f t="shared" si="2"/>
        <v>-43285.18</v>
      </c>
      <c r="Y18" s="3"/>
      <c r="Z18" s="26">
        <f t="shared" si="3"/>
        <v>0</v>
      </c>
    </row>
    <row r="19" spans="1:26" s="70" customFormat="1" ht="15" hidden="1" customHeight="1" outlineLevel="1" x14ac:dyDescent="0.3">
      <c r="A19" s="48"/>
      <c r="B19" s="9" t="str">
        <f>CONCATENATE("          ","4500"," - ","SALES DISCOUNT")</f>
        <v xml:space="preserve">          4500 - SALES DISCOUNT</v>
      </c>
      <c r="C19" s="9"/>
      <c r="D19" s="3">
        <f>-7102.03</f>
        <v>-7102.03</v>
      </c>
      <c r="E19" s="3"/>
      <c r="F19" s="26"/>
      <c r="G19" s="3"/>
      <c r="H19" s="3"/>
      <c r="I19" s="3"/>
      <c r="J19" s="26"/>
      <c r="K19" s="3"/>
      <c r="L19" s="3">
        <f t="shared" si="0"/>
        <v>-7102.03</v>
      </c>
      <c r="M19" s="3"/>
      <c r="N19" s="26">
        <f t="shared" si="1"/>
        <v>0</v>
      </c>
      <c r="O19" s="9"/>
      <c r="P19" s="3">
        <f>-135024.31</f>
        <v>-135024.31</v>
      </c>
      <c r="Q19" s="3"/>
      <c r="R19" s="26"/>
      <c r="S19" s="3"/>
      <c r="T19" s="3"/>
      <c r="U19" s="3"/>
      <c r="V19" s="26"/>
      <c r="W19" s="3"/>
      <c r="X19" s="3">
        <f t="shared" si="2"/>
        <v>-135024.31</v>
      </c>
      <c r="Y19" s="3"/>
      <c r="Z19" s="26">
        <f t="shared" si="3"/>
        <v>0</v>
      </c>
    </row>
    <row r="20" spans="1:26" ht="15" customHeight="1" x14ac:dyDescent="0.3">
      <c r="A20" s="12"/>
      <c r="B20" s="13"/>
      <c r="C20" s="12"/>
      <c r="D20" s="4"/>
      <c r="E20" s="4"/>
      <c r="F20" s="10"/>
      <c r="G20" s="4"/>
      <c r="H20" s="4"/>
      <c r="I20" s="4"/>
      <c r="J20" s="10"/>
      <c r="K20" s="4"/>
      <c r="L20" s="4"/>
      <c r="M20" s="4"/>
      <c r="N20" s="10"/>
      <c r="P20" s="4"/>
      <c r="Q20" s="4"/>
      <c r="R20" s="10"/>
      <c r="S20" s="4"/>
      <c r="T20" s="4"/>
      <c r="U20" s="4"/>
      <c r="V20" s="10"/>
      <c r="W20" s="4"/>
      <c r="X20" s="4"/>
      <c r="Y20" s="4"/>
      <c r="Z20" s="10"/>
    </row>
    <row r="21" spans="1:26" s="63" customFormat="1" ht="15" customHeight="1" collapsed="1" x14ac:dyDescent="0.3">
      <c r="A21" s="13"/>
      <c r="B21" s="28" t="s">
        <v>288</v>
      </c>
      <c r="C21" s="13"/>
      <c r="D21" s="8">
        <f>SUM(OSRRefD16x_0)</f>
        <v>432765.21</v>
      </c>
      <c r="E21" s="8"/>
      <c r="F21" s="14">
        <f t="shared" ref="F21:F48" si="4">IF(D$12=0,0,D21/D$12)</f>
        <v>1.4848603606105837</v>
      </c>
      <c r="G21" s="8"/>
      <c r="H21" s="8">
        <f>SUM(OSRRefH16x_0)</f>
        <v>150517</v>
      </c>
      <c r="I21" s="8"/>
      <c r="J21" s="14">
        <f t="shared" ref="J21:J48" si="5">IF(H$12=0,0,H21/H$12)</f>
        <v>0.52910449072853505</v>
      </c>
      <c r="K21" s="8"/>
      <c r="L21" s="8">
        <f t="shared" ref="L21:L48" si="6">+D21-H21</f>
        <v>282248.21000000002</v>
      </c>
      <c r="M21" s="8"/>
      <c r="N21" s="14">
        <f t="shared" ref="N21:N48" si="7">IF(H21=0,0,L21/H21)</f>
        <v>1.8751915730449054</v>
      </c>
      <c r="O21" s="13"/>
      <c r="P21" s="8">
        <f>SUM(OSRRefP16x_0)</f>
        <v>4506403.93</v>
      </c>
      <c r="Q21" s="8"/>
      <c r="R21" s="14">
        <f t="shared" ref="R21:R48" si="8">IF(P$12=0,0,P21/P$12)</f>
        <v>0.57694792394661776</v>
      </c>
      <c r="S21" s="8"/>
      <c r="T21" s="8">
        <f>SUM(OSRRefT16x_0)</f>
        <v>5350664</v>
      </c>
      <c r="U21" s="8"/>
      <c r="V21" s="14">
        <f t="shared" ref="V21:V48" si="9">IF(T$12=0,0,T21/T$12)</f>
        <v>0.6029313249535152</v>
      </c>
      <c r="W21" s="8"/>
      <c r="X21" s="8">
        <f t="shared" ref="X21:X48" si="10">+P21-T21</f>
        <v>-844260.0700000003</v>
      </c>
      <c r="Y21" s="8"/>
      <c r="Z21" s="14">
        <f t="shared" ref="Z21:Z48" si="11">IF(T21=0,0,X21/T21)</f>
        <v>-0.1577860373964802</v>
      </c>
    </row>
    <row r="22" spans="1:26" s="70" customFormat="1" ht="15" hidden="1" customHeight="1" outlineLevel="1" x14ac:dyDescent="0.3">
      <c r="A22" s="48"/>
      <c r="B22" s="9" t="str">
        <f>CONCATENATE("          ","5000"," - ","PURCHASES @ COST")</f>
        <v xml:space="preserve">          5000 - PURCHASES @ COST</v>
      </c>
      <c r="C22" s="9"/>
      <c r="D22" s="3">
        <v>510700.95</v>
      </c>
      <c r="E22" s="3"/>
      <c r="F22" s="26">
        <f t="shared" si="4"/>
        <v>1.7522656148380498</v>
      </c>
      <c r="G22" s="3"/>
      <c r="H22" s="3">
        <v>150517</v>
      </c>
      <c r="I22" s="3"/>
      <c r="J22" s="26">
        <f t="shared" si="5"/>
        <v>0.52910449072853505</v>
      </c>
      <c r="K22" s="3"/>
      <c r="L22" s="3">
        <f t="shared" si="6"/>
        <v>360183.95</v>
      </c>
      <c r="M22" s="3"/>
      <c r="N22" s="26">
        <f t="shared" si="7"/>
        <v>2.3929785339861942</v>
      </c>
      <c r="O22" s="9"/>
      <c r="P22" s="3">
        <v>4548914.2699999996</v>
      </c>
      <c r="Q22" s="3"/>
      <c r="R22" s="26">
        <f t="shared" si="8"/>
        <v>0.5823904570151669</v>
      </c>
      <c r="S22" s="3"/>
      <c r="T22" s="3">
        <v>5350664</v>
      </c>
      <c r="U22" s="3"/>
      <c r="V22" s="26">
        <f t="shared" si="9"/>
        <v>0.6029313249535152</v>
      </c>
      <c r="W22" s="3"/>
      <c r="X22" s="3">
        <f t="shared" si="10"/>
        <v>-801749.73000000045</v>
      </c>
      <c r="Y22" s="3"/>
      <c r="Z22" s="26">
        <f t="shared" si="11"/>
        <v>-0.14984116550768287</v>
      </c>
    </row>
    <row r="23" spans="1:26" s="70" customFormat="1" ht="15" hidden="1" customHeight="1" outlineLevel="1" x14ac:dyDescent="0.3">
      <c r="A23" s="48"/>
      <c r="B23" s="9" t="str">
        <f>CONCATENATE("          ","5001"," - ","PURCHASES @ COST-NEW TEXT")</f>
        <v xml:space="preserve">          5001 - PURCHASES @ COST-NEW TEXT</v>
      </c>
      <c r="C23" s="9"/>
      <c r="D23" s="3"/>
      <c r="E23" s="3"/>
      <c r="F23" s="26">
        <f t="shared" si="4"/>
        <v>0</v>
      </c>
      <c r="G23" s="3"/>
      <c r="H23" s="3"/>
      <c r="I23" s="3"/>
      <c r="J23" s="26">
        <f t="shared" si="5"/>
        <v>0</v>
      </c>
      <c r="K23" s="3"/>
      <c r="L23" s="3">
        <f t="shared" si="6"/>
        <v>0</v>
      </c>
      <c r="M23" s="3"/>
      <c r="N23" s="26">
        <f t="shared" si="7"/>
        <v>0</v>
      </c>
      <c r="O23" s="9"/>
      <c r="P23" s="3">
        <v>0</v>
      </c>
      <c r="Q23" s="3"/>
      <c r="R23" s="26">
        <f t="shared" si="8"/>
        <v>0</v>
      </c>
      <c r="S23" s="3"/>
      <c r="T23" s="3"/>
      <c r="U23" s="3"/>
      <c r="V23" s="26">
        <f t="shared" si="9"/>
        <v>0</v>
      </c>
      <c r="W23" s="3"/>
      <c r="X23" s="3">
        <f t="shared" si="10"/>
        <v>0</v>
      </c>
      <c r="Y23" s="3"/>
      <c r="Z23" s="26">
        <f t="shared" si="11"/>
        <v>0</v>
      </c>
    </row>
    <row r="24" spans="1:26" s="70" customFormat="1" ht="15" hidden="1" customHeight="1" outlineLevel="1" x14ac:dyDescent="0.3">
      <c r="A24" s="48"/>
      <c r="B24" s="9" t="str">
        <f>CONCATENATE("          ","5002"," - ","PURCHASES @ COST-USED TEXT")</f>
        <v xml:space="preserve">          5002 - PURCHASES @ COST-USED TEXT</v>
      </c>
      <c r="C24" s="9"/>
      <c r="D24" s="3"/>
      <c r="E24" s="3"/>
      <c r="F24" s="26">
        <f t="shared" si="4"/>
        <v>0</v>
      </c>
      <c r="G24" s="3"/>
      <c r="H24" s="3"/>
      <c r="I24" s="3"/>
      <c r="J24" s="26">
        <f t="shared" si="5"/>
        <v>0</v>
      </c>
      <c r="K24" s="3"/>
      <c r="L24" s="3">
        <f t="shared" si="6"/>
        <v>0</v>
      </c>
      <c r="M24" s="3"/>
      <c r="N24" s="26">
        <f t="shared" si="7"/>
        <v>0</v>
      </c>
      <c r="O24" s="9"/>
      <c r="P24" s="3">
        <v>0</v>
      </c>
      <c r="Q24" s="3"/>
      <c r="R24" s="26">
        <f t="shared" si="8"/>
        <v>0</v>
      </c>
      <c r="S24" s="3"/>
      <c r="T24" s="3"/>
      <c r="U24" s="3"/>
      <c r="V24" s="26">
        <f t="shared" si="9"/>
        <v>0</v>
      </c>
      <c r="W24" s="3"/>
      <c r="X24" s="3">
        <f t="shared" si="10"/>
        <v>0</v>
      </c>
      <c r="Y24" s="3"/>
      <c r="Z24" s="26">
        <f t="shared" si="11"/>
        <v>0</v>
      </c>
    </row>
    <row r="25" spans="1:26" s="70" customFormat="1" ht="15" hidden="1" customHeight="1" outlineLevel="1" x14ac:dyDescent="0.3">
      <c r="A25" s="48"/>
      <c r="B25" s="9" t="str">
        <f>CONCATENATE("          ","5004"," - ","PURCHASES @ COST-DIGITAL TEXT")</f>
        <v xml:space="preserve">          5004 - PURCHASES @ COST-DIGITAL TEXT</v>
      </c>
      <c r="C25" s="9"/>
      <c r="D25" s="3"/>
      <c r="E25" s="3"/>
      <c r="F25" s="26">
        <f t="shared" si="4"/>
        <v>0</v>
      </c>
      <c r="G25" s="3"/>
      <c r="H25" s="3"/>
      <c r="I25" s="3"/>
      <c r="J25" s="26">
        <f t="shared" si="5"/>
        <v>0</v>
      </c>
      <c r="K25" s="3"/>
      <c r="L25" s="3">
        <f t="shared" si="6"/>
        <v>0</v>
      </c>
      <c r="M25" s="3"/>
      <c r="N25" s="26">
        <f t="shared" si="7"/>
        <v>0</v>
      </c>
      <c r="O25" s="9"/>
      <c r="P25" s="3">
        <v>0</v>
      </c>
      <c r="Q25" s="3"/>
      <c r="R25" s="26">
        <f t="shared" si="8"/>
        <v>0</v>
      </c>
      <c r="S25" s="3"/>
      <c r="T25" s="3"/>
      <c r="U25" s="3"/>
      <c r="V25" s="26">
        <f t="shared" si="9"/>
        <v>0</v>
      </c>
      <c r="W25" s="3"/>
      <c r="X25" s="3">
        <f t="shared" si="10"/>
        <v>0</v>
      </c>
      <c r="Y25" s="3"/>
      <c r="Z25" s="26">
        <f t="shared" si="11"/>
        <v>0</v>
      </c>
    </row>
    <row r="26" spans="1:26" s="70" customFormat="1" ht="15" hidden="1" customHeight="1" outlineLevel="1" x14ac:dyDescent="0.3">
      <c r="A26" s="48"/>
      <c r="B26" s="9" t="str">
        <f>CONCATENATE("          ","5026"," - ","PURCHASES @ COST-WRITING INSTR")</f>
        <v xml:space="preserve">          5026 - PURCHASES @ COST-WRITING INSTR</v>
      </c>
      <c r="C26" s="9"/>
      <c r="D26" s="3"/>
      <c r="E26" s="3"/>
      <c r="F26" s="26">
        <f t="shared" si="4"/>
        <v>0</v>
      </c>
      <c r="G26" s="3"/>
      <c r="H26" s="3"/>
      <c r="I26" s="3"/>
      <c r="J26" s="26">
        <f t="shared" si="5"/>
        <v>0</v>
      </c>
      <c r="K26" s="3"/>
      <c r="L26" s="3">
        <f t="shared" si="6"/>
        <v>0</v>
      </c>
      <c r="M26" s="3"/>
      <c r="N26" s="26">
        <f t="shared" si="7"/>
        <v>0</v>
      </c>
      <c r="O26" s="9"/>
      <c r="P26" s="3">
        <v>0</v>
      </c>
      <c r="Q26" s="3"/>
      <c r="R26" s="26">
        <f t="shared" si="8"/>
        <v>0</v>
      </c>
      <c r="S26" s="3"/>
      <c r="T26" s="3"/>
      <c r="U26" s="3"/>
      <c r="V26" s="26">
        <f t="shared" si="9"/>
        <v>0</v>
      </c>
      <c r="W26" s="3"/>
      <c r="X26" s="3">
        <f t="shared" si="10"/>
        <v>0</v>
      </c>
      <c r="Y26" s="3"/>
      <c r="Z26" s="26">
        <f t="shared" si="11"/>
        <v>0</v>
      </c>
    </row>
    <row r="27" spans="1:26" s="70" customFormat="1" ht="15" hidden="1" customHeight="1" outlineLevel="1" x14ac:dyDescent="0.3">
      <c r="A27" s="48"/>
      <c r="B27" s="9" t="str">
        <f>CONCATENATE("          ","5027"," - ","PURCHASES @ COST-SCHOOL SUPPLI")</f>
        <v xml:space="preserve">          5027 - PURCHASES @ COST-SCHOOL SUPPLI</v>
      </c>
      <c r="C27" s="9"/>
      <c r="D27" s="3"/>
      <c r="E27" s="3"/>
      <c r="F27" s="26">
        <f t="shared" si="4"/>
        <v>0</v>
      </c>
      <c r="G27" s="3"/>
      <c r="H27" s="3"/>
      <c r="I27" s="3"/>
      <c r="J27" s="26">
        <f t="shared" si="5"/>
        <v>0</v>
      </c>
      <c r="K27" s="3"/>
      <c r="L27" s="3">
        <f t="shared" si="6"/>
        <v>0</v>
      </c>
      <c r="M27" s="3"/>
      <c r="N27" s="26">
        <f t="shared" si="7"/>
        <v>0</v>
      </c>
      <c r="O27" s="9"/>
      <c r="P27" s="3">
        <v>0</v>
      </c>
      <c r="Q27" s="3"/>
      <c r="R27" s="26">
        <f t="shared" si="8"/>
        <v>0</v>
      </c>
      <c r="S27" s="3"/>
      <c r="T27" s="3"/>
      <c r="U27" s="3"/>
      <c r="V27" s="26">
        <f t="shared" si="9"/>
        <v>0</v>
      </c>
      <c r="W27" s="3"/>
      <c r="X27" s="3">
        <f t="shared" si="10"/>
        <v>0</v>
      </c>
      <c r="Y27" s="3"/>
      <c r="Z27" s="26">
        <f t="shared" si="11"/>
        <v>0</v>
      </c>
    </row>
    <row r="28" spans="1:26" s="70" customFormat="1" ht="15" hidden="1" customHeight="1" outlineLevel="1" x14ac:dyDescent="0.3">
      <c r="A28" s="48"/>
      <c r="B28" s="9" t="str">
        <f>CONCATENATE("          ","5028"," - ","PURCHASES @ COST-ART/TECH")</f>
        <v xml:space="preserve">          5028 - PURCHASES @ COST-ART/TECH</v>
      </c>
      <c r="C28" s="9"/>
      <c r="D28" s="3"/>
      <c r="E28" s="3"/>
      <c r="F28" s="26">
        <f t="shared" si="4"/>
        <v>0</v>
      </c>
      <c r="G28" s="3"/>
      <c r="H28" s="3"/>
      <c r="I28" s="3"/>
      <c r="J28" s="26">
        <f t="shared" si="5"/>
        <v>0</v>
      </c>
      <c r="K28" s="3"/>
      <c r="L28" s="3">
        <f t="shared" si="6"/>
        <v>0</v>
      </c>
      <c r="M28" s="3"/>
      <c r="N28" s="26">
        <f t="shared" si="7"/>
        <v>0</v>
      </c>
      <c r="O28" s="9"/>
      <c r="P28" s="3">
        <v>0</v>
      </c>
      <c r="Q28" s="3"/>
      <c r="R28" s="26">
        <f t="shared" si="8"/>
        <v>0</v>
      </c>
      <c r="S28" s="3"/>
      <c r="T28" s="3"/>
      <c r="U28" s="3"/>
      <c r="V28" s="26">
        <f t="shared" si="9"/>
        <v>0</v>
      </c>
      <c r="W28" s="3"/>
      <c r="X28" s="3">
        <f t="shared" si="10"/>
        <v>0</v>
      </c>
      <c r="Y28" s="3"/>
      <c r="Z28" s="26">
        <f t="shared" si="11"/>
        <v>0</v>
      </c>
    </row>
    <row r="29" spans="1:26" s="70" customFormat="1" ht="15" hidden="1" customHeight="1" outlineLevel="1" x14ac:dyDescent="0.3">
      <c r="A29" s="48"/>
      <c r="B29" s="9" t="str">
        <f>CONCATENATE("          ","5031"," - ","PURCHASES @ COST-FOOD")</f>
        <v xml:space="preserve">          5031 - PURCHASES @ COST-FOOD</v>
      </c>
      <c r="C29" s="9"/>
      <c r="D29" s="3"/>
      <c r="E29" s="3"/>
      <c r="F29" s="26">
        <f t="shared" si="4"/>
        <v>0</v>
      </c>
      <c r="G29" s="3"/>
      <c r="H29" s="3"/>
      <c r="I29" s="3"/>
      <c r="J29" s="26">
        <f t="shared" si="5"/>
        <v>0</v>
      </c>
      <c r="K29" s="3"/>
      <c r="L29" s="3">
        <f t="shared" si="6"/>
        <v>0</v>
      </c>
      <c r="M29" s="3"/>
      <c r="N29" s="26">
        <f t="shared" si="7"/>
        <v>0</v>
      </c>
      <c r="O29" s="9"/>
      <c r="P29" s="3">
        <v>0</v>
      </c>
      <c r="Q29" s="3"/>
      <c r="R29" s="26">
        <f t="shared" si="8"/>
        <v>0</v>
      </c>
      <c r="S29" s="3"/>
      <c r="T29" s="3"/>
      <c r="U29" s="3"/>
      <c r="V29" s="26">
        <f t="shared" si="9"/>
        <v>0</v>
      </c>
      <c r="W29" s="3"/>
      <c r="X29" s="3">
        <f t="shared" si="10"/>
        <v>0</v>
      </c>
      <c r="Y29" s="3"/>
      <c r="Z29" s="26">
        <f t="shared" si="11"/>
        <v>0</v>
      </c>
    </row>
    <row r="30" spans="1:26" s="70" customFormat="1" ht="15" hidden="1" customHeight="1" outlineLevel="1" x14ac:dyDescent="0.3">
      <c r="A30" s="48"/>
      <c r="B30" s="9" t="str">
        <f>CONCATENATE("          ","5040"," - ","PURCHASES @ COST-LOGO CLOTHING")</f>
        <v xml:space="preserve">          5040 - PURCHASES @ COST-LOGO CLOTHING</v>
      </c>
      <c r="C30" s="9"/>
      <c r="D30" s="3"/>
      <c r="E30" s="3"/>
      <c r="F30" s="26">
        <f t="shared" si="4"/>
        <v>0</v>
      </c>
      <c r="G30" s="3"/>
      <c r="H30" s="3"/>
      <c r="I30" s="3"/>
      <c r="J30" s="26">
        <f t="shared" si="5"/>
        <v>0</v>
      </c>
      <c r="K30" s="3"/>
      <c r="L30" s="3">
        <f t="shared" si="6"/>
        <v>0</v>
      </c>
      <c r="M30" s="3"/>
      <c r="N30" s="26">
        <f t="shared" si="7"/>
        <v>0</v>
      </c>
      <c r="O30" s="9"/>
      <c r="P30" s="3">
        <v>0</v>
      </c>
      <c r="Q30" s="3"/>
      <c r="R30" s="26">
        <f t="shared" si="8"/>
        <v>0</v>
      </c>
      <c r="S30" s="3"/>
      <c r="T30" s="3"/>
      <c r="U30" s="3"/>
      <c r="V30" s="26">
        <f t="shared" si="9"/>
        <v>0</v>
      </c>
      <c r="W30" s="3"/>
      <c r="X30" s="3">
        <f t="shared" si="10"/>
        <v>0</v>
      </c>
      <c r="Y30" s="3"/>
      <c r="Z30" s="26">
        <f t="shared" si="11"/>
        <v>0</v>
      </c>
    </row>
    <row r="31" spans="1:26" s="70" customFormat="1" ht="15" hidden="1" customHeight="1" outlineLevel="1" x14ac:dyDescent="0.3">
      <c r="A31" s="48"/>
      <c r="B31" s="9" t="str">
        <f>CONCATENATE("          ","5041"," - ","PURCHASES @ COST-LOGO GIFTS")</f>
        <v xml:space="preserve">          5041 - PURCHASES @ COST-LOGO GIFTS</v>
      </c>
      <c r="C31" s="9"/>
      <c r="D31" s="3"/>
      <c r="E31" s="3"/>
      <c r="F31" s="26">
        <f t="shared" si="4"/>
        <v>0</v>
      </c>
      <c r="G31" s="3"/>
      <c r="H31" s="3"/>
      <c r="I31" s="3"/>
      <c r="J31" s="26">
        <f t="shared" si="5"/>
        <v>0</v>
      </c>
      <c r="K31" s="3"/>
      <c r="L31" s="3">
        <f t="shared" si="6"/>
        <v>0</v>
      </c>
      <c r="M31" s="3"/>
      <c r="N31" s="26">
        <f t="shared" si="7"/>
        <v>0</v>
      </c>
      <c r="O31" s="9"/>
      <c r="P31" s="3">
        <v>0</v>
      </c>
      <c r="Q31" s="3"/>
      <c r="R31" s="26">
        <f t="shared" si="8"/>
        <v>0</v>
      </c>
      <c r="S31" s="3"/>
      <c r="T31" s="3"/>
      <c r="U31" s="3"/>
      <c r="V31" s="26">
        <f t="shared" si="9"/>
        <v>0</v>
      </c>
      <c r="W31" s="3"/>
      <c r="X31" s="3">
        <f t="shared" si="10"/>
        <v>0</v>
      </c>
      <c r="Y31" s="3"/>
      <c r="Z31" s="26">
        <f t="shared" si="11"/>
        <v>0</v>
      </c>
    </row>
    <row r="32" spans="1:26" s="70" customFormat="1" ht="15" hidden="1" customHeight="1" outlineLevel="1" x14ac:dyDescent="0.3">
      <c r="A32" s="48"/>
      <c r="B32" s="9" t="str">
        <f>CONCATENATE("          ","5042"," - ","PURCHASES @ COST-EVERYDAY GIFT")</f>
        <v xml:space="preserve">          5042 - PURCHASES @ COST-EVERYDAY GIFT</v>
      </c>
      <c r="C32" s="9"/>
      <c r="D32" s="3"/>
      <c r="E32" s="3"/>
      <c r="F32" s="26">
        <f t="shared" si="4"/>
        <v>0</v>
      </c>
      <c r="G32" s="3"/>
      <c r="H32" s="3"/>
      <c r="I32" s="3"/>
      <c r="J32" s="26">
        <f t="shared" si="5"/>
        <v>0</v>
      </c>
      <c r="K32" s="3"/>
      <c r="L32" s="3">
        <f t="shared" si="6"/>
        <v>0</v>
      </c>
      <c r="M32" s="3"/>
      <c r="N32" s="26">
        <f t="shared" si="7"/>
        <v>0</v>
      </c>
      <c r="O32" s="9"/>
      <c r="P32" s="3">
        <v>0</v>
      </c>
      <c r="Q32" s="3"/>
      <c r="R32" s="26">
        <f t="shared" si="8"/>
        <v>0</v>
      </c>
      <c r="S32" s="3"/>
      <c r="T32" s="3"/>
      <c r="U32" s="3"/>
      <c r="V32" s="26">
        <f t="shared" si="9"/>
        <v>0</v>
      </c>
      <c r="W32" s="3"/>
      <c r="X32" s="3">
        <f t="shared" si="10"/>
        <v>0</v>
      </c>
      <c r="Y32" s="3"/>
      <c r="Z32" s="26">
        <f t="shared" si="11"/>
        <v>0</v>
      </c>
    </row>
    <row r="33" spans="1:26" s="70" customFormat="1" ht="15" hidden="1" customHeight="1" outlineLevel="1" x14ac:dyDescent="0.3">
      <c r="A33" s="48"/>
      <c r="B33" s="9" t="str">
        <f>CONCATENATE("          ","5043"," - ","PURCHASES @ COST-CARDS")</f>
        <v xml:space="preserve">          5043 - PURCHASES @ COST-CARDS</v>
      </c>
      <c r="C33" s="9"/>
      <c r="D33" s="3"/>
      <c r="E33" s="3"/>
      <c r="F33" s="26">
        <f t="shared" si="4"/>
        <v>0</v>
      </c>
      <c r="G33" s="3"/>
      <c r="H33" s="3"/>
      <c r="I33" s="3"/>
      <c r="J33" s="26">
        <f t="shared" si="5"/>
        <v>0</v>
      </c>
      <c r="K33" s="3"/>
      <c r="L33" s="3">
        <f t="shared" si="6"/>
        <v>0</v>
      </c>
      <c r="M33" s="3"/>
      <c r="N33" s="26">
        <f t="shared" si="7"/>
        <v>0</v>
      </c>
      <c r="O33" s="9"/>
      <c r="P33" s="3">
        <v>0</v>
      </c>
      <c r="Q33" s="3"/>
      <c r="R33" s="26">
        <f t="shared" si="8"/>
        <v>0</v>
      </c>
      <c r="S33" s="3"/>
      <c r="T33" s="3"/>
      <c r="U33" s="3"/>
      <c r="V33" s="26">
        <f t="shared" si="9"/>
        <v>0</v>
      </c>
      <c r="W33" s="3"/>
      <c r="X33" s="3">
        <f t="shared" si="10"/>
        <v>0</v>
      </c>
      <c r="Y33" s="3"/>
      <c r="Z33" s="26">
        <f t="shared" si="11"/>
        <v>0</v>
      </c>
    </row>
    <row r="34" spans="1:26" s="70" customFormat="1" ht="15" hidden="1" customHeight="1" outlineLevel="1" x14ac:dyDescent="0.3">
      <c r="A34" s="48"/>
      <c r="B34" s="9" t="str">
        <f>CONCATENATE("          ","5044"," - ","PURCHASES @ COST-ACCESSORIES")</f>
        <v xml:space="preserve">          5044 - PURCHASES @ COST-ACCESSORIES</v>
      </c>
      <c r="C34" s="9"/>
      <c r="D34" s="3"/>
      <c r="E34" s="3"/>
      <c r="F34" s="26">
        <f t="shared" si="4"/>
        <v>0</v>
      </c>
      <c r="G34" s="3"/>
      <c r="H34" s="3"/>
      <c r="I34" s="3"/>
      <c r="J34" s="26">
        <f t="shared" si="5"/>
        <v>0</v>
      </c>
      <c r="K34" s="3"/>
      <c r="L34" s="3">
        <f t="shared" si="6"/>
        <v>0</v>
      </c>
      <c r="M34" s="3"/>
      <c r="N34" s="26">
        <f t="shared" si="7"/>
        <v>0</v>
      </c>
      <c r="O34" s="9"/>
      <c r="P34" s="3">
        <v>0</v>
      </c>
      <c r="Q34" s="3"/>
      <c r="R34" s="26">
        <f t="shared" si="8"/>
        <v>0</v>
      </c>
      <c r="S34" s="3"/>
      <c r="T34" s="3"/>
      <c r="U34" s="3"/>
      <c r="V34" s="26">
        <f t="shared" si="9"/>
        <v>0</v>
      </c>
      <c r="W34" s="3"/>
      <c r="X34" s="3">
        <f t="shared" si="10"/>
        <v>0</v>
      </c>
      <c r="Y34" s="3"/>
      <c r="Z34" s="26">
        <f t="shared" si="11"/>
        <v>0</v>
      </c>
    </row>
    <row r="35" spans="1:26" s="70" customFormat="1" ht="15" hidden="1" customHeight="1" outlineLevel="1" x14ac:dyDescent="0.3">
      <c r="A35" s="48"/>
      <c r="B35" s="9" t="str">
        <f>CONCATENATE("          ","5045"," - ","PURCHASES @ COST-SPECIAL ORDER")</f>
        <v xml:space="preserve">          5045 - PURCHASES @ COST-SPECIAL ORDER</v>
      </c>
      <c r="C35" s="9"/>
      <c r="D35" s="3"/>
      <c r="E35" s="3"/>
      <c r="F35" s="26">
        <f t="shared" si="4"/>
        <v>0</v>
      </c>
      <c r="G35" s="3"/>
      <c r="H35" s="3"/>
      <c r="I35" s="3"/>
      <c r="J35" s="26">
        <f t="shared" si="5"/>
        <v>0</v>
      </c>
      <c r="K35" s="3"/>
      <c r="L35" s="3">
        <f t="shared" si="6"/>
        <v>0</v>
      </c>
      <c r="M35" s="3"/>
      <c r="N35" s="26">
        <f t="shared" si="7"/>
        <v>0</v>
      </c>
      <c r="O35" s="9"/>
      <c r="P35" s="3">
        <v>0</v>
      </c>
      <c r="Q35" s="3"/>
      <c r="R35" s="26">
        <f t="shared" si="8"/>
        <v>0</v>
      </c>
      <c r="S35" s="3"/>
      <c r="T35" s="3"/>
      <c r="U35" s="3"/>
      <c r="V35" s="26">
        <f t="shared" si="9"/>
        <v>0</v>
      </c>
      <c r="W35" s="3"/>
      <c r="X35" s="3">
        <f t="shared" si="10"/>
        <v>0</v>
      </c>
      <c r="Y35" s="3"/>
      <c r="Z35" s="26">
        <f t="shared" si="11"/>
        <v>0</v>
      </c>
    </row>
    <row r="36" spans="1:26" s="70" customFormat="1" ht="15" hidden="1" customHeight="1" outlineLevel="1" x14ac:dyDescent="0.3">
      <c r="A36" s="48"/>
      <c r="B36" s="9" t="str">
        <f>CONCATENATE("          ","5200"," - ","PURCHASES OFFSET")</f>
        <v xml:space="preserve">          5200 - PURCHASES OFFSET</v>
      </c>
      <c r="C36" s="9"/>
      <c r="D36" s="3">
        <v>-235304</v>
      </c>
      <c r="E36" s="3"/>
      <c r="F36" s="26">
        <f t="shared" si="4"/>
        <v>-0.80735136332496038</v>
      </c>
      <c r="G36" s="3"/>
      <c r="H36" s="3"/>
      <c r="I36" s="3"/>
      <c r="J36" s="26">
        <f t="shared" si="5"/>
        <v>0</v>
      </c>
      <c r="K36" s="3"/>
      <c r="L36" s="3">
        <f t="shared" si="6"/>
        <v>-235304</v>
      </c>
      <c r="M36" s="3"/>
      <c r="N36" s="26">
        <f t="shared" si="7"/>
        <v>0</v>
      </c>
      <c r="O36" s="9"/>
      <c r="P36" s="3">
        <v>-4166800.4</v>
      </c>
      <c r="Q36" s="3"/>
      <c r="R36" s="26">
        <f t="shared" si="8"/>
        <v>-0.53346900935263841</v>
      </c>
      <c r="S36" s="3"/>
      <c r="T36" s="3"/>
      <c r="U36" s="3"/>
      <c r="V36" s="26">
        <f t="shared" si="9"/>
        <v>0</v>
      </c>
      <c r="W36" s="3"/>
      <c r="X36" s="3">
        <f t="shared" si="10"/>
        <v>-4166800.4</v>
      </c>
      <c r="Y36" s="3"/>
      <c r="Z36" s="26">
        <f t="shared" si="11"/>
        <v>0</v>
      </c>
    </row>
    <row r="37" spans="1:26" s="70" customFormat="1" ht="15" hidden="1" customHeight="1" outlineLevel="1" x14ac:dyDescent="0.3">
      <c r="A37" s="48"/>
      <c r="B37" s="9" t="str">
        <f>CONCATENATE("          ","5300"," - ","COG$ OFFSET")</f>
        <v xml:space="preserve">          5300 - COG$ OFFSET</v>
      </c>
      <c r="C37" s="9"/>
      <c r="D37" s="3">
        <v>148138.38</v>
      </c>
      <c r="E37" s="3"/>
      <c r="F37" s="26">
        <f t="shared" si="4"/>
        <v>0.50827747532447831</v>
      </c>
      <c r="G37" s="3"/>
      <c r="H37" s="3"/>
      <c r="I37" s="3"/>
      <c r="J37" s="26">
        <f t="shared" si="5"/>
        <v>0</v>
      </c>
      <c r="K37" s="3"/>
      <c r="L37" s="3">
        <f t="shared" si="6"/>
        <v>148138.38</v>
      </c>
      <c r="M37" s="3"/>
      <c r="N37" s="26">
        <f t="shared" si="7"/>
        <v>0</v>
      </c>
      <c r="O37" s="9"/>
      <c r="P37" s="3">
        <v>3919885.02</v>
      </c>
      <c r="Q37" s="3"/>
      <c r="R37" s="26">
        <f t="shared" si="8"/>
        <v>0.50185681521861414</v>
      </c>
      <c r="S37" s="3"/>
      <c r="T37" s="3"/>
      <c r="U37" s="3"/>
      <c r="V37" s="26">
        <f t="shared" si="9"/>
        <v>0</v>
      </c>
      <c r="W37" s="3"/>
      <c r="X37" s="3">
        <f t="shared" si="10"/>
        <v>3919885.02</v>
      </c>
      <c r="Y37" s="3"/>
      <c r="Z37" s="26">
        <f t="shared" si="11"/>
        <v>0</v>
      </c>
    </row>
    <row r="38" spans="1:26" s="70" customFormat="1" ht="15" hidden="1" customHeight="1" outlineLevel="1" x14ac:dyDescent="0.3">
      <c r="A38" s="48"/>
      <c r="B38" s="9" t="str">
        <f>CONCATENATE("          ","5500"," - ","FREIGHT-IN")</f>
        <v xml:space="preserve">          5500 - FREIGHT-IN</v>
      </c>
      <c r="C38" s="9"/>
      <c r="D38" s="3">
        <v>9229.8799999999992</v>
      </c>
      <c r="E38" s="3"/>
      <c r="F38" s="26">
        <f t="shared" si="4"/>
        <v>3.1668633773016118E-2</v>
      </c>
      <c r="G38" s="3"/>
      <c r="H38" s="3"/>
      <c r="I38" s="3"/>
      <c r="J38" s="26">
        <f t="shared" si="5"/>
        <v>0</v>
      </c>
      <c r="K38" s="3"/>
      <c r="L38" s="3">
        <f t="shared" si="6"/>
        <v>9229.8799999999992</v>
      </c>
      <c r="M38" s="3"/>
      <c r="N38" s="26">
        <f t="shared" si="7"/>
        <v>0</v>
      </c>
      <c r="O38" s="9"/>
      <c r="P38" s="3">
        <v>204405.04</v>
      </c>
      <c r="Q38" s="3"/>
      <c r="R38" s="26">
        <f t="shared" si="8"/>
        <v>2.6169661065475188E-2</v>
      </c>
      <c r="S38" s="3"/>
      <c r="T38" s="3"/>
      <c r="U38" s="3"/>
      <c r="V38" s="26">
        <f t="shared" si="9"/>
        <v>0</v>
      </c>
      <c r="W38" s="3"/>
      <c r="X38" s="3">
        <f t="shared" si="10"/>
        <v>204405.04</v>
      </c>
      <c r="Y38" s="3"/>
      <c r="Z38" s="26">
        <f t="shared" si="11"/>
        <v>0</v>
      </c>
    </row>
    <row r="39" spans="1:26" s="70" customFormat="1" ht="15" hidden="1" customHeight="1" outlineLevel="1" x14ac:dyDescent="0.3">
      <c r="A39" s="48"/>
      <c r="B39" s="9" t="str">
        <f>CONCATENATE("          ","5501"," - ","FREIGHT-IN-NEW TEXT")</f>
        <v xml:space="preserve">          5501 - FREIGHT-IN-NEW TEXT</v>
      </c>
      <c r="C39" s="9"/>
      <c r="D39" s="3"/>
      <c r="E39" s="3"/>
      <c r="F39" s="26">
        <f t="shared" si="4"/>
        <v>0</v>
      </c>
      <c r="G39" s="3"/>
      <c r="H39" s="3"/>
      <c r="I39" s="3"/>
      <c r="J39" s="26">
        <f t="shared" si="5"/>
        <v>0</v>
      </c>
      <c r="K39" s="3"/>
      <c r="L39" s="3">
        <f t="shared" si="6"/>
        <v>0</v>
      </c>
      <c r="M39" s="3"/>
      <c r="N39" s="26">
        <f t="shared" si="7"/>
        <v>0</v>
      </c>
      <c r="O39" s="9"/>
      <c r="P39" s="3">
        <v>0</v>
      </c>
      <c r="Q39" s="3"/>
      <c r="R39" s="26">
        <f t="shared" si="8"/>
        <v>0</v>
      </c>
      <c r="S39" s="3"/>
      <c r="T39" s="3"/>
      <c r="U39" s="3"/>
      <c r="V39" s="26">
        <f t="shared" si="9"/>
        <v>0</v>
      </c>
      <c r="W39" s="3"/>
      <c r="X39" s="3">
        <f t="shared" si="10"/>
        <v>0</v>
      </c>
      <c r="Y39" s="3"/>
      <c r="Z39" s="26">
        <f t="shared" si="11"/>
        <v>0</v>
      </c>
    </row>
    <row r="40" spans="1:26" s="70" customFormat="1" ht="15" hidden="1" customHeight="1" outlineLevel="1" x14ac:dyDescent="0.3">
      <c r="A40" s="48"/>
      <c r="B40" s="9" t="str">
        <f>CONCATENATE("          ","5502"," - ","FREIGHT-IN-USED TEXT")</f>
        <v xml:space="preserve">          5502 - FREIGHT-IN-USED TEXT</v>
      </c>
      <c r="C40" s="9"/>
      <c r="D40" s="3"/>
      <c r="E40" s="3"/>
      <c r="F40" s="26">
        <f t="shared" si="4"/>
        <v>0</v>
      </c>
      <c r="G40" s="3"/>
      <c r="H40" s="3"/>
      <c r="I40" s="3"/>
      <c r="J40" s="26">
        <f t="shared" si="5"/>
        <v>0</v>
      </c>
      <c r="K40" s="3"/>
      <c r="L40" s="3">
        <f t="shared" si="6"/>
        <v>0</v>
      </c>
      <c r="M40" s="3"/>
      <c r="N40" s="26">
        <f t="shared" si="7"/>
        <v>0</v>
      </c>
      <c r="O40" s="9"/>
      <c r="P40" s="3">
        <v>0</v>
      </c>
      <c r="Q40" s="3"/>
      <c r="R40" s="26">
        <f t="shared" si="8"/>
        <v>0</v>
      </c>
      <c r="S40" s="3"/>
      <c r="T40" s="3"/>
      <c r="U40" s="3"/>
      <c r="V40" s="26">
        <f t="shared" si="9"/>
        <v>0</v>
      </c>
      <c r="W40" s="3"/>
      <c r="X40" s="3">
        <f t="shared" si="10"/>
        <v>0</v>
      </c>
      <c r="Y40" s="3"/>
      <c r="Z40" s="26">
        <f t="shared" si="11"/>
        <v>0</v>
      </c>
    </row>
    <row r="41" spans="1:26" s="70" customFormat="1" ht="15" hidden="1" customHeight="1" outlineLevel="1" x14ac:dyDescent="0.3">
      <c r="A41" s="48"/>
      <c r="B41" s="9" t="str">
        <f>CONCATENATE("          ","5518"," - ","FREIGHT-IN-STUDY GUIDES")</f>
        <v xml:space="preserve">          5518 - FREIGHT-IN-STUDY GUIDES</v>
      </c>
      <c r="C41" s="9"/>
      <c r="D41" s="3"/>
      <c r="E41" s="3"/>
      <c r="F41" s="26">
        <f t="shared" si="4"/>
        <v>0</v>
      </c>
      <c r="G41" s="3"/>
      <c r="H41" s="3"/>
      <c r="I41" s="3"/>
      <c r="J41" s="26">
        <f t="shared" si="5"/>
        <v>0</v>
      </c>
      <c r="K41" s="3"/>
      <c r="L41" s="3">
        <f t="shared" si="6"/>
        <v>0</v>
      </c>
      <c r="M41" s="3"/>
      <c r="N41" s="26">
        <f t="shared" si="7"/>
        <v>0</v>
      </c>
      <c r="O41" s="9"/>
      <c r="P41" s="3">
        <v>0</v>
      </c>
      <c r="Q41" s="3"/>
      <c r="R41" s="26">
        <f t="shared" si="8"/>
        <v>0</v>
      </c>
      <c r="S41" s="3"/>
      <c r="T41" s="3"/>
      <c r="U41" s="3"/>
      <c r="V41" s="26">
        <f t="shared" si="9"/>
        <v>0</v>
      </c>
      <c r="W41" s="3"/>
      <c r="X41" s="3">
        <f t="shared" si="10"/>
        <v>0</v>
      </c>
      <c r="Y41" s="3"/>
      <c r="Z41" s="26">
        <f t="shared" si="11"/>
        <v>0</v>
      </c>
    </row>
    <row r="42" spans="1:26" s="70" customFormat="1" ht="15" hidden="1" customHeight="1" outlineLevel="1" x14ac:dyDescent="0.3">
      <c r="A42" s="48"/>
      <c r="B42" s="9" t="str">
        <f>CONCATENATE("          ","5527"," - ","FREIGHT-IN-SCHOOL SUPPLIES")</f>
        <v xml:space="preserve">          5527 - FREIGHT-IN-SCHOOL SUPPLIES</v>
      </c>
      <c r="C42" s="9"/>
      <c r="D42" s="3"/>
      <c r="E42" s="3"/>
      <c r="F42" s="26">
        <f t="shared" si="4"/>
        <v>0</v>
      </c>
      <c r="G42" s="3"/>
      <c r="H42" s="3"/>
      <c r="I42" s="3"/>
      <c r="J42" s="26">
        <f t="shared" si="5"/>
        <v>0</v>
      </c>
      <c r="K42" s="3"/>
      <c r="L42" s="3">
        <f t="shared" si="6"/>
        <v>0</v>
      </c>
      <c r="M42" s="3"/>
      <c r="N42" s="26">
        <f t="shared" si="7"/>
        <v>0</v>
      </c>
      <c r="O42" s="9"/>
      <c r="P42" s="3">
        <v>0</v>
      </c>
      <c r="Q42" s="3"/>
      <c r="R42" s="26">
        <f t="shared" si="8"/>
        <v>0</v>
      </c>
      <c r="S42" s="3"/>
      <c r="T42" s="3"/>
      <c r="U42" s="3"/>
      <c r="V42" s="26">
        <f t="shared" si="9"/>
        <v>0</v>
      </c>
      <c r="W42" s="3"/>
      <c r="X42" s="3">
        <f t="shared" si="10"/>
        <v>0</v>
      </c>
      <c r="Y42" s="3"/>
      <c r="Z42" s="26">
        <f t="shared" si="11"/>
        <v>0</v>
      </c>
    </row>
    <row r="43" spans="1:26" s="70" customFormat="1" ht="15" hidden="1" customHeight="1" outlineLevel="1" x14ac:dyDescent="0.3">
      <c r="A43" s="48"/>
      <c r="B43" s="9" t="str">
        <f>CONCATENATE("          ","5528"," - ","FREIGHT-IN-ART/TECH")</f>
        <v xml:space="preserve">          5528 - FREIGHT-IN-ART/TECH</v>
      </c>
      <c r="C43" s="9"/>
      <c r="D43" s="3"/>
      <c r="E43" s="3"/>
      <c r="F43" s="26">
        <f t="shared" si="4"/>
        <v>0</v>
      </c>
      <c r="G43" s="3"/>
      <c r="H43" s="3"/>
      <c r="I43" s="3"/>
      <c r="J43" s="26">
        <f t="shared" si="5"/>
        <v>0</v>
      </c>
      <c r="K43" s="3"/>
      <c r="L43" s="3">
        <f t="shared" si="6"/>
        <v>0</v>
      </c>
      <c r="M43" s="3"/>
      <c r="N43" s="26">
        <f t="shared" si="7"/>
        <v>0</v>
      </c>
      <c r="O43" s="9"/>
      <c r="P43" s="3">
        <v>0</v>
      </c>
      <c r="Q43" s="3"/>
      <c r="R43" s="26">
        <f t="shared" si="8"/>
        <v>0</v>
      </c>
      <c r="S43" s="3"/>
      <c r="T43" s="3"/>
      <c r="U43" s="3"/>
      <c r="V43" s="26">
        <f t="shared" si="9"/>
        <v>0</v>
      </c>
      <c r="W43" s="3"/>
      <c r="X43" s="3">
        <f t="shared" si="10"/>
        <v>0</v>
      </c>
      <c r="Y43" s="3"/>
      <c r="Z43" s="26">
        <f t="shared" si="11"/>
        <v>0</v>
      </c>
    </row>
    <row r="44" spans="1:26" s="70" customFormat="1" ht="15" hidden="1" customHeight="1" outlineLevel="1" x14ac:dyDescent="0.3">
      <c r="A44" s="48"/>
      <c r="B44" s="9" t="str">
        <f>CONCATENATE("          ","5540"," - ","FREIGHT-IN-LOGO CLOTHING")</f>
        <v xml:space="preserve">          5540 - FREIGHT-IN-LOGO CLOTHING</v>
      </c>
      <c r="C44" s="9"/>
      <c r="D44" s="3"/>
      <c r="E44" s="3"/>
      <c r="F44" s="26">
        <f t="shared" si="4"/>
        <v>0</v>
      </c>
      <c r="G44" s="3"/>
      <c r="H44" s="3"/>
      <c r="I44" s="3"/>
      <c r="J44" s="26">
        <f t="shared" si="5"/>
        <v>0</v>
      </c>
      <c r="K44" s="3"/>
      <c r="L44" s="3">
        <f t="shared" si="6"/>
        <v>0</v>
      </c>
      <c r="M44" s="3"/>
      <c r="N44" s="26">
        <f t="shared" si="7"/>
        <v>0</v>
      </c>
      <c r="O44" s="9"/>
      <c r="P44" s="3">
        <v>0</v>
      </c>
      <c r="Q44" s="3"/>
      <c r="R44" s="26">
        <f t="shared" si="8"/>
        <v>0</v>
      </c>
      <c r="S44" s="3"/>
      <c r="T44" s="3"/>
      <c r="U44" s="3"/>
      <c r="V44" s="26">
        <f t="shared" si="9"/>
        <v>0</v>
      </c>
      <c r="W44" s="3"/>
      <c r="X44" s="3">
        <f t="shared" si="10"/>
        <v>0</v>
      </c>
      <c r="Y44" s="3"/>
      <c r="Z44" s="26">
        <f t="shared" si="11"/>
        <v>0</v>
      </c>
    </row>
    <row r="45" spans="1:26" s="70" customFormat="1" ht="15" hidden="1" customHeight="1" outlineLevel="1" x14ac:dyDescent="0.3">
      <c r="A45" s="48"/>
      <c r="B45" s="9" t="str">
        <f>CONCATENATE("          ","5541"," - ","FREIGHT-IN-LOGO GIFTS")</f>
        <v xml:space="preserve">          5541 - FREIGHT-IN-LOGO GIFTS</v>
      </c>
      <c r="C45" s="9"/>
      <c r="D45" s="3"/>
      <c r="E45" s="3"/>
      <c r="F45" s="26">
        <f t="shared" si="4"/>
        <v>0</v>
      </c>
      <c r="G45" s="3"/>
      <c r="H45" s="3"/>
      <c r="I45" s="3"/>
      <c r="J45" s="26">
        <f t="shared" si="5"/>
        <v>0</v>
      </c>
      <c r="K45" s="3"/>
      <c r="L45" s="3">
        <f t="shared" si="6"/>
        <v>0</v>
      </c>
      <c r="M45" s="3"/>
      <c r="N45" s="26">
        <f t="shared" si="7"/>
        <v>0</v>
      </c>
      <c r="O45" s="9"/>
      <c r="P45" s="3">
        <v>0</v>
      </c>
      <c r="Q45" s="3"/>
      <c r="R45" s="26">
        <f t="shared" si="8"/>
        <v>0</v>
      </c>
      <c r="S45" s="3"/>
      <c r="T45" s="3"/>
      <c r="U45" s="3"/>
      <c r="V45" s="26">
        <f t="shared" si="9"/>
        <v>0</v>
      </c>
      <c r="W45" s="3"/>
      <c r="X45" s="3">
        <f t="shared" si="10"/>
        <v>0</v>
      </c>
      <c r="Y45" s="3"/>
      <c r="Z45" s="26">
        <f t="shared" si="11"/>
        <v>0</v>
      </c>
    </row>
    <row r="46" spans="1:26" s="70" customFormat="1" ht="15" hidden="1" customHeight="1" outlineLevel="1" x14ac:dyDescent="0.3">
      <c r="A46" s="48"/>
      <c r="B46" s="9" t="str">
        <f>CONCATENATE("          ","5542"," - ","FREIGHT-IN-EVERYDAY GIFTS")</f>
        <v xml:space="preserve">          5542 - FREIGHT-IN-EVERYDAY GIFTS</v>
      </c>
      <c r="C46" s="9"/>
      <c r="D46" s="3"/>
      <c r="E46" s="3"/>
      <c r="F46" s="26">
        <f t="shared" si="4"/>
        <v>0</v>
      </c>
      <c r="G46" s="3"/>
      <c r="H46" s="3"/>
      <c r="I46" s="3"/>
      <c r="J46" s="26">
        <f t="shared" si="5"/>
        <v>0</v>
      </c>
      <c r="K46" s="3"/>
      <c r="L46" s="3">
        <f t="shared" si="6"/>
        <v>0</v>
      </c>
      <c r="M46" s="3"/>
      <c r="N46" s="26">
        <f t="shared" si="7"/>
        <v>0</v>
      </c>
      <c r="O46" s="9"/>
      <c r="P46" s="3">
        <v>0</v>
      </c>
      <c r="Q46" s="3"/>
      <c r="R46" s="26">
        <f t="shared" si="8"/>
        <v>0</v>
      </c>
      <c r="S46" s="3"/>
      <c r="T46" s="3"/>
      <c r="U46" s="3"/>
      <c r="V46" s="26">
        <f t="shared" si="9"/>
        <v>0</v>
      </c>
      <c r="W46" s="3"/>
      <c r="X46" s="3">
        <f t="shared" si="10"/>
        <v>0</v>
      </c>
      <c r="Y46" s="3"/>
      <c r="Z46" s="26">
        <f t="shared" si="11"/>
        <v>0</v>
      </c>
    </row>
    <row r="47" spans="1:26" s="70" customFormat="1" ht="15" hidden="1" customHeight="1" outlineLevel="1" x14ac:dyDescent="0.3">
      <c r="A47" s="48"/>
      <c r="B47" s="9" t="str">
        <f>CONCATENATE("          ","5544"," - ","FREIGHT-IN-ACCESSORIES")</f>
        <v xml:space="preserve">          5544 - FREIGHT-IN-ACCESSORIES</v>
      </c>
      <c r="C47" s="9"/>
      <c r="D47" s="3"/>
      <c r="E47" s="3"/>
      <c r="F47" s="26">
        <f t="shared" si="4"/>
        <v>0</v>
      </c>
      <c r="G47" s="3"/>
      <c r="H47" s="3"/>
      <c r="I47" s="3"/>
      <c r="J47" s="26">
        <f t="shared" si="5"/>
        <v>0</v>
      </c>
      <c r="K47" s="3"/>
      <c r="L47" s="3">
        <f t="shared" si="6"/>
        <v>0</v>
      </c>
      <c r="M47" s="3"/>
      <c r="N47" s="26">
        <f t="shared" si="7"/>
        <v>0</v>
      </c>
      <c r="O47" s="9"/>
      <c r="P47" s="3">
        <v>0</v>
      </c>
      <c r="Q47" s="3"/>
      <c r="R47" s="26">
        <f t="shared" si="8"/>
        <v>0</v>
      </c>
      <c r="S47" s="3"/>
      <c r="T47" s="3"/>
      <c r="U47" s="3"/>
      <c r="V47" s="26">
        <f t="shared" si="9"/>
        <v>0</v>
      </c>
      <c r="W47" s="3"/>
      <c r="X47" s="3">
        <f t="shared" si="10"/>
        <v>0</v>
      </c>
      <c r="Y47" s="3"/>
      <c r="Z47" s="26">
        <f t="shared" si="11"/>
        <v>0</v>
      </c>
    </row>
    <row r="48" spans="1:26" s="70" customFormat="1" ht="15" hidden="1" customHeight="1" outlineLevel="1" x14ac:dyDescent="0.3">
      <c r="A48" s="48"/>
      <c r="B48" s="9" t="str">
        <f>CONCATENATE("          ","5545"," - ","FREIGHT-IN-SPECIAL ORDERS")</f>
        <v xml:space="preserve">          5545 - FREIGHT-IN-SPECIAL ORDERS</v>
      </c>
      <c r="C48" s="9"/>
      <c r="D48" s="3"/>
      <c r="E48" s="3"/>
      <c r="F48" s="26">
        <f t="shared" si="4"/>
        <v>0</v>
      </c>
      <c r="G48" s="3"/>
      <c r="H48" s="3"/>
      <c r="I48" s="3"/>
      <c r="J48" s="26">
        <f t="shared" si="5"/>
        <v>0</v>
      </c>
      <c r="K48" s="3"/>
      <c r="L48" s="3">
        <f t="shared" si="6"/>
        <v>0</v>
      </c>
      <c r="M48" s="3"/>
      <c r="N48" s="26">
        <f t="shared" si="7"/>
        <v>0</v>
      </c>
      <c r="O48" s="9"/>
      <c r="P48" s="3">
        <v>0</v>
      </c>
      <c r="Q48" s="3"/>
      <c r="R48" s="26">
        <f t="shared" si="8"/>
        <v>0</v>
      </c>
      <c r="S48" s="3"/>
      <c r="T48" s="3"/>
      <c r="U48" s="3"/>
      <c r="V48" s="26">
        <f t="shared" si="9"/>
        <v>0</v>
      </c>
      <c r="W48" s="3"/>
      <c r="X48" s="3">
        <f t="shared" si="10"/>
        <v>0</v>
      </c>
      <c r="Y48" s="3"/>
      <c r="Z48" s="26">
        <f t="shared" si="11"/>
        <v>0</v>
      </c>
    </row>
    <row r="49" spans="1:26" ht="15" customHeight="1" x14ac:dyDescent="0.3">
      <c r="A49" s="12"/>
      <c r="B49" s="13"/>
      <c r="C49" s="13"/>
      <c r="D49" s="4"/>
      <c r="E49" s="4"/>
      <c r="F49" s="10"/>
      <c r="G49" s="4"/>
      <c r="H49" s="4"/>
      <c r="I49" s="4"/>
      <c r="J49" s="10"/>
      <c r="K49" s="4"/>
      <c r="L49" s="4"/>
      <c r="M49" s="4"/>
      <c r="N49" s="10"/>
      <c r="O49" s="13"/>
      <c r="P49" s="4"/>
      <c r="Q49" s="4"/>
      <c r="R49" s="10"/>
      <c r="S49" s="4"/>
      <c r="T49" s="4"/>
      <c r="U49" s="4"/>
      <c r="V49" s="10"/>
      <c r="W49" s="4"/>
      <c r="X49" s="4"/>
      <c r="Y49" s="4"/>
      <c r="Z49" s="10"/>
    </row>
    <row r="50" spans="1:26" s="63" customFormat="1" ht="15" customHeight="1" x14ac:dyDescent="0.3">
      <c r="A50" s="13"/>
      <c r="B50" s="27" t="s">
        <v>289</v>
      </c>
      <c r="C50" s="27"/>
      <c r="D50" s="23">
        <f>D12-D21</f>
        <v>-141313.4200000001</v>
      </c>
      <c r="E50" s="15"/>
      <c r="F50" s="22">
        <f>IF(D$12=0,0,D50/D$12)</f>
        <v>-0.4848603606105838</v>
      </c>
      <c r="G50" s="15"/>
      <c r="H50" s="23">
        <f>H12-H21</f>
        <v>133958</v>
      </c>
      <c r="I50" s="15"/>
      <c r="J50" s="22">
        <f>IF(H$12=0,0,H50/H$12)</f>
        <v>0.47089550927146501</v>
      </c>
      <c r="K50" s="17"/>
      <c r="L50" s="23">
        <f>+D50-H50</f>
        <v>-275271.4200000001</v>
      </c>
      <c r="M50" s="17"/>
      <c r="N50" s="22">
        <f>IF(H50=0,0,L50/H50)</f>
        <v>-2.0549084041266674</v>
      </c>
      <c r="O50" s="28"/>
      <c r="P50" s="23">
        <f>P12-P21</f>
        <v>3304359.8200000012</v>
      </c>
      <c r="Q50" s="15"/>
      <c r="R50" s="22">
        <f>IF(P$12=0,0,P50/P$12)</f>
        <v>0.42305207605338219</v>
      </c>
      <c r="S50" s="15"/>
      <c r="T50" s="23">
        <f>T12-T21</f>
        <v>3523753</v>
      </c>
      <c r="U50" s="15"/>
      <c r="V50" s="22">
        <f>IF(T$12=0,0,T50/T$12)</f>
        <v>0.39706867504648474</v>
      </c>
      <c r="W50" s="17"/>
      <c r="X50" s="23">
        <f>+P50-T50</f>
        <v>-219393.17999999877</v>
      </c>
      <c r="Y50" s="17"/>
      <c r="Z50" s="22">
        <f>IF(T50=0,0,X50/T50)</f>
        <v>-6.2261225460467508E-2</v>
      </c>
    </row>
    <row r="51" spans="1:26" ht="15" customHeight="1" x14ac:dyDescent="0.3">
      <c r="A51" s="12"/>
      <c r="B51" s="13"/>
      <c r="C51" s="12"/>
      <c r="D51" s="2"/>
      <c r="E51" s="2"/>
      <c r="F51" s="5"/>
      <c r="G51" s="2"/>
      <c r="H51" s="2"/>
      <c r="I51" s="2"/>
      <c r="J51" s="5"/>
      <c r="K51" s="2"/>
      <c r="L51" s="2"/>
      <c r="M51" s="2"/>
      <c r="N51" s="5"/>
      <c r="O51" s="36"/>
      <c r="P51" s="2"/>
      <c r="Q51" s="2"/>
      <c r="R51" s="5"/>
      <c r="S51" s="2"/>
      <c r="T51" s="2"/>
      <c r="U51" s="2"/>
      <c r="V51" s="5"/>
      <c r="W51" s="2"/>
      <c r="X51" s="2"/>
      <c r="Y51" s="2"/>
      <c r="Z51" s="5"/>
    </row>
    <row r="52" spans="1:26" s="63" customFormat="1" ht="15" customHeight="1" x14ac:dyDescent="0.3">
      <c r="A52" s="13"/>
      <c r="B52" s="28" t="s">
        <v>290</v>
      </c>
      <c r="C52" s="13"/>
      <c r="D52" s="24" cm="1">
        <f t="array" ref="D52">SUM(OSRRefD22x_0)</f>
        <v>237402.07000000004</v>
      </c>
      <c r="E52" s="24"/>
      <c r="F52" s="34">
        <f t="shared" ref="F52:F83" si="12">IF(D$12=0,0,D52/D$12)</f>
        <v>0.81455004959825461</v>
      </c>
      <c r="G52" s="24"/>
      <c r="H52" s="24" cm="1">
        <f t="array" ref="H52">SUM(OSRRefH22x_0)</f>
        <v>278741.20626640506</v>
      </c>
      <c r="I52" s="24"/>
      <c r="J52" s="34">
        <f t="shared" ref="J52:J83" si="13">IF(H$12=0,0,H52/H$12)</f>
        <v>0.9798442965687848</v>
      </c>
      <c r="K52" s="8"/>
      <c r="L52" s="24">
        <f t="shared" ref="L52:L83" si="14">+D52-H52</f>
        <v>-41339.136266405025</v>
      </c>
      <c r="M52" s="8"/>
      <c r="N52" s="34">
        <f t="shared" ref="N52:N83" si="15">IF(H52=0,0,L52/H52)</f>
        <v>-0.14830651276903573</v>
      </c>
      <c r="O52" s="13"/>
      <c r="P52" s="24" cm="1">
        <f t="array" ref="P52">SUM(OSRRefP22x_0)</f>
        <v>3775251.8799999994</v>
      </c>
      <c r="Q52" s="24"/>
      <c r="R52" s="34">
        <f t="shared" ref="R52:R83" si="16">IF(P$12=0,0,P52/P$12)</f>
        <v>0.48333965804560391</v>
      </c>
      <c r="S52" s="24"/>
      <c r="T52" s="24" cm="1">
        <f t="array" ref="T52">SUM(OSRRefT22x_0)</f>
        <v>3950666.9203883084</v>
      </c>
      <c r="U52" s="24"/>
      <c r="V52" s="34">
        <f t="shared" ref="V52:V83" si="17">IF(T$12=0,0,T52/T$12)</f>
        <v>0.4451748120905642</v>
      </c>
      <c r="W52" s="8"/>
      <c r="X52" s="24">
        <f t="shared" ref="X52:X83" si="18">+P52-T52</f>
        <v>-175415.04038830893</v>
      </c>
      <c r="Y52" s="8"/>
      <c r="Z52" s="34">
        <f t="shared" ref="Z52:Z83" si="19">IF(T52=0,0,X52/T52)</f>
        <v>-4.4401374229510474E-2</v>
      </c>
    </row>
    <row r="53" spans="1:26" s="69" customFormat="1" ht="15" customHeight="1" outlineLevel="1" collapsed="1" x14ac:dyDescent="0.3">
      <c r="A53" s="20"/>
      <c r="B53" s="11" t="str">
        <f>CONCATENATE("     ","*Benefits                                         ")</f>
        <v xml:space="preserve">     *Benefits                                         </v>
      </c>
      <c r="C53" s="11"/>
      <c r="D53" s="2">
        <f>SUM(OSRRefD22_0x_0)</f>
        <v>27285.49</v>
      </c>
      <c r="E53" s="2"/>
      <c r="F53" s="5">
        <f t="shared" si="12"/>
        <v>9.3619222582232237E-2</v>
      </c>
      <c r="G53" s="2"/>
      <c r="H53" s="2">
        <f>SUM(OSRRefH22_0x_0)</f>
        <v>42674.929032689783</v>
      </c>
      <c r="I53" s="2"/>
      <c r="J53" s="5">
        <f t="shared" si="13"/>
        <v>0.15001293271004407</v>
      </c>
      <c r="K53" s="2"/>
      <c r="L53" s="2">
        <f t="shared" si="14"/>
        <v>-15389.439032689781</v>
      </c>
      <c r="M53" s="2"/>
      <c r="N53" s="5">
        <f t="shared" si="15"/>
        <v>-0.3606201435250469</v>
      </c>
      <c r="O53" s="11"/>
      <c r="P53" s="2">
        <f>SUM(OSRRefP22_0x_0)</f>
        <v>543990.01</v>
      </c>
      <c r="Q53" s="2"/>
      <c r="R53" s="5">
        <f t="shared" si="16"/>
        <v>6.9646199451366061E-2</v>
      </c>
      <c r="S53" s="2"/>
      <c r="T53" s="2">
        <f>SUM(OSRRefT22_0x_0)</f>
        <v>569620.23243654741</v>
      </c>
      <c r="U53" s="2"/>
      <c r="V53" s="5">
        <f t="shared" si="17"/>
        <v>6.4186777839777803E-2</v>
      </c>
      <c r="W53" s="2"/>
      <c r="X53" s="2">
        <f t="shared" si="18"/>
        <v>-25630.222436547396</v>
      </c>
      <c r="Y53" s="2"/>
      <c r="Z53" s="5">
        <f t="shared" si="19"/>
        <v>-4.4995281025946465E-2</v>
      </c>
    </row>
    <row r="54" spans="1:26" s="70" customFormat="1" ht="15" hidden="1" customHeight="1" outlineLevel="2" x14ac:dyDescent="0.3">
      <c r="A54" s="21"/>
      <c r="B54" s="9" t="str">
        <f>CONCATENATE("          ","6111"," - ","F.I.C.A.")</f>
        <v xml:space="preserve">          6111 - F.I.C.A.</v>
      </c>
      <c r="C54" s="9"/>
      <c r="D54" s="6">
        <v>11177.15</v>
      </c>
      <c r="E54" s="3"/>
      <c r="F54" s="7">
        <f t="shared" si="12"/>
        <v>3.8349910288765089E-2</v>
      </c>
      <c r="G54" s="3"/>
      <c r="H54" s="6">
        <v>8661.0057284720806</v>
      </c>
      <c r="I54" s="3"/>
      <c r="J54" s="7">
        <f t="shared" si="13"/>
        <v>3.0445577743113034E-2</v>
      </c>
      <c r="K54" s="3"/>
      <c r="L54" s="6">
        <f t="shared" si="14"/>
        <v>2516.144271527919</v>
      </c>
      <c r="M54" s="3"/>
      <c r="N54" s="7">
        <f t="shared" si="15"/>
        <v>0.29051409852511451</v>
      </c>
      <c r="O54" s="9"/>
      <c r="P54" s="6">
        <v>107477</v>
      </c>
      <c r="Q54" s="3"/>
      <c r="R54" s="7">
        <f t="shared" si="16"/>
        <v>1.3760114047745969E-2</v>
      </c>
      <c r="S54" s="3"/>
      <c r="T54" s="6">
        <v>119554.459673429</v>
      </c>
      <c r="U54" s="3"/>
      <c r="V54" s="7">
        <f t="shared" si="17"/>
        <v>1.3471809998722056E-2</v>
      </c>
      <c r="W54" s="3"/>
      <c r="X54" s="6">
        <f t="shared" si="18"/>
        <v>-12077.459673428995</v>
      </c>
      <c r="Y54" s="3"/>
      <c r="Z54" s="7">
        <f t="shared" si="19"/>
        <v>-0.10102057009349032</v>
      </c>
    </row>
    <row r="55" spans="1:26" s="70" customFormat="1" ht="15" hidden="1" customHeight="1" outlineLevel="2" x14ac:dyDescent="0.3">
      <c r="A55" s="21"/>
      <c r="B55" s="9" t="str">
        <f>CONCATENATE("          ","6112"," - ","COMPENSATION INSURANCE")</f>
        <v xml:space="preserve">          6112 - COMPENSATION INSURANCE</v>
      </c>
      <c r="C55" s="9"/>
      <c r="D55" s="6">
        <v>-16853.849999999999</v>
      </c>
      <c r="E55" s="3"/>
      <c r="F55" s="7">
        <f t="shared" si="12"/>
        <v>-5.7827231049087068E-2</v>
      </c>
      <c r="G55" s="3"/>
      <c r="H55" s="6">
        <v>2263.5606274800002</v>
      </c>
      <c r="I55" s="3"/>
      <c r="J55" s="7">
        <f t="shared" si="13"/>
        <v>7.9569755777484843E-3</v>
      </c>
      <c r="K55" s="3"/>
      <c r="L55" s="6">
        <f t="shared" si="14"/>
        <v>-19117.41062748</v>
      </c>
      <c r="M55" s="3"/>
      <c r="N55" s="7">
        <f t="shared" si="15"/>
        <v>-8.4457250207445185</v>
      </c>
      <c r="O55" s="9"/>
      <c r="P55" s="6">
        <v>11269.66</v>
      </c>
      <c r="Q55" s="3"/>
      <c r="R55" s="7">
        <f t="shared" si="16"/>
        <v>1.4428371361251322E-3</v>
      </c>
      <c r="S55" s="3"/>
      <c r="T55" s="6">
        <v>33189.209166239998</v>
      </c>
      <c r="U55" s="3"/>
      <c r="V55" s="7">
        <f t="shared" si="17"/>
        <v>3.7398748747371232E-3</v>
      </c>
      <c r="W55" s="3"/>
      <c r="X55" s="6">
        <f t="shared" si="18"/>
        <v>-21919.549166239998</v>
      </c>
      <c r="Y55" s="3"/>
      <c r="Z55" s="7">
        <f t="shared" si="19"/>
        <v>-0.66044204477570145</v>
      </c>
    </row>
    <row r="56" spans="1:26" s="70" customFormat="1" ht="15" hidden="1" customHeight="1" outlineLevel="2" x14ac:dyDescent="0.3">
      <c r="A56" s="21"/>
      <c r="B56" s="9" t="str">
        <f>CONCATENATE("          ","6113"," - ","GROUP INSURANCE")</f>
        <v xml:space="preserve">          6113 - GROUP INSURANCE</v>
      </c>
      <c r="C56" s="9"/>
      <c r="D56" s="6">
        <v>14861.64</v>
      </c>
      <c r="E56" s="3"/>
      <c r="F56" s="7">
        <f t="shared" si="12"/>
        <v>5.0991760935830945E-2</v>
      </c>
      <c r="G56" s="3"/>
      <c r="H56" s="6">
        <v>15715.9230769231</v>
      </c>
      <c r="I56" s="3"/>
      <c r="J56" s="7">
        <f t="shared" si="13"/>
        <v>5.5245357507419282E-2</v>
      </c>
      <c r="K56" s="3"/>
      <c r="L56" s="6">
        <f t="shared" si="14"/>
        <v>-854.28307692310045</v>
      </c>
      <c r="M56" s="3"/>
      <c r="N56" s="7">
        <f t="shared" si="15"/>
        <v>-5.4357804676297382E-2</v>
      </c>
      <c r="O56" s="9"/>
      <c r="P56" s="6">
        <v>193667.46</v>
      </c>
      <c r="Q56" s="3"/>
      <c r="R56" s="7">
        <f t="shared" si="16"/>
        <v>2.4794945308645389E-2</v>
      </c>
      <c r="S56" s="3"/>
      <c r="T56" s="6">
        <v>197806.5</v>
      </c>
      <c r="U56" s="3"/>
      <c r="V56" s="7">
        <f t="shared" si="17"/>
        <v>2.2289520539771797E-2</v>
      </c>
      <c r="W56" s="3"/>
      <c r="X56" s="6">
        <f t="shared" si="18"/>
        <v>-4139.0400000000081</v>
      </c>
      <c r="Y56" s="3"/>
      <c r="Z56" s="7">
        <f t="shared" si="19"/>
        <v>-2.0924691554625396E-2</v>
      </c>
    </row>
    <row r="57" spans="1:26" s="70" customFormat="1" ht="15" hidden="1" customHeight="1" outlineLevel="2" x14ac:dyDescent="0.3">
      <c r="A57" s="21"/>
      <c r="B57" s="9" t="str">
        <f>CONCATENATE("          ","6114"," - ","STATE UNEMPLOYMENT INSURANCE")</f>
        <v xml:space="preserve">          6114 - STATE UNEMPLOYMENT INSURANCE</v>
      </c>
      <c r="C57" s="9"/>
      <c r="D57" s="6"/>
      <c r="E57" s="3"/>
      <c r="F57" s="7">
        <f t="shared" si="12"/>
        <v>0</v>
      </c>
      <c r="G57" s="3"/>
      <c r="H57" s="6">
        <v>304.71008446846201</v>
      </c>
      <c r="I57" s="3"/>
      <c r="J57" s="7">
        <f t="shared" si="13"/>
        <v>1.071131327773836E-3</v>
      </c>
      <c r="K57" s="3"/>
      <c r="L57" s="6">
        <f t="shared" si="14"/>
        <v>-304.71008446846201</v>
      </c>
      <c r="M57" s="3"/>
      <c r="N57" s="7">
        <f t="shared" si="15"/>
        <v>-1</v>
      </c>
      <c r="O57" s="9"/>
      <c r="P57" s="6">
        <v>5066.76</v>
      </c>
      <c r="Q57" s="3"/>
      <c r="R57" s="7">
        <f t="shared" si="16"/>
        <v>6.4868944474219948E-4</v>
      </c>
      <c r="S57" s="3"/>
      <c r="T57" s="6">
        <v>4467.7781569938397</v>
      </c>
      <c r="U57" s="3"/>
      <c r="V57" s="7">
        <f t="shared" si="17"/>
        <v>5.0344469467615051E-4</v>
      </c>
      <c r="W57" s="3"/>
      <c r="X57" s="6">
        <f t="shared" si="18"/>
        <v>598.98184300616049</v>
      </c>
      <c r="Y57" s="3"/>
      <c r="Z57" s="7">
        <f t="shared" si="19"/>
        <v>0.13406705121840418</v>
      </c>
    </row>
    <row r="58" spans="1:26" s="70" customFormat="1" ht="15" hidden="1" customHeight="1" outlineLevel="2" x14ac:dyDescent="0.3">
      <c r="A58" s="21"/>
      <c r="B58" s="9" t="str">
        <f>CONCATENATE("          ","6115"," - ","P.E.R.S.")</f>
        <v xml:space="preserve">          6115 - P.E.R.S.</v>
      </c>
      <c r="C58" s="9"/>
      <c r="D58" s="6">
        <v>4980.3100000000004</v>
      </c>
      <c r="E58" s="3"/>
      <c r="F58" s="7">
        <f t="shared" si="12"/>
        <v>1.7087937596814904E-2</v>
      </c>
      <c r="G58" s="3"/>
      <c r="H58" s="6">
        <v>4215.5982431846096</v>
      </c>
      <c r="I58" s="3"/>
      <c r="J58" s="7">
        <f t="shared" si="13"/>
        <v>1.4818870702819613E-2</v>
      </c>
      <c r="K58" s="3"/>
      <c r="L58" s="6">
        <f t="shared" si="14"/>
        <v>764.7117568153908</v>
      </c>
      <c r="M58" s="3"/>
      <c r="N58" s="7">
        <f t="shared" si="15"/>
        <v>0.18140053029287273</v>
      </c>
      <c r="O58" s="9"/>
      <c r="P58" s="6">
        <v>76766.41</v>
      </c>
      <c r="Q58" s="3"/>
      <c r="R58" s="7">
        <f t="shared" si="16"/>
        <v>9.8282847179957267E-3</v>
      </c>
      <c r="S58" s="3"/>
      <c r="T58" s="6">
        <v>56620.370622938397</v>
      </c>
      <c r="U58" s="3"/>
      <c r="V58" s="7">
        <f t="shared" si="17"/>
        <v>6.3801791850595256E-3</v>
      </c>
      <c r="W58" s="3"/>
      <c r="X58" s="6">
        <f t="shared" si="18"/>
        <v>20146.039377061607</v>
      </c>
      <c r="Y58" s="3"/>
      <c r="Z58" s="7">
        <f t="shared" si="19"/>
        <v>0.35580903401751873</v>
      </c>
    </row>
    <row r="59" spans="1:26" s="70" customFormat="1" ht="15" hidden="1" customHeight="1" outlineLevel="2" x14ac:dyDescent="0.3">
      <c r="A59" s="21"/>
      <c r="B59" s="9" t="str">
        <f>CONCATENATE("          ","6116"," - ","EDUCATIONAL BENEFITS")</f>
        <v xml:space="preserve">          6116 - EDUCATIONAL BENEFITS</v>
      </c>
      <c r="C59" s="9"/>
      <c r="D59" s="6"/>
      <c r="E59" s="3"/>
      <c r="F59" s="7">
        <f t="shared" si="12"/>
        <v>0</v>
      </c>
      <c r="G59" s="3"/>
      <c r="H59" s="6">
        <v>0</v>
      </c>
      <c r="I59" s="3"/>
      <c r="J59" s="7">
        <f t="shared" si="13"/>
        <v>0</v>
      </c>
      <c r="K59" s="3"/>
      <c r="L59" s="6">
        <f t="shared" si="14"/>
        <v>0</v>
      </c>
      <c r="M59" s="3"/>
      <c r="N59" s="7">
        <f t="shared" si="15"/>
        <v>0</v>
      </c>
      <c r="O59" s="9"/>
      <c r="P59" s="6"/>
      <c r="Q59" s="3"/>
      <c r="R59" s="7">
        <f t="shared" si="16"/>
        <v>0</v>
      </c>
      <c r="S59" s="3"/>
      <c r="T59" s="6">
        <v>0</v>
      </c>
      <c r="U59" s="3"/>
      <c r="V59" s="7">
        <f t="shared" si="17"/>
        <v>0</v>
      </c>
      <c r="W59" s="3"/>
      <c r="X59" s="6">
        <f t="shared" si="18"/>
        <v>0</v>
      </c>
      <c r="Y59" s="3"/>
      <c r="Z59" s="7">
        <f t="shared" si="19"/>
        <v>0</v>
      </c>
    </row>
    <row r="60" spans="1:26" s="70" customFormat="1" ht="15" hidden="1" customHeight="1" outlineLevel="2" x14ac:dyDescent="0.3">
      <c r="A60" s="21"/>
      <c r="B60" s="9" t="str">
        <f>CONCATENATE("          ","6117"," - ","RETIREMENT STAFF HOURLY")</f>
        <v xml:space="preserve">          6117 - RETIREMENT STAFF HOURLY</v>
      </c>
      <c r="C60" s="9"/>
      <c r="D60" s="6">
        <v>649.72</v>
      </c>
      <c r="E60" s="3"/>
      <c r="F60" s="7">
        <f t="shared" si="12"/>
        <v>2.2292537644047414E-3</v>
      </c>
      <c r="G60" s="3"/>
      <c r="H60" s="6"/>
      <c r="I60" s="3"/>
      <c r="J60" s="7">
        <f t="shared" si="13"/>
        <v>0</v>
      </c>
      <c r="K60" s="3"/>
      <c r="L60" s="6">
        <f t="shared" si="14"/>
        <v>649.72</v>
      </c>
      <c r="M60" s="3"/>
      <c r="N60" s="7">
        <f t="shared" si="15"/>
        <v>0</v>
      </c>
      <c r="O60" s="9"/>
      <c r="P60" s="6">
        <v>8185.98</v>
      </c>
      <c r="Q60" s="3"/>
      <c r="R60" s="7">
        <f t="shared" si="16"/>
        <v>1.0480383560442471E-3</v>
      </c>
      <c r="S60" s="3"/>
      <c r="T60" s="6"/>
      <c r="U60" s="3"/>
      <c r="V60" s="7">
        <f t="shared" si="17"/>
        <v>0</v>
      </c>
      <c r="W60" s="3"/>
      <c r="X60" s="6">
        <f t="shared" si="18"/>
        <v>8185.98</v>
      </c>
      <c r="Y60" s="3"/>
      <c r="Z60" s="7">
        <f t="shared" si="19"/>
        <v>0</v>
      </c>
    </row>
    <row r="61" spans="1:26" s="70" customFormat="1" ht="15" hidden="1" customHeight="1" outlineLevel="2" x14ac:dyDescent="0.3">
      <c r="A61" s="21"/>
      <c r="B61" s="9" t="str">
        <f>CONCATENATE("          ","6118"," - ","VACATION")</f>
        <v xml:space="preserve">          6118 - VACATION</v>
      </c>
      <c r="C61" s="9"/>
      <c r="D61" s="6">
        <v>5383.71</v>
      </c>
      <c r="E61" s="3"/>
      <c r="F61" s="7">
        <f t="shared" si="12"/>
        <v>1.8472043009240057E-2</v>
      </c>
      <c r="G61" s="3"/>
      <c r="H61" s="6">
        <v>3793.1837726692302</v>
      </c>
      <c r="I61" s="3"/>
      <c r="J61" s="7">
        <f t="shared" si="13"/>
        <v>1.3333979339728377E-2</v>
      </c>
      <c r="K61" s="3"/>
      <c r="L61" s="6">
        <f t="shared" si="14"/>
        <v>1590.5262273307699</v>
      </c>
      <c r="M61" s="3"/>
      <c r="N61" s="7">
        <f t="shared" si="15"/>
        <v>0.41931167131708214</v>
      </c>
      <c r="O61" s="9"/>
      <c r="P61" s="6">
        <v>74538.92</v>
      </c>
      <c r="Q61" s="3"/>
      <c r="R61" s="7">
        <f t="shared" si="16"/>
        <v>9.5431026191260728E-3</v>
      </c>
      <c r="S61" s="3"/>
      <c r="T61" s="6">
        <v>51424.869813930804</v>
      </c>
      <c r="U61" s="3"/>
      <c r="V61" s="7">
        <f t="shared" si="17"/>
        <v>5.7947321851036307E-3</v>
      </c>
      <c r="W61" s="3"/>
      <c r="X61" s="6">
        <f t="shared" si="18"/>
        <v>23114.050186069195</v>
      </c>
      <c r="Y61" s="3"/>
      <c r="Z61" s="7">
        <f t="shared" si="19"/>
        <v>0.44947221586952246</v>
      </c>
    </row>
    <row r="62" spans="1:26" s="70" customFormat="1" ht="15" hidden="1" customHeight="1" outlineLevel="2" x14ac:dyDescent="0.3">
      <c r="A62" s="21"/>
      <c r="B62" s="9" t="str">
        <f>CONCATENATE("          ","6119"," - ","SICK LEAVE")</f>
        <v xml:space="preserve">          6119 - SICK LEAVE</v>
      </c>
      <c r="C62" s="9"/>
      <c r="D62" s="6">
        <v>3719.16</v>
      </c>
      <c r="E62" s="3"/>
      <c r="F62" s="7">
        <f t="shared" si="12"/>
        <v>1.2760806855912606E-2</v>
      </c>
      <c r="G62" s="3"/>
      <c r="H62" s="6">
        <v>5445.9474994923003</v>
      </c>
      <c r="I62" s="3"/>
      <c r="J62" s="7">
        <f t="shared" si="13"/>
        <v>1.9143852709349856E-2</v>
      </c>
      <c r="K62" s="3"/>
      <c r="L62" s="6">
        <f t="shared" si="14"/>
        <v>-1726.7874994923004</v>
      </c>
      <c r="M62" s="3"/>
      <c r="N62" s="7">
        <f t="shared" si="15"/>
        <v>-0.31707751491421476</v>
      </c>
      <c r="O62" s="9"/>
      <c r="P62" s="6">
        <v>31857.57</v>
      </c>
      <c r="Q62" s="3"/>
      <c r="R62" s="7">
        <f t="shared" si="16"/>
        <v>4.0786754048219671E-3</v>
      </c>
      <c r="S62" s="3"/>
      <c r="T62" s="6">
        <v>78382.045003015402</v>
      </c>
      <c r="U62" s="3"/>
      <c r="V62" s="7">
        <f t="shared" si="17"/>
        <v>8.8323599176166057E-3</v>
      </c>
      <c r="W62" s="3"/>
      <c r="X62" s="6">
        <f t="shared" si="18"/>
        <v>-46524.475003015403</v>
      </c>
      <c r="Y62" s="3"/>
      <c r="Z62" s="7">
        <f t="shared" si="19"/>
        <v>-0.59356036195822115</v>
      </c>
    </row>
    <row r="63" spans="1:26" s="70" customFormat="1" ht="15" hidden="1" customHeight="1" outlineLevel="2" x14ac:dyDescent="0.3">
      <c r="A63" s="21"/>
      <c r="B63" s="9" t="str">
        <f>CONCATENATE("          ","6156"," - ","EMPLOYEE MEALS")</f>
        <v xml:space="preserve">          6156 - EMPLOYEE MEALS</v>
      </c>
      <c r="C63" s="9"/>
      <c r="D63" s="6">
        <v>3367.65</v>
      </c>
      <c r="E63" s="3"/>
      <c r="F63" s="7">
        <f t="shared" si="12"/>
        <v>1.1554741180350964E-2</v>
      </c>
      <c r="G63" s="3"/>
      <c r="H63" s="6">
        <v>2275</v>
      </c>
      <c r="I63" s="3"/>
      <c r="J63" s="7">
        <f t="shared" si="13"/>
        <v>7.9971878020915713E-3</v>
      </c>
      <c r="K63" s="3"/>
      <c r="L63" s="6">
        <f t="shared" si="14"/>
        <v>1092.6500000000001</v>
      </c>
      <c r="M63" s="3"/>
      <c r="N63" s="7">
        <f t="shared" si="15"/>
        <v>0.48028571428571432</v>
      </c>
      <c r="O63" s="9"/>
      <c r="P63" s="6">
        <v>35160.25</v>
      </c>
      <c r="Q63" s="3"/>
      <c r="R63" s="7">
        <f t="shared" si="16"/>
        <v>4.5015124161193578E-3</v>
      </c>
      <c r="S63" s="3"/>
      <c r="T63" s="6">
        <v>28175</v>
      </c>
      <c r="U63" s="3"/>
      <c r="V63" s="7">
        <f t="shared" si="17"/>
        <v>3.1748564440909188E-3</v>
      </c>
      <c r="W63" s="3"/>
      <c r="X63" s="6">
        <f t="shared" si="18"/>
        <v>6985.25</v>
      </c>
      <c r="Y63" s="3"/>
      <c r="Z63" s="7">
        <f t="shared" si="19"/>
        <v>0.24792369121561669</v>
      </c>
    </row>
    <row r="64" spans="1:26" s="69" customFormat="1" ht="15" customHeight="1" outlineLevel="1" collapsed="1" x14ac:dyDescent="0.3">
      <c r="A64" s="20"/>
      <c r="B64" s="11" t="str">
        <f>CONCATENATE("     ","*Payroll                                          ")</f>
        <v xml:space="preserve">     *Payroll                                          </v>
      </c>
      <c r="C64" s="11"/>
      <c r="D64" s="2">
        <f>SUM(OSRRefD22_1x_0)</f>
        <v>135390.00999999998</v>
      </c>
      <c r="E64" s="2"/>
      <c r="F64" s="5">
        <f t="shared" si="12"/>
        <v>0.46453655336959848</v>
      </c>
      <c r="G64" s="2"/>
      <c r="H64" s="2">
        <f>SUM(OSRRefH22_1x_0)</f>
        <v>138220.27723371529</v>
      </c>
      <c r="I64" s="2"/>
      <c r="J64" s="5">
        <f t="shared" si="13"/>
        <v>0.48587846817370695</v>
      </c>
      <c r="K64" s="2"/>
      <c r="L64" s="2">
        <f t="shared" si="14"/>
        <v>-2830.2672337153053</v>
      </c>
      <c r="M64" s="2"/>
      <c r="N64" s="5">
        <f t="shared" si="15"/>
        <v>-2.0476498024451468E-2</v>
      </c>
      <c r="O64" s="11"/>
      <c r="P64" s="2">
        <f>SUM(OSRRefP22_1x_0)</f>
        <v>1983566.6600000001</v>
      </c>
      <c r="Q64" s="2"/>
      <c r="R64" s="5">
        <f t="shared" si="16"/>
        <v>0.25395297098827241</v>
      </c>
      <c r="S64" s="2"/>
      <c r="T64" s="2">
        <f>SUM(OSRRefT22_1x_0)</f>
        <v>2037672.6879517608</v>
      </c>
      <c r="U64" s="2"/>
      <c r="V64" s="5">
        <f t="shared" si="17"/>
        <v>0.22961200583111666</v>
      </c>
      <c r="W64" s="2"/>
      <c r="X64" s="2">
        <f t="shared" si="18"/>
        <v>-54106.027951760683</v>
      </c>
      <c r="Y64" s="2"/>
      <c r="Z64" s="5">
        <f t="shared" si="19"/>
        <v>-2.6552855260648992E-2</v>
      </c>
    </row>
    <row r="65" spans="1:26" s="70" customFormat="1" ht="15" hidden="1" customHeight="1" outlineLevel="2" x14ac:dyDescent="0.3">
      <c r="A65" s="21"/>
      <c r="B65" s="9" t="str">
        <f>CONCATENATE("          ","6001"," - ","ADMINISTRATIVE SALARIES")</f>
        <v xml:space="preserve">          6001 - ADMINISTRATIVE SALARIES</v>
      </c>
      <c r="C65" s="9"/>
      <c r="D65" s="6">
        <v>5124.17</v>
      </c>
      <c r="E65" s="3"/>
      <c r="F65" s="7">
        <f t="shared" si="12"/>
        <v>1.7581535525995572E-2</v>
      </c>
      <c r="G65" s="3"/>
      <c r="H65" s="6">
        <v>4139.8076923076896</v>
      </c>
      <c r="I65" s="3"/>
      <c r="J65" s="7">
        <f t="shared" si="13"/>
        <v>1.4552448167001282E-2</v>
      </c>
      <c r="K65" s="3"/>
      <c r="L65" s="6">
        <f t="shared" si="14"/>
        <v>984.36230769231042</v>
      </c>
      <c r="M65" s="3"/>
      <c r="N65" s="7">
        <f t="shared" si="15"/>
        <v>0.23777971849305604</v>
      </c>
      <c r="O65" s="9"/>
      <c r="P65" s="6">
        <v>56517.3</v>
      </c>
      <c r="Q65" s="3"/>
      <c r="R65" s="7">
        <f t="shared" si="16"/>
        <v>7.2358224891899969E-3</v>
      </c>
      <c r="S65" s="3"/>
      <c r="T65" s="6">
        <v>53817.5</v>
      </c>
      <c r="U65" s="3"/>
      <c r="V65" s="7">
        <f t="shared" si="17"/>
        <v>6.0643420294538789E-3</v>
      </c>
      <c r="W65" s="3"/>
      <c r="X65" s="6">
        <f t="shared" si="18"/>
        <v>2699.8000000000029</v>
      </c>
      <c r="Y65" s="3"/>
      <c r="Z65" s="7">
        <f t="shared" si="19"/>
        <v>5.0165838249640042E-2</v>
      </c>
    </row>
    <row r="66" spans="1:26" s="70" customFormat="1" ht="15" hidden="1" customHeight="1" outlineLevel="2" x14ac:dyDescent="0.3">
      <c r="A66" s="21"/>
      <c r="B66" s="9" t="str">
        <f>CONCATENATE("          ","6002"," - ","STAFF SALARIES")</f>
        <v xml:space="preserve">          6002 - STAFF SALARIES</v>
      </c>
      <c r="C66" s="9"/>
      <c r="D66" s="6">
        <v>36414.129999999997</v>
      </c>
      <c r="E66" s="3"/>
      <c r="F66" s="7">
        <f t="shared" si="12"/>
        <v>0.12494049187345875</v>
      </c>
      <c r="G66" s="3"/>
      <c r="H66" s="6">
        <v>40067.404623407601</v>
      </c>
      <c r="I66" s="3"/>
      <c r="J66" s="7">
        <f t="shared" si="13"/>
        <v>0.14084683934759681</v>
      </c>
      <c r="K66" s="3"/>
      <c r="L66" s="6">
        <f t="shared" si="14"/>
        <v>-3653.2746234076039</v>
      </c>
      <c r="M66" s="3"/>
      <c r="N66" s="7">
        <f t="shared" si="15"/>
        <v>-9.1178219746066116E-2</v>
      </c>
      <c r="O66" s="9"/>
      <c r="P66" s="6">
        <v>652514.55000000005</v>
      </c>
      <c r="Q66" s="3"/>
      <c r="R66" s="7">
        <f t="shared" si="16"/>
        <v>8.3540428424813129E-2</v>
      </c>
      <c r="S66" s="3"/>
      <c r="T66" s="6">
        <v>538840.84664276103</v>
      </c>
      <c r="U66" s="3"/>
      <c r="V66" s="7">
        <f t="shared" si="17"/>
        <v>6.0718450197095881E-2</v>
      </c>
      <c r="W66" s="3"/>
      <c r="X66" s="6">
        <f t="shared" si="18"/>
        <v>113673.70335723902</v>
      </c>
      <c r="Y66" s="3"/>
      <c r="Z66" s="7">
        <f t="shared" si="19"/>
        <v>0.21095970000322201</v>
      </c>
    </row>
    <row r="67" spans="1:26" s="70" customFormat="1" ht="15" hidden="1" customHeight="1" outlineLevel="2" x14ac:dyDescent="0.3">
      <c r="A67" s="21"/>
      <c r="B67" s="9" t="str">
        <f>CONCATENATE("          ","6003"," - ","STAFF HOURLY-9 MONTH")</f>
        <v xml:space="preserve">          6003 - STAFF HOURLY-9 MONTH</v>
      </c>
      <c r="C67" s="9"/>
      <c r="D67" s="6"/>
      <c r="E67" s="3"/>
      <c r="F67" s="7">
        <f t="shared" si="12"/>
        <v>0</v>
      </c>
      <c r="G67" s="3"/>
      <c r="H67" s="6">
        <v>0</v>
      </c>
      <c r="I67" s="3"/>
      <c r="J67" s="7">
        <f t="shared" si="13"/>
        <v>0</v>
      </c>
      <c r="K67" s="3"/>
      <c r="L67" s="6">
        <f t="shared" si="14"/>
        <v>0</v>
      </c>
      <c r="M67" s="3"/>
      <c r="N67" s="7">
        <f t="shared" si="15"/>
        <v>0</v>
      </c>
      <c r="O67" s="9"/>
      <c r="P67" s="6"/>
      <c r="Q67" s="3"/>
      <c r="R67" s="7">
        <f t="shared" si="16"/>
        <v>0</v>
      </c>
      <c r="S67" s="3"/>
      <c r="T67" s="6">
        <v>0</v>
      </c>
      <c r="U67" s="3"/>
      <c r="V67" s="7">
        <f t="shared" si="17"/>
        <v>0</v>
      </c>
      <c r="W67" s="3"/>
      <c r="X67" s="6">
        <f t="shared" si="18"/>
        <v>0</v>
      </c>
      <c r="Y67" s="3"/>
      <c r="Z67" s="7">
        <f t="shared" si="19"/>
        <v>0</v>
      </c>
    </row>
    <row r="68" spans="1:26" s="70" customFormat="1" ht="15" hidden="1" customHeight="1" outlineLevel="2" x14ac:dyDescent="0.3">
      <c r="A68" s="21"/>
      <c r="B68" s="9" t="str">
        <f>CONCATENATE("          ","6004"," - ","STAFF HOURLY")</f>
        <v xml:space="preserve">          6004 - STAFF HOURLY</v>
      </c>
      <c r="C68" s="9"/>
      <c r="D68" s="6">
        <v>25632.35</v>
      </c>
      <c r="E68" s="3"/>
      <c r="F68" s="7">
        <f t="shared" si="12"/>
        <v>8.7947135270639465E-2</v>
      </c>
      <c r="G68" s="3"/>
      <c r="H68" s="6">
        <v>34643.393568</v>
      </c>
      <c r="I68" s="3"/>
      <c r="J68" s="7">
        <f t="shared" si="13"/>
        <v>0.12178009866596362</v>
      </c>
      <c r="K68" s="3"/>
      <c r="L68" s="6">
        <f t="shared" si="14"/>
        <v>-9011.043568000001</v>
      </c>
      <c r="M68" s="3"/>
      <c r="N68" s="7">
        <f t="shared" si="15"/>
        <v>-0.26010857020437728</v>
      </c>
      <c r="O68" s="9"/>
      <c r="P68" s="6">
        <v>298396.14</v>
      </c>
      <c r="Q68" s="3"/>
      <c r="R68" s="7">
        <f t="shared" si="16"/>
        <v>3.820319619832311E-2</v>
      </c>
      <c r="S68" s="3"/>
      <c r="T68" s="6">
        <v>453391.25418400002</v>
      </c>
      <c r="U68" s="3"/>
      <c r="V68" s="7">
        <f t="shared" si="17"/>
        <v>5.1089694588838906E-2</v>
      </c>
      <c r="W68" s="3"/>
      <c r="X68" s="6">
        <f t="shared" si="18"/>
        <v>-154995.11418400001</v>
      </c>
      <c r="Y68" s="3"/>
      <c r="Z68" s="7">
        <f t="shared" si="19"/>
        <v>-0.34185730923053548</v>
      </c>
    </row>
    <row r="69" spans="1:26" s="70" customFormat="1" ht="15" hidden="1" customHeight="1" outlineLevel="2" x14ac:dyDescent="0.3">
      <c r="A69" s="21"/>
      <c r="B69" s="9" t="str">
        <f>CONCATENATE("          ","6005"," - ","TEMPORARY WAGES-HOURLY")</f>
        <v xml:space="preserve">          6005 - TEMPORARY WAGES-HOURLY</v>
      </c>
      <c r="C69" s="9"/>
      <c r="D69" s="6">
        <v>2194.77</v>
      </c>
      <c r="E69" s="3"/>
      <c r="F69" s="7">
        <f t="shared" si="12"/>
        <v>7.5304735647703539E-3</v>
      </c>
      <c r="G69" s="3"/>
      <c r="H69" s="6">
        <v>2396.66</v>
      </c>
      <c r="I69" s="3"/>
      <c r="J69" s="7">
        <f t="shared" si="13"/>
        <v>8.4248527990157304E-3</v>
      </c>
      <c r="K69" s="3"/>
      <c r="L69" s="6">
        <f t="shared" si="14"/>
        <v>-201.88999999999987</v>
      </c>
      <c r="M69" s="3"/>
      <c r="N69" s="7">
        <f t="shared" si="15"/>
        <v>-8.4238064639957227E-2</v>
      </c>
      <c r="O69" s="9"/>
      <c r="P69" s="6">
        <v>83079.39</v>
      </c>
      <c r="Q69" s="3"/>
      <c r="R69" s="7">
        <f t="shared" si="16"/>
        <v>1.0636525781489678E-2</v>
      </c>
      <c r="S69" s="3"/>
      <c r="T69" s="6">
        <v>36028.160000000003</v>
      </c>
      <c r="U69" s="3"/>
      <c r="V69" s="7">
        <f t="shared" si="17"/>
        <v>4.0597776732826506E-3</v>
      </c>
      <c r="W69" s="3"/>
      <c r="X69" s="6">
        <f t="shared" si="18"/>
        <v>47051.229999999996</v>
      </c>
      <c r="Y69" s="3"/>
      <c r="Z69" s="7">
        <f t="shared" si="19"/>
        <v>1.3059570624755745</v>
      </c>
    </row>
    <row r="70" spans="1:26" s="70" customFormat="1" ht="15" hidden="1" customHeight="1" outlineLevel="2" x14ac:dyDescent="0.3">
      <c r="A70" s="21"/>
      <c r="B70" s="9" t="str">
        <f>CONCATENATE("          ","6006"," - ","TEMPORARY PART TIME")</f>
        <v xml:space="preserve">          6006 - TEMPORARY PART TIME</v>
      </c>
      <c r="C70" s="9"/>
      <c r="D70" s="6">
        <v>2996.89</v>
      </c>
      <c r="E70" s="3"/>
      <c r="F70" s="7">
        <f t="shared" si="12"/>
        <v>1.028262684542099E-2</v>
      </c>
      <c r="G70" s="3"/>
      <c r="H70" s="6">
        <v>0</v>
      </c>
      <c r="I70" s="3"/>
      <c r="J70" s="7">
        <f t="shared" si="13"/>
        <v>0</v>
      </c>
      <c r="K70" s="3"/>
      <c r="L70" s="6">
        <f t="shared" si="14"/>
        <v>2996.89</v>
      </c>
      <c r="M70" s="3"/>
      <c r="N70" s="7">
        <f t="shared" si="15"/>
        <v>0</v>
      </c>
      <c r="O70" s="9"/>
      <c r="P70" s="6">
        <v>22351.83</v>
      </c>
      <c r="Q70" s="3"/>
      <c r="R70" s="7">
        <f t="shared" si="16"/>
        <v>2.8616702175891569E-3</v>
      </c>
      <c r="S70" s="3"/>
      <c r="T70" s="6">
        <v>0</v>
      </c>
      <c r="U70" s="3"/>
      <c r="V70" s="7">
        <f t="shared" si="17"/>
        <v>0</v>
      </c>
      <c r="W70" s="3"/>
      <c r="X70" s="6">
        <f t="shared" si="18"/>
        <v>22351.83</v>
      </c>
      <c r="Y70" s="3"/>
      <c r="Z70" s="7">
        <f t="shared" si="19"/>
        <v>0</v>
      </c>
    </row>
    <row r="71" spans="1:26" s="70" customFormat="1" ht="15" hidden="1" customHeight="1" outlineLevel="2" x14ac:dyDescent="0.3">
      <c r="A71" s="21"/>
      <c r="B71" s="9" t="str">
        <f>CONCATENATE("          ","6007"," - ","STUDENT HOURLY")</f>
        <v xml:space="preserve">          6007 - STUDENT HOURLY</v>
      </c>
      <c r="C71" s="9"/>
      <c r="D71" s="6">
        <v>55713.4</v>
      </c>
      <c r="E71" s="3"/>
      <c r="F71" s="7">
        <f t="shared" si="12"/>
        <v>0.19115820149877966</v>
      </c>
      <c r="G71" s="3"/>
      <c r="H71" s="6">
        <v>27441.011350000001</v>
      </c>
      <c r="I71" s="3"/>
      <c r="J71" s="7">
        <f t="shared" si="13"/>
        <v>9.6461943404517095E-2</v>
      </c>
      <c r="K71" s="3"/>
      <c r="L71" s="6">
        <f t="shared" si="14"/>
        <v>28272.388650000001</v>
      </c>
      <c r="M71" s="3"/>
      <c r="N71" s="7">
        <f t="shared" si="15"/>
        <v>1.0302968899140081</v>
      </c>
      <c r="O71" s="9"/>
      <c r="P71" s="6">
        <v>746341.25</v>
      </c>
      <c r="Q71" s="3"/>
      <c r="R71" s="7">
        <f t="shared" si="16"/>
        <v>9.5552915679980713E-2</v>
      </c>
      <c r="S71" s="3"/>
      <c r="T71" s="6">
        <v>423139.97334999999</v>
      </c>
      <c r="U71" s="3"/>
      <c r="V71" s="7">
        <f t="shared" si="17"/>
        <v>4.7680875639492713E-2</v>
      </c>
      <c r="W71" s="3"/>
      <c r="X71" s="6">
        <f t="shared" si="18"/>
        <v>323201.27665000001</v>
      </c>
      <c r="Y71" s="3"/>
      <c r="Z71" s="7">
        <f t="shared" si="19"/>
        <v>0.76381646028668693</v>
      </c>
    </row>
    <row r="72" spans="1:26" s="70" customFormat="1" ht="15" hidden="1" customHeight="1" outlineLevel="2" x14ac:dyDescent="0.3">
      <c r="A72" s="21"/>
      <c r="B72" s="9" t="str">
        <f>CONCATENATE("          ","6008"," - ","STUDENT HOURLY-FICA EXEMPT")</f>
        <v xml:space="preserve">          6008 - STUDENT HOURLY-FICA EXEMPT</v>
      </c>
      <c r="C72" s="9"/>
      <c r="D72" s="6">
        <v>7314.3</v>
      </c>
      <c r="E72" s="3"/>
      <c r="F72" s="7">
        <f t="shared" si="12"/>
        <v>2.5096088790533769E-2</v>
      </c>
      <c r="G72" s="3"/>
      <c r="H72" s="6">
        <v>29532</v>
      </c>
      <c r="I72" s="3"/>
      <c r="J72" s="7">
        <f t="shared" si="13"/>
        <v>0.10381228578961245</v>
      </c>
      <c r="K72" s="3"/>
      <c r="L72" s="6">
        <f t="shared" si="14"/>
        <v>-22217.7</v>
      </c>
      <c r="M72" s="3"/>
      <c r="N72" s="7">
        <f t="shared" si="15"/>
        <v>-0.75232629012596508</v>
      </c>
      <c r="O72" s="9"/>
      <c r="P72" s="6">
        <v>124366.2</v>
      </c>
      <c r="Q72" s="3"/>
      <c r="R72" s="7">
        <f t="shared" si="16"/>
        <v>1.5922412196886632E-2</v>
      </c>
      <c r="S72" s="3"/>
      <c r="T72" s="6">
        <v>532454.95377499994</v>
      </c>
      <c r="U72" s="3"/>
      <c r="V72" s="7">
        <f t="shared" si="17"/>
        <v>5.9998865702952653E-2</v>
      </c>
      <c r="W72" s="3"/>
      <c r="X72" s="6">
        <f t="shared" si="18"/>
        <v>-408088.75377499993</v>
      </c>
      <c r="Y72" s="3"/>
      <c r="Z72" s="7">
        <f t="shared" si="19"/>
        <v>-0.76642869200808761</v>
      </c>
    </row>
    <row r="73" spans="1:26" s="70" customFormat="1" ht="15" hidden="1" customHeight="1" outlineLevel="2" x14ac:dyDescent="0.3">
      <c r="A73" s="21"/>
      <c r="B73" s="9" t="str">
        <f>CONCATENATE("          ","6009"," - ","TEMPORARY-SEASONAL")</f>
        <v xml:space="preserve">          6009 - TEMPORARY-SEASONAL</v>
      </c>
      <c r="C73" s="9"/>
      <c r="D73" s="6"/>
      <c r="E73" s="3"/>
      <c r="F73" s="7">
        <f t="shared" si="12"/>
        <v>0</v>
      </c>
      <c r="G73" s="3"/>
      <c r="H73" s="6">
        <v>0</v>
      </c>
      <c r="I73" s="3"/>
      <c r="J73" s="7">
        <f t="shared" si="13"/>
        <v>0</v>
      </c>
      <c r="K73" s="3"/>
      <c r="L73" s="6">
        <f t="shared" si="14"/>
        <v>0</v>
      </c>
      <c r="M73" s="3"/>
      <c r="N73" s="7">
        <f t="shared" si="15"/>
        <v>0</v>
      </c>
      <c r="O73" s="9"/>
      <c r="P73" s="6"/>
      <c r="Q73" s="3"/>
      <c r="R73" s="7">
        <f t="shared" si="16"/>
        <v>0</v>
      </c>
      <c r="S73" s="3"/>
      <c r="T73" s="6">
        <v>0</v>
      </c>
      <c r="U73" s="3"/>
      <c r="V73" s="7">
        <f t="shared" si="17"/>
        <v>0</v>
      </c>
      <c r="W73" s="3"/>
      <c r="X73" s="6">
        <f t="shared" si="18"/>
        <v>0</v>
      </c>
      <c r="Y73" s="3"/>
      <c r="Z73" s="7">
        <f t="shared" si="19"/>
        <v>0</v>
      </c>
    </row>
    <row r="74" spans="1:26" s="70" customFormat="1" ht="15" hidden="1" customHeight="1" outlineLevel="2" x14ac:dyDescent="0.3">
      <c r="A74" s="21"/>
      <c r="B74" s="9" t="str">
        <f>CONCATENATE("          ","6010"," - ","GRATUITY")</f>
        <v xml:space="preserve">          6010 - GRATUITY</v>
      </c>
      <c r="C74" s="9"/>
      <c r="D74" s="6"/>
      <c r="E74" s="3"/>
      <c r="F74" s="7">
        <f t="shared" si="12"/>
        <v>0</v>
      </c>
      <c r="G74" s="3"/>
      <c r="H74" s="6">
        <v>0</v>
      </c>
      <c r="I74" s="3"/>
      <c r="J74" s="7">
        <f t="shared" si="13"/>
        <v>0</v>
      </c>
      <c r="K74" s="3"/>
      <c r="L74" s="6">
        <f t="shared" si="14"/>
        <v>0</v>
      </c>
      <c r="M74" s="3"/>
      <c r="N74" s="7">
        <f t="shared" si="15"/>
        <v>0</v>
      </c>
      <c r="O74" s="9"/>
      <c r="P74" s="6"/>
      <c r="Q74" s="3"/>
      <c r="R74" s="7">
        <f t="shared" si="16"/>
        <v>0</v>
      </c>
      <c r="S74" s="3"/>
      <c r="T74" s="6">
        <v>0</v>
      </c>
      <c r="U74" s="3"/>
      <c r="V74" s="7">
        <f t="shared" si="17"/>
        <v>0</v>
      </c>
      <c r="W74" s="3"/>
      <c r="X74" s="6">
        <f t="shared" si="18"/>
        <v>0</v>
      </c>
      <c r="Y74" s="3"/>
      <c r="Z74" s="7">
        <f t="shared" si="19"/>
        <v>0</v>
      </c>
    </row>
    <row r="75" spans="1:26" s="69" customFormat="1" ht="15" customHeight="1" outlineLevel="1" collapsed="1" x14ac:dyDescent="0.3">
      <c r="A75" s="20"/>
      <c r="B75" s="11" t="str">
        <f>CONCATENATE("     ","Advertising/Promo                                 ")</f>
        <v xml:space="preserve">     Advertising/Promo                                 </v>
      </c>
      <c r="C75" s="11"/>
      <c r="D75" s="2">
        <f>SUM(OSRRefD22_2x_0)</f>
        <v>6464.7</v>
      </c>
      <c r="E75" s="2"/>
      <c r="F75" s="5">
        <f t="shared" si="12"/>
        <v>2.2181026920438544E-2</v>
      </c>
      <c r="G75" s="2"/>
      <c r="H75" s="2">
        <f>SUM(OSRRefH22_2x_0)</f>
        <v>300</v>
      </c>
      <c r="I75" s="2"/>
      <c r="J75" s="5">
        <f t="shared" si="13"/>
        <v>1.0545742156604272E-3</v>
      </c>
      <c r="K75" s="2"/>
      <c r="L75" s="2">
        <f t="shared" si="14"/>
        <v>6164.7</v>
      </c>
      <c r="M75" s="2"/>
      <c r="N75" s="5">
        <f t="shared" si="15"/>
        <v>20.548999999999999</v>
      </c>
      <c r="O75" s="11"/>
      <c r="P75" s="2">
        <f>SUM(OSRRefP22_2x_0)</f>
        <v>19949.86</v>
      </c>
      <c r="Q75" s="2"/>
      <c r="R75" s="5">
        <f t="shared" si="16"/>
        <v>2.5541497142324908E-3</v>
      </c>
      <c r="S75" s="2"/>
      <c r="T75" s="2">
        <f>SUM(OSRRefT22_2x_0)</f>
        <v>7100</v>
      </c>
      <c r="U75" s="2"/>
      <c r="V75" s="5">
        <f t="shared" si="17"/>
        <v>8.0005255556505857E-4</v>
      </c>
      <c r="W75" s="2"/>
      <c r="X75" s="2">
        <f t="shared" si="18"/>
        <v>12849.86</v>
      </c>
      <c r="Y75" s="2"/>
      <c r="Z75" s="5">
        <f t="shared" si="19"/>
        <v>1.8098394366197184</v>
      </c>
    </row>
    <row r="76" spans="1:26" s="70" customFormat="1" ht="15" hidden="1" customHeight="1" outlineLevel="2" x14ac:dyDescent="0.3">
      <c r="A76" s="21"/>
      <c r="B76" s="9" t="str">
        <f>CONCATENATE("          ","6362"," - ","ADVERTISING EXPENSE")</f>
        <v xml:space="preserve">          6362 - ADVERTISING EXPENSE</v>
      </c>
      <c r="C76" s="9"/>
      <c r="D76" s="6">
        <v>6464.7</v>
      </c>
      <c r="E76" s="3"/>
      <c r="F76" s="7">
        <f t="shared" si="12"/>
        <v>2.2181026920438544E-2</v>
      </c>
      <c r="G76" s="3"/>
      <c r="H76" s="6">
        <v>300</v>
      </c>
      <c r="I76" s="3"/>
      <c r="J76" s="7">
        <f t="shared" si="13"/>
        <v>1.0545742156604272E-3</v>
      </c>
      <c r="K76" s="3"/>
      <c r="L76" s="6">
        <f t="shared" si="14"/>
        <v>6164.7</v>
      </c>
      <c r="M76" s="3"/>
      <c r="N76" s="7">
        <f t="shared" si="15"/>
        <v>20.548999999999999</v>
      </c>
      <c r="O76" s="9"/>
      <c r="P76" s="6">
        <v>19949.86</v>
      </c>
      <c r="Q76" s="3"/>
      <c r="R76" s="7">
        <f t="shared" si="16"/>
        <v>2.5541497142324908E-3</v>
      </c>
      <c r="S76" s="3"/>
      <c r="T76" s="6">
        <v>7100</v>
      </c>
      <c r="U76" s="3"/>
      <c r="V76" s="7">
        <f t="shared" si="17"/>
        <v>8.0005255556505857E-4</v>
      </c>
      <c r="W76" s="3"/>
      <c r="X76" s="6">
        <f t="shared" si="18"/>
        <v>12849.86</v>
      </c>
      <c r="Y76" s="3"/>
      <c r="Z76" s="7">
        <f t="shared" si="19"/>
        <v>1.8098394366197184</v>
      </c>
    </row>
    <row r="77" spans="1:26" s="69" customFormat="1" ht="15" customHeight="1" outlineLevel="1" collapsed="1" x14ac:dyDescent="0.3">
      <c r="A77" s="20"/>
      <c r="B77" s="11" t="str">
        <f>CONCATENATE("     ","Bad Debts/Over/Short                              ")</f>
        <v xml:space="preserve">     Bad Debts/Over/Short                              </v>
      </c>
      <c r="C77" s="11"/>
      <c r="D77" s="2">
        <f>SUM(OSRRefD22_3x_0)</f>
        <v>59.88</v>
      </c>
      <c r="E77" s="2"/>
      <c r="F77" s="5">
        <f t="shared" si="12"/>
        <v>2.0545421937535541E-4</v>
      </c>
      <c r="G77" s="2"/>
      <c r="H77" s="2">
        <f>SUM(OSRRefH22_3x_0)</f>
        <v>235</v>
      </c>
      <c r="I77" s="2"/>
      <c r="J77" s="5">
        <f t="shared" si="13"/>
        <v>8.2608313560066787E-4</v>
      </c>
      <c r="K77" s="2"/>
      <c r="L77" s="2">
        <f t="shared" si="14"/>
        <v>-175.12</v>
      </c>
      <c r="M77" s="2"/>
      <c r="N77" s="5">
        <f t="shared" si="15"/>
        <v>-0.7451914893617021</v>
      </c>
      <c r="O77" s="11"/>
      <c r="P77" s="2">
        <f>SUM(OSRRefP22_3x_0)</f>
        <v>90.12</v>
      </c>
      <c r="Q77" s="2"/>
      <c r="R77" s="5">
        <f t="shared" si="16"/>
        <v>1.1537924188271601E-5</v>
      </c>
      <c r="S77" s="2"/>
      <c r="T77" s="2">
        <f>SUM(OSRRefT22_3x_0)</f>
        <v>2820</v>
      </c>
      <c r="U77" s="2"/>
      <c r="V77" s="5">
        <f t="shared" si="17"/>
        <v>3.1776735305541763E-4</v>
      </c>
      <c r="W77" s="2"/>
      <c r="X77" s="2">
        <f t="shared" si="18"/>
        <v>-2729.88</v>
      </c>
      <c r="Y77" s="2"/>
      <c r="Z77" s="5">
        <f t="shared" si="19"/>
        <v>-0.96804255319148935</v>
      </c>
    </row>
    <row r="78" spans="1:26" s="70" customFormat="1" ht="15" hidden="1" customHeight="1" outlineLevel="2" x14ac:dyDescent="0.3">
      <c r="A78" s="21"/>
      <c r="B78" s="9" t="str">
        <f>CONCATENATE("          ","6272"," - ","CASH (OVER/SHORT)")</f>
        <v xml:space="preserve">          6272 - CASH (OVER/SHORT)</v>
      </c>
      <c r="C78" s="9"/>
      <c r="D78" s="6">
        <v>59.88</v>
      </c>
      <c r="E78" s="3"/>
      <c r="F78" s="7">
        <f t="shared" si="12"/>
        <v>2.0545421937535541E-4</v>
      </c>
      <c r="G78" s="3"/>
      <c r="H78" s="6">
        <v>235</v>
      </c>
      <c r="I78" s="3"/>
      <c r="J78" s="7">
        <f t="shared" si="13"/>
        <v>8.2608313560066787E-4</v>
      </c>
      <c r="K78" s="3"/>
      <c r="L78" s="6">
        <f t="shared" si="14"/>
        <v>-175.12</v>
      </c>
      <c r="M78" s="3"/>
      <c r="N78" s="7">
        <f t="shared" si="15"/>
        <v>-0.7451914893617021</v>
      </c>
      <c r="O78" s="9"/>
      <c r="P78" s="6">
        <v>90.12</v>
      </c>
      <c r="Q78" s="3"/>
      <c r="R78" s="7">
        <f t="shared" si="16"/>
        <v>1.1537924188271601E-5</v>
      </c>
      <c r="S78" s="3"/>
      <c r="T78" s="6">
        <v>2820</v>
      </c>
      <c r="U78" s="3"/>
      <c r="V78" s="7">
        <f t="shared" si="17"/>
        <v>3.1776735305541763E-4</v>
      </c>
      <c r="W78" s="3"/>
      <c r="X78" s="6">
        <f t="shared" si="18"/>
        <v>-2729.88</v>
      </c>
      <c r="Y78" s="3"/>
      <c r="Z78" s="7">
        <f t="shared" si="19"/>
        <v>-0.96804255319148935</v>
      </c>
    </row>
    <row r="79" spans="1:26" s="69" customFormat="1" ht="15" customHeight="1" outlineLevel="1" collapsed="1" x14ac:dyDescent="0.3">
      <c r="A79" s="20"/>
      <c r="B79" s="11" t="str">
        <f>CONCATENATE("     ","Bank/card Fees                                    ")</f>
        <v xml:space="preserve">     Bank/card Fees                                    </v>
      </c>
      <c r="C79" s="11"/>
      <c r="D79" s="2">
        <f>SUM(OSRRefD22_4x_0)</f>
        <v>6383.29</v>
      </c>
      <c r="E79" s="2"/>
      <c r="F79" s="5">
        <f t="shared" si="12"/>
        <v>2.1901701135546299E-2</v>
      </c>
      <c r="G79" s="2"/>
      <c r="H79" s="2">
        <f>SUM(OSRRefH22_4x_0)</f>
        <v>7144</v>
      </c>
      <c r="I79" s="2"/>
      <c r="J79" s="5">
        <f t="shared" si="13"/>
        <v>2.5112927322260305E-2</v>
      </c>
      <c r="K79" s="2"/>
      <c r="L79" s="2">
        <f t="shared" si="14"/>
        <v>-760.71</v>
      </c>
      <c r="M79" s="2"/>
      <c r="N79" s="5">
        <f t="shared" si="15"/>
        <v>-0.10648236282194849</v>
      </c>
      <c r="O79" s="11"/>
      <c r="P79" s="2">
        <f>SUM(OSRRefP22_4x_0)</f>
        <v>149253.45000000001</v>
      </c>
      <c r="Q79" s="2"/>
      <c r="R79" s="5">
        <f t="shared" si="16"/>
        <v>1.9108688314891101E-2</v>
      </c>
      <c r="S79" s="2"/>
      <c r="T79" s="2">
        <f>SUM(OSRRefT22_4x_0)</f>
        <v>184132</v>
      </c>
      <c r="U79" s="2"/>
      <c r="V79" s="5">
        <f t="shared" si="17"/>
        <v>2.0748630586099347E-2</v>
      </c>
      <c r="W79" s="2"/>
      <c r="X79" s="2">
        <f t="shared" si="18"/>
        <v>-34878.549999999988</v>
      </c>
      <c r="Y79" s="2"/>
      <c r="Z79" s="5">
        <f t="shared" si="19"/>
        <v>-0.18942144765711549</v>
      </c>
    </row>
    <row r="80" spans="1:26" s="70" customFormat="1" ht="15" hidden="1" customHeight="1" outlineLevel="2" x14ac:dyDescent="0.3">
      <c r="A80" s="21"/>
      <c r="B80" s="9" t="str">
        <f>CONCATENATE("          ","6381"," - ","BANK/CREDIT CARD FEES")</f>
        <v xml:space="preserve">          6381 - BANK/CREDIT CARD FEES</v>
      </c>
      <c r="C80" s="9"/>
      <c r="D80" s="6">
        <v>6383.29</v>
      </c>
      <c r="E80" s="3"/>
      <c r="F80" s="7">
        <f t="shared" si="12"/>
        <v>2.1901701135546299E-2</v>
      </c>
      <c r="G80" s="3"/>
      <c r="H80" s="6">
        <v>7144</v>
      </c>
      <c r="I80" s="3"/>
      <c r="J80" s="7">
        <f t="shared" si="13"/>
        <v>2.5112927322260305E-2</v>
      </c>
      <c r="K80" s="3"/>
      <c r="L80" s="6">
        <f t="shared" si="14"/>
        <v>-760.71</v>
      </c>
      <c r="M80" s="3"/>
      <c r="N80" s="7">
        <f t="shared" si="15"/>
        <v>-0.10648236282194849</v>
      </c>
      <c r="O80" s="9"/>
      <c r="P80" s="6">
        <v>149253.45000000001</v>
      </c>
      <c r="Q80" s="3"/>
      <c r="R80" s="7">
        <f t="shared" si="16"/>
        <v>1.9108688314891101E-2</v>
      </c>
      <c r="S80" s="3"/>
      <c r="T80" s="6">
        <v>184132</v>
      </c>
      <c r="U80" s="3"/>
      <c r="V80" s="7">
        <f t="shared" si="17"/>
        <v>2.0748630586099347E-2</v>
      </c>
      <c r="W80" s="3"/>
      <c r="X80" s="6">
        <f t="shared" si="18"/>
        <v>-34878.549999999988</v>
      </c>
      <c r="Y80" s="3"/>
      <c r="Z80" s="7">
        <f t="shared" si="19"/>
        <v>-0.18942144765711549</v>
      </c>
    </row>
    <row r="81" spans="1:26" s="69" customFormat="1" ht="15" customHeight="1" outlineLevel="1" collapsed="1" x14ac:dyDescent="0.3">
      <c r="A81" s="20"/>
      <c r="B81" s="11" t="str">
        <f>CONCATENATE("     ","Depreciation                                      ")</f>
        <v xml:space="preserve">     Depreciation                                      </v>
      </c>
      <c r="C81" s="11"/>
      <c r="D81" s="2">
        <f>SUM(OSRRefD22_5x_0)</f>
        <v>16379.849999999999</v>
      </c>
      <c r="E81" s="2"/>
      <c r="F81" s="5">
        <f t="shared" si="12"/>
        <v>5.620089003399157E-2</v>
      </c>
      <c r="G81" s="2"/>
      <c r="H81" s="2">
        <f>SUM(OSRRefH22_5x_0)</f>
        <v>16259</v>
      </c>
      <c r="I81" s="2"/>
      <c r="J81" s="5">
        <f t="shared" si="13"/>
        <v>5.7154407241409612E-2</v>
      </c>
      <c r="K81" s="2"/>
      <c r="L81" s="2">
        <f t="shared" si="14"/>
        <v>120.84999999999854</v>
      </c>
      <c r="M81" s="2"/>
      <c r="N81" s="5">
        <f t="shared" si="15"/>
        <v>7.4328064456607749E-3</v>
      </c>
      <c r="O81" s="11"/>
      <c r="P81" s="2">
        <f>SUM(OSRRefP22_5x_0)</f>
        <v>316576.52</v>
      </c>
      <c r="Q81" s="2"/>
      <c r="R81" s="5">
        <f t="shared" si="16"/>
        <v>4.0530802125464359E-2</v>
      </c>
      <c r="S81" s="2"/>
      <c r="T81" s="2">
        <f>SUM(OSRRefT22_5x_0)</f>
        <v>315125</v>
      </c>
      <c r="U81" s="2"/>
      <c r="V81" s="5">
        <f t="shared" si="17"/>
        <v>3.5509374869357617E-2</v>
      </c>
      <c r="W81" s="2"/>
      <c r="X81" s="2">
        <f t="shared" si="18"/>
        <v>1451.5200000000186</v>
      </c>
      <c r="Y81" s="2"/>
      <c r="Z81" s="5">
        <f t="shared" si="19"/>
        <v>4.6061721539072389E-3</v>
      </c>
    </row>
    <row r="82" spans="1:26" s="70" customFormat="1" ht="15" hidden="1" customHeight="1" outlineLevel="2" x14ac:dyDescent="0.3">
      <c r="A82" s="21"/>
      <c r="B82" s="9" t="str">
        <f>CONCATENATE("          ","6321"," - ","BUILDING DEPRECIATION")</f>
        <v xml:space="preserve">          6321 - BUILDING DEPRECIATION</v>
      </c>
      <c r="C82" s="9"/>
      <c r="D82" s="6">
        <v>13321.47</v>
      </c>
      <c r="E82" s="3"/>
      <c r="F82" s="7">
        <f t="shared" si="12"/>
        <v>4.5707284899502598E-2</v>
      </c>
      <c r="G82" s="3"/>
      <c r="H82" s="6"/>
      <c r="I82" s="3"/>
      <c r="J82" s="7">
        <f t="shared" si="13"/>
        <v>0</v>
      </c>
      <c r="K82" s="3"/>
      <c r="L82" s="6">
        <f t="shared" si="14"/>
        <v>13321.47</v>
      </c>
      <c r="M82" s="3"/>
      <c r="N82" s="7">
        <f t="shared" si="15"/>
        <v>0</v>
      </c>
      <c r="O82" s="9"/>
      <c r="P82" s="6">
        <v>179119.02</v>
      </c>
      <c r="Q82" s="3"/>
      <c r="R82" s="7">
        <f t="shared" si="16"/>
        <v>2.2932331041250604E-2</v>
      </c>
      <c r="S82" s="3"/>
      <c r="T82" s="6"/>
      <c r="U82" s="3"/>
      <c r="V82" s="7">
        <f t="shared" si="17"/>
        <v>0</v>
      </c>
      <c r="W82" s="3"/>
      <c r="X82" s="6">
        <f t="shared" si="18"/>
        <v>179119.02</v>
      </c>
      <c r="Y82" s="3"/>
      <c r="Z82" s="7">
        <f t="shared" si="19"/>
        <v>0</v>
      </c>
    </row>
    <row r="83" spans="1:26" s="70" customFormat="1" ht="15" hidden="1" customHeight="1" outlineLevel="2" x14ac:dyDescent="0.3">
      <c r="A83" s="21"/>
      <c r="B83" s="9" t="str">
        <f>CONCATENATE("          ","6322"," - ","EQUIPMENT DEPRECIATION EXPENSE")</f>
        <v xml:space="preserve">          6322 - EQUIPMENT DEPRECIATION EXPENSE</v>
      </c>
      <c r="C83" s="9"/>
      <c r="D83" s="6">
        <v>3058.38</v>
      </c>
      <c r="E83" s="3"/>
      <c r="F83" s="7">
        <f t="shared" si="12"/>
        <v>1.049360513448897E-2</v>
      </c>
      <c r="G83" s="3"/>
      <c r="H83" s="6">
        <v>16259</v>
      </c>
      <c r="I83" s="3"/>
      <c r="J83" s="7">
        <f t="shared" si="13"/>
        <v>5.7154407241409612E-2</v>
      </c>
      <c r="K83" s="3"/>
      <c r="L83" s="6">
        <f t="shared" si="14"/>
        <v>-13200.619999999999</v>
      </c>
      <c r="M83" s="3"/>
      <c r="N83" s="7">
        <f t="shared" si="15"/>
        <v>-0.81189618057691115</v>
      </c>
      <c r="O83" s="9"/>
      <c r="P83" s="6">
        <v>137457.5</v>
      </c>
      <c r="Q83" s="3"/>
      <c r="R83" s="7">
        <f t="shared" si="16"/>
        <v>1.7598471084213755E-2</v>
      </c>
      <c r="S83" s="3"/>
      <c r="T83" s="6">
        <v>315125</v>
      </c>
      <c r="U83" s="3"/>
      <c r="V83" s="7">
        <f t="shared" si="17"/>
        <v>3.5509374869357617E-2</v>
      </c>
      <c r="W83" s="3"/>
      <c r="X83" s="6">
        <f t="shared" si="18"/>
        <v>-177667.5</v>
      </c>
      <c r="Y83" s="3"/>
      <c r="Z83" s="7">
        <f t="shared" si="19"/>
        <v>-0.56380007933359777</v>
      </c>
    </row>
    <row r="84" spans="1:26" s="69" customFormat="1" ht="15" customHeight="1" outlineLevel="1" collapsed="1" x14ac:dyDescent="0.3">
      <c r="A84" s="20"/>
      <c r="B84" s="11" t="str">
        <f>CONCATENATE("     ","Discounts and Markdowns                           ")</f>
        <v xml:space="preserve">     Discounts and Markdowns                           </v>
      </c>
      <c r="C84" s="11"/>
      <c r="D84" s="2">
        <f>SUM(OSRRefD22_6x_0)</f>
        <v>30.17</v>
      </c>
      <c r="E84" s="2"/>
      <c r="F84" s="5">
        <f t="shared" ref="F84:F115" si="20">IF(D$12=0,0,D84/D$12)</f>
        <v>1.035162625009097E-4</v>
      </c>
      <c r="G84" s="2"/>
      <c r="H84" s="2">
        <f>SUM(OSRRefH22_6x_0)</f>
        <v>0</v>
      </c>
      <c r="I84" s="2"/>
      <c r="J84" s="5">
        <f t="shared" ref="J84:J115" si="21">IF(H$12=0,0,H84/H$12)</f>
        <v>0</v>
      </c>
      <c r="K84" s="2"/>
      <c r="L84" s="2">
        <f t="shared" ref="L84:L115" si="22">+D84-H84</f>
        <v>30.17</v>
      </c>
      <c r="M84" s="2"/>
      <c r="N84" s="5">
        <f t="shared" ref="N84:N115" si="23">IF(H84=0,0,L84/H84)</f>
        <v>0</v>
      </c>
      <c r="O84" s="11"/>
      <c r="P84" s="2">
        <f>SUM(OSRRefP22_6x_0)</f>
        <v>2019.25</v>
      </c>
      <c r="Q84" s="2"/>
      <c r="R84" s="5">
        <f t="shared" ref="R84:R115" si="24">IF(P$12=0,0,P84/P$12)</f>
        <v>2.5852145380789426E-4</v>
      </c>
      <c r="S84" s="2"/>
      <c r="T84" s="2">
        <f>SUM(OSRRefT22_6x_0)</f>
        <v>0</v>
      </c>
      <c r="U84" s="2"/>
      <c r="V84" s="5">
        <f t="shared" ref="V84:V115" si="25">IF(T$12=0,0,T84/T$12)</f>
        <v>0</v>
      </c>
      <c r="W84" s="2"/>
      <c r="X84" s="2">
        <f t="shared" ref="X84:X115" si="26">+P84-T84</f>
        <v>2019.25</v>
      </c>
      <c r="Y84" s="2"/>
      <c r="Z84" s="5">
        <f t="shared" ref="Z84:Z115" si="27">IF(T84=0,0,X84/T84)</f>
        <v>0</v>
      </c>
    </row>
    <row r="85" spans="1:26" s="70" customFormat="1" ht="15" hidden="1" customHeight="1" outlineLevel="2" x14ac:dyDescent="0.3">
      <c r="A85" s="21"/>
      <c r="B85" s="9" t="str">
        <f>CONCATENATE("          ","6382"," - ","DISCOUNTS/MARK DOWNS")</f>
        <v xml:space="preserve">          6382 - DISCOUNTS/MARK DOWNS</v>
      </c>
      <c r="C85" s="9"/>
      <c r="D85" s="6"/>
      <c r="E85" s="3"/>
      <c r="F85" s="7">
        <f t="shared" si="20"/>
        <v>0</v>
      </c>
      <c r="G85" s="3"/>
      <c r="H85" s="6"/>
      <c r="I85" s="3"/>
      <c r="J85" s="7">
        <f t="shared" si="21"/>
        <v>0</v>
      </c>
      <c r="K85" s="3"/>
      <c r="L85" s="6">
        <f t="shared" si="22"/>
        <v>0</v>
      </c>
      <c r="M85" s="3"/>
      <c r="N85" s="7">
        <f t="shared" si="23"/>
        <v>0</v>
      </c>
      <c r="O85" s="9"/>
      <c r="P85" s="6">
        <v>2171.35</v>
      </c>
      <c r="Q85" s="3"/>
      <c r="R85" s="7">
        <f t="shared" si="24"/>
        <v>2.7799458151579601E-4</v>
      </c>
      <c r="S85" s="3"/>
      <c r="T85" s="6">
        <v>0</v>
      </c>
      <c r="U85" s="3"/>
      <c r="V85" s="7">
        <f t="shared" si="25"/>
        <v>0</v>
      </c>
      <c r="W85" s="3"/>
      <c r="X85" s="6">
        <f t="shared" si="26"/>
        <v>2171.35</v>
      </c>
      <c r="Y85" s="3"/>
      <c r="Z85" s="7">
        <f t="shared" si="27"/>
        <v>0</v>
      </c>
    </row>
    <row r="86" spans="1:26" s="70" customFormat="1" ht="15" hidden="1" customHeight="1" outlineLevel="2" x14ac:dyDescent="0.3">
      <c r="A86" s="21"/>
      <c r="B86" s="9" t="str">
        <f>CONCATENATE("          ","9175"," - ","EARNED DISCOUNTS")</f>
        <v xml:space="preserve">          9175 - EARNED DISCOUNTS</v>
      </c>
      <c r="C86" s="9"/>
      <c r="D86" s="6">
        <v>30.17</v>
      </c>
      <c r="E86" s="3"/>
      <c r="F86" s="7">
        <f t="shared" si="20"/>
        <v>1.035162625009097E-4</v>
      </c>
      <c r="G86" s="3"/>
      <c r="H86" s="6"/>
      <c r="I86" s="3"/>
      <c r="J86" s="7">
        <f t="shared" si="21"/>
        <v>0</v>
      </c>
      <c r="K86" s="3"/>
      <c r="L86" s="6">
        <f t="shared" si="22"/>
        <v>30.17</v>
      </c>
      <c r="M86" s="3"/>
      <c r="N86" s="7">
        <f t="shared" si="23"/>
        <v>0</v>
      </c>
      <c r="O86" s="9"/>
      <c r="P86" s="6">
        <v>-152.1</v>
      </c>
      <c r="Q86" s="3"/>
      <c r="R86" s="7">
        <f t="shared" si="24"/>
        <v>-1.9473127707901801E-5</v>
      </c>
      <c r="S86" s="3"/>
      <c r="T86" s="6"/>
      <c r="U86" s="3"/>
      <c r="V86" s="7">
        <f t="shared" si="25"/>
        <v>0</v>
      </c>
      <c r="W86" s="3"/>
      <c r="X86" s="6">
        <f t="shared" si="26"/>
        <v>-152.1</v>
      </c>
      <c r="Y86" s="3"/>
      <c r="Z86" s="7">
        <f t="shared" si="27"/>
        <v>0</v>
      </c>
    </row>
    <row r="87" spans="1:26" s="69" customFormat="1" ht="15" customHeight="1" outlineLevel="1" collapsed="1" x14ac:dyDescent="0.3">
      <c r="A87" s="20"/>
      <c r="B87" s="11" t="str">
        <f>CONCATENATE("     ","Donations                                         ")</f>
        <v xml:space="preserve">     Donations                                         </v>
      </c>
      <c r="C87" s="11"/>
      <c r="D87" s="2">
        <f>SUM(OSRRefD22_7x_0)</f>
        <v>2379.11</v>
      </c>
      <c r="E87" s="2"/>
      <c r="F87" s="5">
        <f t="shared" si="20"/>
        <v>8.1629623890798562E-3</v>
      </c>
      <c r="G87" s="2"/>
      <c r="H87" s="2">
        <f>SUM(OSRRefH22_7x_0)</f>
        <v>1250</v>
      </c>
      <c r="I87" s="2"/>
      <c r="J87" s="5">
        <f t="shared" si="21"/>
        <v>4.3940592319184459E-3</v>
      </c>
      <c r="K87" s="2"/>
      <c r="L87" s="2">
        <f t="shared" si="22"/>
        <v>1129.1100000000001</v>
      </c>
      <c r="M87" s="2"/>
      <c r="N87" s="5">
        <f t="shared" si="23"/>
        <v>0.90328800000000009</v>
      </c>
      <c r="O87" s="11"/>
      <c r="P87" s="2">
        <f>SUM(OSRRefP22_7x_0)</f>
        <v>9817.98</v>
      </c>
      <c r="Q87" s="2"/>
      <c r="R87" s="5">
        <f t="shared" si="24"/>
        <v>1.2569807914110829E-3</v>
      </c>
      <c r="S87" s="2"/>
      <c r="T87" s="2">
        <f>SUM(OSRRefT22_7x_0)</f>
        <v>15000</v>
      </c>
      <c r="U87" s="2"/>
      <c r="V87" s="5">
        <f t="shared" si="25"/>
        <v>1.690251877954349E-3</v>
      </c>
      <c r="W87" s="2"/>
      <c r="X87" s="2">
        <f t="shared" si="26"/>
        <v>-5182.0200000000004</v>
      </c>
      <c r="Y87" s="2"/>
      <c r="Z87" s="5">
        <f t="shared" si="27"/>
        <v>-0.34546800000000005</v>
      </c>
    </row>
    <row r="88" spans="1:26" s="70" customFormat="1" ht="15" hidden="1" customHeight="1" outlineLevel="2" x14ac:dyDescent="0.3">
      <c r="A88" s="21"/>
      <c r="B88" s="9" t="str">
        <f>CONCATENATE("          ","6399"," - ","DONATION-ON CAMPUS")</f>
        <v xml:space="preserve">          6399 - DONATION-ON CAMPUS</v>
      </c>
      <c r="C88" s="9"/>
      <c r="D88" s="6">
        <v>2379.11</v>
      </c>
      <c r="E88" s="3"/>
      <c r="F88" s="7">
        <f t="shared" si="20"/>
        <v>8.1629623890798562E-3</v>
      </c>
      <c r="G88" s="3"/>
      <c r="H88" s="6">
        <v>1250</v>
      </c>
      <c r="I88" s="3"/>
      <c r="J88" s="7">
        <f t="shared" si="21"/>
        <v>4.3940592319184459E-3</v>
      </c>
      <c r="K88" s="3"/>
      <c r="L88" s="6">
        <f t="shared" si="22"/>
        <v>1129.1100000000001</v>
      </c>
      <c r="M88" s="3"/>
      <c r="N88" s="7">
        <f t="shared" si="23"/>
        <v>0.90328800000000009</v>
      </c>
      <c r="O88" s="9"/>
      <c r="P88" s="6">
        <v>9817.98</v>
      </c>
      <c r="Q88" s="3"/>
      <c r="R88" s="7">
        <f t="shared" si="24"/>
        <v>1.2569807914110829E-3</v>
      </c>
      <c r="S88" s="3"/>
      <c r="T88" s="6">
        <v>15000</v>
      </c>
      <c r="U88" s="3"/>
      <c r="V88" s="7">
        <f t="shared" si="25"/>
        <v>1.690251877954349E-3</v>
      </c>
      <c r="W88" s="3"/>
      <c r="X88" s="6">
        <f t="shared" si="26"/>
        <v>-5182.0200000000004</v>
      </c>
      <c r="Y88" s="3"/>
      <c r="Z88" s="7">
        <f t="shared" si="27"/>
        <v>-0.34546800000000005</v>
      </c>
    </row>
    <row r="89" spans="1:26" s="69" customFormat="1" ht="15" customHeight="1" outlineLevel="1" collapsed="1" x14ac:dyDescent="0.3">
      <c r="A89" s="20"/>
      <c r="B89" s="11" t="str">
        <f>CONCATENATE("     ","Employees' Appreciation                           ")</f>
        <v xml:space="preserve">     Employees' Appreciation                           </v>
      </c>
      <c r="C89" s="11"/>
      <c r="D89" s="2">
        <f>SUM(OSRRefD22_8x_0)</f>
        <v>1840.15</v>
      </c>
      <c r="E89" s="2"/>
      <c r="F89" s="5">
        <f t="shared" si="20"/>
        <v>6.3137371707341393E-3</v>
      </c>
      <c r="G89" s="2"/>
      <c r="H89" s="2">
        <f>SUM(OSRRefH22_8x_0)</f>
        <v>225</v>
      </c>
      <c r="I89" s="2"/>
      <c r="J89" s="5">
        <f t="shared" si="21"/>
        <v>7.9093066174532034E-4</v>
      </c>
      <c r="K89" s="2"/>
      <c r="L89" s="2">
        <f t="shared" si="22"/>
        <v>1615.15</v>
      </c>
      <c r="M89" s="2"/>
      <c r="N89" s="5">
        <f t="shared" si="23"/>
        <v>7.1784444444444446</v>
      </c>
      <c r="O89" s="11"/>
      <c r="P89" s="2">
        <f>SUM(OSRRefP22_8x_0)</f>
        <v>6181.53</v>
      </c>
      <c r="Q89" s="2"/>
      <c r="R89" s="5">
        <f t="shared" si="24"/>
        <v>7.9141172334139525E-4</v>
      </c>
      <c r="S89" s="2"/>
      <c r="T89" s="2">
        <f>SUM(OSRRefT22_8x_0)</f>
        <v>2700</v>
      </c>
      <c r="U89" s="2"/>
      <c r="V89" s="5">
        <f t="shared" si="25"/>
        <v>3.0424533803178282E-4</v>
      </c>
      <c r="W89" s="2"/>
      <c r="X89" s="2">
        <f t="shared" si="26"/>
        <v>3481.5299999999997</v>
      </c>
      <c r="Y89" s="2"/>
      <c r="Z89" s="5">
        <f t="shared" si="27"/>
        <v>1.2894555555555554</v>
      </c>
    </row>
    <row r="90" spans="1:26" s="70" customFormat="1" ht="15" hidden="1" customHeight="1" outlineLevel="2" x14ac:dyDescent="0.3">
      <c r="A90" s="21"/>
      <c r="B90" s="9" t="str">
        <f>CONCATENATE("          ","6277"," - ","EMPLOYEE APPRECIATION")</f>
        <v xml:space="preserve">          6277 - EMPLOYEE APPRECIATION</v>
      </c>
      <c r="C90" s="9"/>
      <c r="D90" s="6">
        <v>1840.15</v>
      </c>
      <c r="E90" s="3"/>
      <c r="F90" s="7">
        <f t="shared" si="20"/>
        <v>6.3137371707341393E-3</v>
      </c>
      <c r="G90" s="3"/>
      <c r="H90" s="6">
        <v>225</v>
      </c>
      <c r="I90" s="3"/>
      <c r="J90" s="7">
        <f t="shared" si="21"/>
        <v>7.9093066174532034E-4</v>
      </c>
      <c r="K90" s="3"/>
      <c r="L90" s="6">
        <f t="shared" si="22"/>
        <v>1615.15</v>
      </c>
      <c r="M90" s="3"/>
      <c r="N90" s="7">
        <f t="shared" si="23"/>
        <v>7.1784444444444446</v>
      </c>
      <c r="O90" s="9"/>
      <c r="P90" s="6">
        <v>6181.53</v>
      </c>
      <c r="Q90" s="3"/>
      <c r="R90" s="7">
        <f t="shared" si="24"/>
        <v>7.9141172334139525E-4</v>
      </c>
      <c r="S90" s="3"/>
      <c r="T90" s="6">
        <v>2700</v>
      </c>
      <c r="U90" s="3"/>
      <c r="V90" s="7">
        <f t="shared" si="25"/>
        <v>3.0424533803178282E-4</v>
      </c>
      <c r="W90" s="3"/>
      <c r="X90" s="6">
        <f t="shared" si="26"/>
        <v>3481.5299999999997</v>
      </c>
      <c r="Y90" s="3"/>
      <c r="Z90" s="7">
        <f t="shared" si="27"/>
        <v>1.2894555555555554</v>
      </c>
    </row>
    <row r="91" spans="1:26" s="69" customFormat="1" ht="15" customHeight="1" outlineLevel="1" collapsed="1" x14ac:dyDescent="0.3">
      <c r="A91" s="20"/>
      <c r="B91" s="11" t="str">
        <f>CONCATENATE("     ","Equipment Rental                                  ")</f>
        <v xml:space="preserve">     Equipment Rental                                  </v>
      </c>
      <c r="C91" s="11"/>
      <c r="D91" s="2">
        <f>SUM(OSRRefD22_9x_0)</f>
        <v>2900.76</v>
      </c>
      <c r="E91" s="2"/>
      <c r="F91" s="5">
        <f t="shared" si="20"/>
        <v>9.9527952804818968E-3</v>
      </c>
      <c r="G91" s="2"/>
      <c r="H91" s="2">
        <f>SUM(OSRRefH22_9x_0)</f>
        <v>1700</v>
      </c>
      <c r="I91" s="2"/>
      <c r="J91" s="5">
        <f t="shared" si="21"/>
        <v>5.9759205554090868E-3</v>
      </c>
      <c r="K91" s="2"/>
      <c r="L91" s="2">
        <f t="shared" si="22"/>
        <v>1200.7600000000002</v>
      </c>
      <c r="M91" s="2"/>
      <c r="N91" s="5">
        <f t="shared" si="23"/>
        <v>0.70632941176470598</v>
      </c>
      <c r="O91" s="11"/>
      <c r="P91" s="2">
        <f>SUM(OSRRefP22_9x_0)</f>
        <v>20411.12</v>
      </c>
      <c r="Q91" s="2"/>
      <c r="R91" s="5">
        <f t="shared" si="24"/>
        <v>2.6132041184832914E-3</v>
      </c>
      <c r="S91" s="2"/>
      <c r="T91" s="2">
        <f>SUM(OSRRefT22_9x_0)</f>
        <v>20200</v>
      </c>
      <c r="U91" s="2"/>
      <c r="V91" s="5">
        <f t="shared" si="25"/>
        <v>2.2762058623118568E-3</v>
      </c>
      <c r="W91" s="2"/>
      <c r="X91" s="2">
        <f t="shared" si="26"/>
        <v>211.11999999999898</v>
      </c>
      <c r="Y91" s="2"/>
      <c r="Z91" s="5">
        <f t="shared" si="27"/>
        <v>1.0451485148514801E-2</v>
      </c>
    </row>
    <row r="92" spans="1:26" s="70" customFormat="1" ht="15" hidden="1" customHeight="1" outlineLevel="2" x14ac:dyDescent="0.3">
      <c r="A92" s="21"/>
      <c r="B92" s="9" t="str">
        <f>CONCATENATE("          ","6351"," - ","EQUIPMENT RENTAL")</f>
        <v xml:space="preserve">          6351 - EQUIPMENT RENTAL</v>
      </c>
      <c r="C92" s="9"/>
      <c r="D92" s="6">
        <v>2900.76</v>
      </c>
      <c r="E92" s="3"/>
      <c r="F92" s="7">
        <f t="shared" si="20"/>
        <v>9.9527952804818968E-3</v>
      </c>
      <c r="G92" s="3"/>
      <c r="H92" s="6">
        <v>1700</v>
      </c>
      <c r="I92" s="3"/>
      <c r="J92" s="7">
        <f t="shared" si="21"/>
        <v>5.9759205554090868E-3</v>
      </c>
      <c r="K92" s="3"/>
      <c r="L92" s="6">
        <f t="shared" si="22"/>
        <v>1200.7600000000002</v>
      </c>
      <c r="M92" s="3"/>
      <c r="N92" s="7">
        <f t="shared" si="23"/>
        <v>0.70632941176470598</v>
      </c>
      <c r="O92" s="9"/>
      <c r="P92" s="6">
        <v>20411.12</v>
      </c>
      <c r="Q92" s="3"/>
      <c r="R92" s="7">
        <f t="shared" si="24"/>
        <v>2.6132041184832914E-3</v>
      </c>
      <c r="S92" s="3"/>
      <c r="T92" s="6">
        <v>20200</v>
      </c>
      <c r="U92" s="3"/>
      <c r="V92" s="7">
        <f t="shared" si="25"/>
        <v>2.2762058623118568E-3</v>
      </c>
      <c r="W92" s="3"/>
      <c r="X92" s="6">
        <f t="shared" si="26"/>
        <v>211.11999999999898</v>
      </c>
      <c r="Y92" s="3"/>
      <c r="Z92" s="7">
        <f t="shared" si="27"/>
        <v>1.0451485148514801E-2</v>
      </c>
    </row>
    <row r="93" spans="1:26" s="69" customFormat="1" ht="15" customHeight="1" outlineLevel="1" collapsed="1" x14ac:dyDescent="0.3">
      <c r="A93" s="20"/>
      <c r="B93" s="11" t="str">
        <f>CONCATENATE("     ","Freight out/Postage                               ")</f>
        <v xml:space="preserve">     Freight out/Postage                               </v>
      </c>
      <c r="C93" s="11"/>
      <c r="D93" s="2">
        <f>SUM(OSRRefD22_10x_0)</f>
        <v>6549</v>
      </c>
      <c r="E93" s="2"/>
      <c r="F93" s="5">
        <f t="shared" si="20"/>
        <v>2.2470268581984011E-2</v>
      </c>
      <c r="G93" s="2"/>
      <c r="H93" s="2">
        <f>SUM(OSRRefH22_10x_0)</f>
        <v>-2350</v>
      </c>
      <c r="I93" s="2"/>
      <c r="J93" s="5">
        <f t="shared" si="21"/>
        <v>-8.2608313560066787E-3</v>
      </c>
      <c r="K93" s="2"/>
      <c r="L93" s="2">
        <f t="shared" si="22"/>
        <v>8899</v>
      </c>
      <c r="M93" s="2"/>
      <c r="N93" s="5">
        <f t="shared" si="23"/>
        <v>-3.786808510638298</v>
      </c>
      <c r="O93" s="11"/>
      <c r="P93" s="2">
        <f>SUM(OSRRefP22_10x_0)</f>
        <v>-38669.649999999994</v>
      </c>
      <c r="Q93" s="2"/>
      <c r="R93" s="5">
        <f t="shared" si="24"/>
        <v>-4.9508154692298805E-3</v>
      </c>
      <c r="S93" s="2"/>
      <c r="T93" s="2">
        <f>SUM(OSRRefT22_10x_0)</f>
        <v>-16400</v>
      </c>
      <c r="U93" s="2"/>
      <c r="V93" s="5">
        <f t="shared" si="25"/>
        <v>-1.848008719896755E-3</v>
      </c>
      <c r="W93" s="2"/>
      <c r="X93" s="2">
        <f t="shared" si="26"/>
        <v>-22269.649999999994</v>
      </c>
      <c r="Y93" s="2"/>
      <c r="Z93" s="5">
        <f t="shared" si="27"/>
        <v>1.3579054878048777</v>
      </c>
    </row>
    <row r="94" spans="1:26" s="70" customFormat="1" ht="15" hidden="1" customHeight="1" outlineLevel="2" x14ac:dyDescent="0.3">
      <c r="A94" s="21"/>
      <c r="B94" s="9" t="str">
        <f>CONCATENATE("          ","6305"," - ","FREIGHT OUT")</f>
        <v xml:space="preserve">          6305 - FREIGHT OUT</v>
      </c>
      <c r="C94" s="9"/>
      <c r="D94" s="6">
        <v>19990.48</v>
      </c>
      <c r="E94" s="3"/>
      <c r="F94" s="7">
        <f t="shared" si="20"/>
        <v>6.8589319695034318E-2</v>
      </c>
      <c r="G94" s="3"/>
      <c r="H94" s="6">
        <v>2050</v>
      </c>
      <c r="I94" s="3"/>
      <c r="J94" s="7">
        <f t="shared" si="21"/>
        <v>7.2062571403462517E-3</v>
      </c>
      <c r="K94" s="3"/>
      <c r="L94" s="6">
        <f t="shared" si="22"/>
        <v>17940.48</v>
      </c>
      <c r="M94" s="3"/>
      <c r="N94" s="7">
        <f t="shared" si="23"/>
        <v>8.751453658536585</v>
      </c>
      <c r="O94" s="9"/>
      <c r="P94" s="6">
        <v>154410.6</v>
      </c>
      <c r="Q94" s="3"/>
      <c r="R94" s="7">
        <f t="shared" si="24"/>
        <v>1.9768950251503891E-2</v>
      </c>
      <c r="S94" s="3"/>
      <c r="T94" s="6">
        <v>156900</v>
      </c>
      <c r="U94" s="3"/>
      <c r="V94" s="7">
        <f t="shared" si="25"/>
        <v>1.7680034643402492E-2</v>
      </c>
      <c r="W94" s="3"/>
      <c r="X94" s="6">
        <f t="shared" si="26"/>
        <v>-2489.3999999999942</v>
      </c>
      <c r="Y94" s="3"/>
      <c r="Z94" s="7">
        <f t="shared" si="27"/>
        <v>-1.5866156787762868E-2</v>
      </c>
    </row>
    <row r="95" spans="1:26" s="70" customFormat="1" ht="15" hidden="1" customHeight="1" outlineLevel="2" x14ac:dyDescent="0.3">
      <c r="A95" s="21"/>
      <c r="B95" s="9" t="str">
        <f>CONCATENATE("          ","6307"," - ","POSTAGE")</f>
        <v xml:space="preserve">          6307 - POSTAGE</v>
      </c>
      <c r="C95" s="9"/>
      <c r="D95" s="6">
        <v>-13441.48</v>
      </c>
      <c r="E95" s="3"/>
      <c r="F95" s="7">
        <f t="shared" si="20"/>
        <v>-4.6119051113050306E-2</v>
      </c>
      <c r="G95" s="3"/>
      <c r="H95" s="6">
        <v>-4400</v>
      </c>
      <c r="I95" s="3"/>
      <c r="J95" s="7">
        <f t="shared" si="21"/>
        <v>-1.5467088496352931E-2</v>
      </c>
      <c r="K95" s="3"/>
      <c r="L95" s="6">
        <f t="shared" si="22"/>
        <v>-9041.48</v>
      </c>
      <c r="M95" s="3"/>
      <c r="N95" s="7">
        <f t="shared" si="23"/>
        <v>2.0548818181818183</v>
      </c>
      <c r="O95" s="9"/>
      <c r="P95" s="6">
        <v>-193080.25</v>
      </c>
      <c r="Q95" s="3"/>
      <c r="R95" s="7">
        <f t="shared" si="24"/>
        <v>-2.4719765720733772E-2</v>
      </c>
      <c r="S95" s="3"/>
      <c r="T95" s="6">
        <v>-173300</v>
      </c>
      <c r="U95" s="3"/>
      <c r="V95" s="7">
        <f t="shared" si="25"/>
        <v>-1.9528043363299247E-2</v>
      </c>
      <c r="W95" s="3"/>
      <c r="X95" s="6">
        <f t="shared" si="26"/>
        <v>-19780.25</v>
      </c>
      <c r="Y95" s="3"/>
      <c r="Z95" s="7">
        <f t="shared" si="27"/>
        <v>0.11413877668782459</v>
      </c>
    </row>
    <row r="96" spans="1:26" s="69" customFormat="1" ht="15" customHeight="1" outlineLevel="1" collapsed="1" x14ac:dyDescent="0.3">
      <c r="A96" s="20"/>
      <c r="B96" s="11" t="str">
        <f>CONCATENATE("     ","General                                           ")</f>
        <v xml:space="preserve">     General                                           </v>
      </c>
      <c r="C96" s="11"/>
      <c r="D96" s="2">
        <f>SUM(OSRRefD22_11x_0)</f>
        <v>200</v>
      </c>
      <c r="E96" s="2"/>
      <c r="F96" s="5">
        <f t="shared" si="20"/>
        <v>6.8621983759303742E-4</v>
      </c>
      <c r="G96" s="2"/>
      <c r="H96" s="2">
        <f>SUM(OSRRefH22_11x_0)</f>
        <v>1200</v>
      </c>
      <c r="I96" s="2"/>
      <c r="J96" s="5">
        <f t="shared" si="21"/>
        <v>4.2182968626417088E-3</v>
      </c>
      <c r="K96" s="2"/>
      <c r="L96" s="2">
        <f t="shared" si="22"/>
        <v>-1000</v>
      </c>
      <c r="M96" s="2"/>
      <c r="N96" s="5">
        <f t="shared" si="23"/>
        <v>-0.83333333333333337</v>
      </c>
      <c r="O96" s="11"/>
      <c r="P96" s="2">
        <f>SUM(OSRRefP22_11x_0)</f>
        <v>6685.51</v>
      </c>
      <c r="Q96" s="2"/>
      <c r="R96" s="5">
        <f t="shared" si="24"/>
        <v>8.5593550310621028E-4</v>
      </c>
      <c r="S96" s="2"/>
      <c r="T96" s="2">
        <f>SUM(OSRRefT22_11x_0)</f>
        <v>7400</v>
      </c>
      <c r="U96" s="2"/>
      <c r="V96" s="5">
        <f t="shared" si="25"/>
        <v>8.3385759312414552E-4</v>
      </c>
      <c r="W96" s="2"/>
      <c r="X96" s="2">
        <f t="shared" si="26"/>
        <v>-714.48999999999978</v>
      </c>
      <c r="Y96" s="2"/>
      <c r="Z96" s="5">
        <f t="shared" si="27"/>
        <v>-9.6552702702702678E-2</v>
      </c>
    </row>
    <row r="97" spans="1:26" s="70" customFormat="1" ht="15" hidden="1" customHeight="1" outlineLevel="2" x14ac:dyDescent="0.3">
      <c r="A97" s="21"/>
      <c r="B97" s="9" t="str">
        <f>CONCATENATE("          ","6276"," - ","PROPERTY TAX")</f>
        <v xml:space="preserve">          6276 - PROPERTY TAX</v>
      </c>
      <c r="C97" s="9"/>
      <c r="D97" s="6"/>
      <c r="E97" s="3"/>
      <c r="F97" s="7">
        <f t="shared" si="20"/>
        <v>0</v>
      </c>
      <c r="G97" s="3"/>
      <c r="H97" s="6"/>
      <c r="I97" s="3"/>
      <c r="J97" s="7">
        <f t="shared" si="21"/>
        <v>0</v>
      </c>
      <c r="K97" s="3"/>
      <c r="L97" s="6">
        <f t="shared" si="22"/>
        <v>0</v>
      </c>
      <c r="M97" s="3"/>
      <c r="N97" s="7">
        <f t="shared" si="23"/>
        <v>0</v>
      </c>
      <c r="O97" s="9"/>
      <c r="P97" s="6"/>
      <c r="Q97" s="3"/>
      <c r="R97" s="7">
        <f t="shared" si="24"/>
        <v>0</v>
      </c>
      <c r="S97" s="3"/>
      <c r="T97" s="6">
        <v>1250</v>
      </c>
      <c r="U97" s="3"/>
      <c r="V97" s="7">
        <f t="shared" si="25"/>
        <v>1.4085432316286243E-4</v>
      </c>
      <c r="W97" s="3"/>
      <c r="X97" s="6">
        <f t="shared" si="26"/>
        <v>-1250</v>
      </c>
      <c r="Y97" s="3"/>
      <c r="Z97" s="7">
        <f t="shared" si="27"/>
        <v>-1</v>
      </c>
    </row>
    <row r="98" spans="1:26" s="70" customFormat="1" ht="15" hidden="1" customHeight="1" outlineLevel="2" x14ac:dyDescent="0.3">
      <c r="A98" s="21"/>
      <c r="B98" s="9" t="str">
        <f>CONCATENATE("          ","6279"," - ","GENERAL EXPENSE")</f>
        <v xml:space="preserve">          6279 - GENERAL EXPENSE</v>
      </c>
      <c r="C98" s="9"/>
      <c r="D98" s="6">
        <v>200</v>
      </c>
      <c r="E98" s="3"/>
      <c r="F98" s="7">
        <f t="shared" si="20"/>
        <v>6.8621983759303742E-4</v>
      </c>
      <c r="G98" s="3"/>
      <c r="H98" s="6">
        <v>1200</v>
      </c>
      <c r="I98" s="3"/>
      <c r="J98" s="7">
        <f t="shared" si="21"/>
        <v>4.2182968626417088E-3</v>
      </c>
      <c r="K98" s="3"/>
      <c r="L98" s="6">
        <f t="shared" si="22"/>
        <v>-1000</v>
      </c>
      <c r="M98" s="3"/>
      <c r="N98" s="7">
        <f t="shared" si="23"/>
        <v>-0.83333333333333337</v>
      </c>
      <c r="O98" s="9"/>
      <c r="P98" s="6">
        <v>6685.51</v>
      </c>
      <c r="Q98" s="3"/>
      <c r="R98" s="7">
        <f t="shared" si="24"/>
        <v>8.5593550310621028E-4</v>
      </c>
      <c r="S98" s="3"/>
      <c r="T98" s="6">
        <v>6150</v>
      </c>
      <c r="U98" s="3"/>
      <c r="V98" s="7">
        <f t="shared" si="25"/>
        <v>6.9300326996128312E-4</v>
      </c>
      <c r="W98" s="3"/>
      <c r="X98" s="6">
        <f t="shared" si="26"/>
        <v>535.51000000000022</v>
      </c>
      <c r="Y98" s="3"/>
      <c r="Z98" s="7">
        <f t="shared" si="27"/>
        <v>8.7074796747967517E-2</v>
      </c>
    </row>
    <row r="99" spans="1:26" s="69" customFormat="1" ht="15" customHeight="1" outlineLevel="1" collapsed="1" x14ac:dyDescent="0.3">
      <c r="A99" s="20"/>
      <c r="B99" s="11" t="str">
        <f>CONCATENATE("     ","Insurance                                         ")</f>
        <v xml:space="preserve">     Insurance                                         </v>
      </c>
      <c r="C99" s="11"/>
      <c r="D99" s="2">
        <f>SUM(OSRRefD22_12x_0)</f>
        <v>-1699.4</v>
      </c>
      <c r="E99" s="2"/>
      <c r="F99" s="5">
        <f t="shared" si="20"/>
        <v>-5.8308099600280399E-3</v>
      </c>
      <c r="G99" s="2"/>
      <c r="H99" s="2">
        <f>SUM(OSRRefH22_12x_0)</f>
        <v>5375</v>
      </c>
      <c r="I99" s="2"/>
      <c r="J99" s="5">
        <f t="shared" si="21"/>
        <v>1.8894454697249319E-2</v>
      </c>
      <c r="K99" s="2"/>
      <c r="L99" s="2">
        <f t="shared" si="22"/>
        <v>-7074.4</v>
      </c>
      <c r="M99" s="2"/>
      <c r="N99" s="5">
        <f t="shared" si="23"/>
        <v>-1.316167441860465</v>
      </c>
      <c r="O99" s="11"/>
      <c r="P99" s="2">
        <f>SUM(OSRRefP22_12x_0)</f>
        <v>58740.87</v>
      </c>
      <c r="Q99" s="2"/>
      <c r="R99" s="5">
        <f t="shared" si="24"/>
        <v>7.5205027165237198E-3</v>
      </c>
      <c r="S99" s="2"/>
      <c r="T99" s="2">
        <f>SUM(OSRRefT22_12x_0)</f>
        <v>64500</v>
      </c>
      <c r="U99" s="2"/>
      <c r="V99" s="5">
        <f t="shared" si="25"/>
        <v>7.2680830752037007E-3</v>
      </c>
      <c r="W99" s="2"/>
      <c r="X99" s="2">
        <f t="shared" si="26"/>
        <v>-5759.1299999999974</v>
      </c>
      <c r="Y99" s="2"/>
      <c r="Z99" s="5">
        <f t="shared" si="27"/>
        <v>-8.928883720930228E-2</v>
      </c>
    </row>
    <row r="100" spans="1:26" s="70" customFormat="1" ht="15" hidden="1" customHeight="1" outlineLevel="2" x14ac:dyDescent="0.3">
      <c r="A100" s="21"/>
      <c r="B100" s="9" t="str">
        <f>CONCATENATE("          ","6314"," - ","LIABILITY INSURANCE")</f>
        <v xml:space="preserve">          6314 - LIABILITY INSURANCE</v>
      </c>
      <c r="C100" s="9"/>
      <c r="D100" s="6">
        <v>-1699.4</v>
      </c>
      <c r="E100" s="3"/>
      <c r="F100" s="7">
        <f t="shared" si="20"/>
        <v>-5.8308099600280399E-3</v>
      </c>
      <c r="G100" s="3"/>
      <c r="H100" s="6">
        <v>5375</v>
      </c>
      <c r="I100" s="3"/>
      <c r="J100" s="7">
        <f t="shared" si="21"/>
        <v>1.8894454697249319E-2</v>
      </c>
      <c r="K100" s="3"/>
      <c r="L100" s="6">
        <f t="shared" si="22"/>
        <v>-7074.4</v>
      </c>
      <c r="M100" s="3"/>
      <c r="N100" s="7">
        <f t="shared" si="23"/>
        <v>-1.316167441860465</v>
      </c>
      <c r="O100" s="9"/>
      <c r="P100" s="6">
        <v>58740.87</v>
      </c>
      <c r="Q100" s="3"/>
      <c r="R100" s="7">
        <f t="shared" si="24"/>
        <v>7.5205027165237198E-3</v>
      </c>
      <c r="S100" s="3"/>
      <c r="T100" s="6">
        <v>64500</v>
      </c>
      <c r="U100" s="3"/>
      <c r="V100" s="7">
        <f t="shared" si="25"/>
        <v>7.2680830752037007E-3</v>
      </c>
      <c r="W100" s="3"/>
      <c r="X100" s="6">
        <f t="shared" si="26"/>
        <v>-5759.1299999999974</v>
      </c>
      <c r="Y100" s="3"/>
      <c r="Z100" s="7">
        <f t="shared" si="27"/>
        <v>-8.928883720930228E-2</v>
      </c>
    </row>
    <row r="101" spans="1:26" s="69" customFormat="1" ht="15" customHeight="1" outlineLevel="1" collapsed="1" x14ac:dyDescent="0.3">
      <c r="A101" s="20"/>
      <c r="B101" s="11" t="str">
        <f>CONCATENATE("     ","Inventory Adjustment                              ")</f>
        <v xml:space="preserve">     Inventory Adjustment                              </v>
      </c>
      <c r="C101" s="11"/>
      <c r="D101" s="2">
        <f>SUM(OSRRefD22_13x_0)</f>
        <v>-60100</v>
      </c>
      <c r="E101" s="2"/>
      <c r="F101" s="5">
        <f t="shared" si="20"/>
        <v>-0.20620906119670776</v>
      </c>
      <c r="G101" s="2"/>
      <c r="H101" s="2">
        <f>SUM(OSRRefH22_13x_0)</f>
        <v>19100</v>
      </c>
      <c r="I101" s="2"/>
      <c r="J101" s="5">
        <f t="shared" si="21"/>
        <v>6.7141225063713852E-2</v>
      </c>
      <c r="K101" s="2"/>
      <c r="L101" s="2">
        <f t="shared" si="22"/>
        <v>-79200</v>
      </c>
      <c r="M101" s="2"/>
      <c r="N101" s="5">
        <f t="shared" si="23"/>
        <v>-4.1465968586387438</v>
      </c>
      <c r="O101" s="11"/>
      <c r="P101" s="2">
        <f>SUM(OSRRefP22_13x_0)</f>
        <v>0</v>
      </c>
      <c r="Q101" s="2"/>
      <c r="R101" s="5">
        <f t="shared" si="24"/>
        <v>0</v>
      </c>
      <c r="S101" s="2"/>
      <c r="T101" s="2">
        <f>SUM(OSRRefT22_13x_0)</f>
        <v>79200</v>
      </c>
      <c r="U101" s="2"/>
      <c r="V101" s="5">
        <f t="shared" si="25"/>
        <v>8.9245299155989635E-3</v>
      </c>
      <c r="W101" s="2"/>
      <c r="X101" s="2">
        <f t="shared" si="26"/>
        <v>-79200</v>
      </c>
      <c r="Y101" s="2"/>
      <c r="Z101" s="5">
        <f t="shared" si="27"/>
        <v>-1</v>
      </c>
    </row>
    <row r="102" spans="1:26" s="70" customFormat="1" ht="15" hidden="1" customHeight="1" outlineLevel="2" x14ac:dyDescent="0.3">
      <c r="A102" s="21"/>
      <c r="B102" s="9" t="str">
        <f>CONCATENATE("          ","6408"," - ","INVENTORY ADJUSTMENT")</f>
        <v xml:space="preserve">          6408 - INVENTORY ADJUSTMENT</v>
      </c>
      <c r="C102" s="9"/>
      <c r="D102" s="6">
        <v>-60100</v>
      </c>
      <c r="E102" s="3"/>
      <c r="F102" s="7">
        <f t="shared" si="20"/>
        <v>-0.20620906119670776</v>
      </c>
      <c r="G102" s="3"/>
      <c r="H102" s="6">
        <v>19100</v>
      </c>
      <c r="I102" s="3"/>
      <c r="J102" s="7">
        <f t="shared" si="21"/>
        <v>6.7141225063713852E-2</v>
      </c>
      <c r="K102" s="3"/>
      <c r="L102" s="6">
        <f t="shared" si="22"/>
        <v>-79200</v>
      </c>
      <c r="M102" s="3"/>
      <c r="N102" s="7">
        <f t="shared" si="23"/>
        <v>-4.1465968586387438</v>
      </c>
      <c r="O102" s="9"/>
      <c r="P102" s="6">
        <v>0</v>
      </c>
      <c r="Q102" s="3"/>
      <c r="R102" s="7">
        <f t="shared" si="24"/>
        <v>0</v>
      </c>
      <c r="S102" s="3"/>
      <c r="T102" s="6">
        <v>79200</v>
      </c>
      <c r="U102" s="3"/>
      <c r="V102" s="7">
        <f t="shared" si="25"/>
        <v>8.9245299155989635E-3</v>
      </c>
      <c r="W102" s="3"/>
      <c r="X102" s="6">
        <f t="shared" si="26"/>
        <v>-79200</v>
      </c>
      <c r="Y102" s="3"/>
      <c r="Z102" s="7">
        <f t="shared" si="27"/>
        <v>-1</v>
      </c>
    </row>
    <row r="103" spans="1:26" s="69" customFormat="1" ht="15" customHeight="1" outlineLevel="1" collapsed="1" x14ac:dyDescent="0.3">
      <c r="A103" s="20"/>
      <c r="B103" s="11" t="str">
        <f>CONCATENATE("     ","Professional Services                             ")</f>
        <v xml:space="preserve">     Professional Services                             </v>
      </c>
      <c r="C103" s="11"/>
      <c r="D103" s="2">
        <f>SUM(OSRRefD22_14x_0)</f>
        <v>1551.33</v>
      </c>
      <c r="E103" s="2"/>
      <c r="F103" s="5">
        <f t="shared" si="20"/>
        <v>5.3227671032660337E-3</v>
      </c>
      <c r="G103" s="2"/>
      <c r="H103" s="2">
        <f>SUM(OSRRefH22_14x_0)</f>
        <v>0</v>
      </c>
      <c r="I103" s="2"/>
      <c r="J103" s="5">
        <f t="shared" si="21"/>
        <v>0</v>
      </c>
      <c r="K103" s="2"/>
      <c r="L103" s="2">
        <f t="shared" si="22"/>
        <v>1551.33</v>
      </c>
      <c r="M103" s="2"/>
      <c r="N103" s="5">
        <f t="shared" si="23"/>
        <v>0</v>
      </c>
      <c r="O103" s="11"/>
      <c r="P103" s="2">
        <f>SUM(OSRRefP22_14x_0)</f>
        <v>11177.86</v>
      </c>
      <c r="Q103" s="2"/>
      <c r="R103" s="5">
        <f t="shared" si="24"/>
        <v>1.4310841241357479E-3</v>
      </c>
      <c r="S103" s="2"/>
      <c r="T103" s="2">
        <f>SUM(OSRRefT22_14x_0)</f>
        <v>1750</v>
      </c>
      <c r="U103" s="2"/>
      <c r="V103" s="5">
        <f t="shared" si="25"/>
        <v>1.9719605242800737E-4</v>
      </c>
      <c r="W103" s="2"/>
      <c r="X103" s="2">
        <f t="shared" si="26"/>
        <v>9427.86</v>
      </c>
      <c r="Y103" s="2"/>
      <c r="Z103" s="5">
        <f t="shared" si="27"/>
        <v>5.3873485714285714</v>
      </c>
    </row>
    <row r="104" spans="1:26" s="70" customFormat="1" ht="15" hidden="1" customHeight="1" outlineLevel="2" x14ac:dyDescent="0.3">
      <c r="A104" s="21"/>
      <c r="B104" s="9" t="str">
        <f>CONCATENATE("          ","6336"," - ","PROFESSIONAL SERVICES")</f>
        <v xml:space="preserve">          6336 - PROFESSIONAL SERVICES</v>
      </c>
      <c r="C104" s="9"/>
      <c r="D104" s="6">
        <v>1551.33</v>
      </c>
      <c r="E104" s="3"/>
      <c r="F104" s="7">
        <f t="shared" si="20"/>
        <v>5.3227671032660337E-3</v>
      </c>
      <c r="G104" s="3"/>
      <c r="H104" s="6">
        <v>0</v>
      </c>
      <c r="I104" s="3"/>
      <c r="J104" s="7">
        <f t="shared" si="21"/>
        <v>0</v>
      </c>
      <c r="K104" s="3"/>
      <c r="L104" s="6">
        <f t="shared" si="22"/>
        <v>1551.33</v>
      </c>
      <c r="M104" s="3"/>
      <c r="N104" s="7">
        <f t="shared" si="23"/>
        <v>0</v>
      </c>
      <c r="O104" s="9"/>
      <c r="P104" s="6">
        <v>11177.86</v>
      </c>
      <c r="Q104" s="3"/>
      <c r="R104" s="7">
        <f t="shared" si="24"/>
        <v>1.4310841241357479E-3</v>
      </c>
      <c r="S104" s="3"/>
      <c r="T104" s="6">
        <v>1750</v>
      </c>
      <c r="U104" s="3"/>
      <c r="V104" s="7">
        <f t="shared" si="25"/>
        <v>1.9719605242800737E-4</v>
      </c>
      <c r="W104" s="3"/>
      <c r="X104" s="6">
        <f t="shared" si="26"/>
        <v>9427.86</v>
      </c>
      <c r="Y104" s="3"/>
      <c r="Z104" s="7">
        <f t="shared" si="27"/>
        <v>5.3873485714285714</v>
      </c>
    </row>
    <row r="105" spans="1:26" s="69" customFormat="1" ht="15" customHeight="1" outlineLevel="1" collapsed="1" x14ac:dyDescent="0.3">
      <c r="A105" s="20"/>
      <c r="B105" s="11" t="str">
        <f>CONCATENATE("     ","Rent                                              ")</f>
        <v xml:space="preserve">     Rent                                              </v>
      </c>
      <c r="C105" s="11"/>
      <c r="D105" s="2">
        <f>SUM(OSRRefD22_15x_0)</f>
        <v>6900</v>
      </c>
      <c r="E105" s="2"/>
      <c r="F105" s="5">
        <f t="shared" si="20"/>
        <v>2.3674584396959793E-2</v>
      </c>
      <c r="G105" s="2"/>
      <c r="H105" s="2">
        <f>SUM(OSRRefH22_15x_0)</f>
        <v>6100</v>
      </c>
      <c r="I105" s="2"/>
      <c r="J105" s="5">
        <f t="shared" si="21"/>
        <v>2.1443009051762017E-2</v>
      </c>
      <c r="K105" s="2"/>
      <c r="L105" s="2">
        <f t="shared" si="22"/>
        <v>800</v>
      </c>
      <c r="M105" s="2"/>
      <c r="N105" s="5">
        <f t="shared" si="23"/>
        <v>0.13114754098360656</v>
      </c>
      <c r="O105" s="11"/>
      <c r="P105" s="2">
        <f>SUM(OSRRefP22_15x_0)</f>
        <v>74000</v>
      </c>
      <c r="Q105" s="2"/>
      <c r="R105" s="5">
        <f t="shared" si="24"/>
        <v>9.4741055252119226E-3</v>
      </c>
      <c r="S105" s="2"/>
      <c r="T105" s="2">
        <f>SUM(OSRRefT22_15x_0)</f>
        <v>73200</v>
      </c>
      <c r="U105" s="2"/>
      <c r="V105" s="5">
        <f t="shared" si="25"/>
        <v>8.2484291644172227E-3</v>
      </c>
      <c r="W105" s="2"/>
      <c r="X105" s="2">
        <f t="shared" si="26"/>
        <v>800</v>
      </c>
      <c r="Y105" s="2"/>
      <c r="Z105" s="5">
        <f t="shared" si="27"/>
        <v>1.092896174863388E-2</v>
      </c>
    </row>
    <row r="106" spans="1:26" s="70" customFormat="1" ht="15" hidden="1" customHeight="1" outlineLevel="2" x14ac:dyDescent="0.3">
      <c r="A106" s="21"/>
      <c r="B106" s="9" t="str">
        <f>CONCATENATE("          ","6273"," - ","RENT")</f>
        <v xml:space="preserve">          6273 - RENT</v>
      </c>
      <c r="C106" s="9"/>
      <c r="D106" s="6">
        <v>6900</v>
      </c>
      <c r="E106" s="3"/>
      <c r="F106" s="7">
        <f t="shared" si="20"/>
        <v>2.3674584396959793E-2</v>
      </c>
      <c r="G106" s="3"/>
      <c r="H106" s="6">
        <v>6100</v>
      </c>
      <c r="I106" s="3"/>
      <c r="J106" s="7">
        <f t="shared" si="21"/>
        <v>2.1443009051762017E-2</v>
      </c>
      <c r="K106" s="3"/>
      <c r="L106" s="6">
        <f t="shared" si="22"/>
        <v>800</v>
      </c>
      <c r="M106" s="3"/>
      <c r="N106" s="7">
        <f t="shared" si="23"/>
        <v>0.13114754098360656</v>
      </c>
      <c r="O106" s="9"/>
      <c r="P106" s="6">
        <v>74000</v>
      </c>
      <c r="Q106" s="3"/>
      <c r="R106" s="7">
        <f t="shared" si="24"/>
        <v>9.4741055252119226E-3</v>
      </c>
      <c r="S106" s="3"/>
      <c r="T106" s="6">
        <v>73200</v>
      </c>
      <c r="U106" s="3"/>
      <c r="V106" s="7">
        <f t="shared" si="25"/>
        <v>8.2484291644172227E-3</v>
      </c>
      <c r="W106" s="3"/>
      <c r="X106" s="6">
        <f t="shared" si="26"/>
        <v>800</v>
      </c>
      <c r="Y106" s="3"/>
      <c r="Z106" s="7">
        <f t="shared" si="27"/>
        <v>1.092896174863388E-2</v>
      </c>
    </row>
    <row r="107" spans="1:26" s="69" customFormat="1" ht="15" customHeight="1" outlineLevel="1" collapsed="1" x14ac:dyDescent="0.3">
      <c r="A107" s="20"/>
      <c r="B107" s="11" t="str">
        <f>CONCATENATE("     ","Repair and Maintenance                            ")</f>
        <v xml:space="preserve">     Repair and Maintenance                            </v>
      </c>
      <c r="C107" s="11"/>
      <c r="D107" s="2">
        <f>SUM(OSRRefD22_16x_0)</f>
        <v>29969.57</v>
      </c>
      <c r="E107" s="2"/>
      <c r="F107" s="5">
        <f t="shared" si="20"/>
        <v>0.10282856729066583</v>
      </c>
      <c r="G107" s="2"/>
      <c r="H107" s="2">
        <f>SUM(OSRRefH22_16x_0)</f>
        <v>10745</v>
      </c>
      <c r="I107" s="2"/>
      <c r="J107" s="5">
        <f t="shared" si="21"/>
        <v>3.7771333157570967E-2</v>
      </c>
      <c r="K107" s="2"/>
      <c r="L107" s="2">
        <f t="shared" si="22"/>
        <v>19224.57</v>
      </c>
      <c r="M107" s="2"/>
      <c r="N107" s="5">
        <f t="shared" si="23"/>
        <v>1.78916426244765</v>
      </c>
      <c r="O107" s="11"/>
      <c r="P107" s="2">
        <f>SUM(OSRRefP22_16x_0)</f>
        <v>172539.96000000002</v>
      </c>
      <c r="Q107" s="2"/>
      <c r="R107" s="5">
        <f t="shared" si="24"/>
        <v>2.2090024166970867E-2</v>
      </c>
      <c r="S107" s="2"/>
      <c r="T107" s="2">
        <f>SUM(OSRRefT22_16x_0)</f>
        <v>179660</v>
      </c>
      <c r="U107" s="2"/>
      <c r="V107" s="5">
        <f t="shared" si="25"/>
        <v>2.0244710159551888E-2</v>
      </c>
      <c r="W107" s="2"/>
      <c r="X107" s="2">
        <f t="shared" si="26"/>
        <v>-7120.039999999979</v>
      </c>
      <c r="Y107" s="2"/>
      <c r="Z107" s="5">
        <f t="shared" si="27"/>
        <v>-3.9630635645107305E-2</v>
      </c>
    </row>
    <row r="108" spans="1:26" s="70" customFormat="1" ht="15" hidden="1" customHeight="1" outlineLevel="2" x14ac:dyDescent="0.3">
      <c r="A108" s="21"/>
      <c r="B108" s="9" t="str">
        <f>CONCATENATE("          ","6371"," - ","COMPUTER SOFTWARE MAINTENANCE")</f>
        <v xml:space="preserve">          6371 - COMPUTER SOFTWARE MAINTENANCE</v>
      </c>
      <c r="C108" s="9"/>
      <c r="D108" s="6"/>
      <c r="E108" s="3"/>
      <c r="F108" s="7">
        <f t="shared" si="20"/>
        <v>0</v>
      </c>
      <c r="G108" s="3"/>
      <c r="H108" s="6">
        <v>1000</v>
      </c>
      <c r="I108" s="3"/>
      <c r="J108" s="7">
        <f t="shared" si="21"/>
        <v>3.5152473855347569E-3</v>
      </c>
      <c r="K108" s="3"/>
      <c r="L108" s="6">
        <f t="shared" si="22"/>
        <v>-1000</v>
      </c>
      <c r="M108" s="3"/>
      <c r="N108" s="7">
        <f t="shared" si="23"/>
        <v>-1</v>
      </c>
      <c r="O108" s="9"/>
      <c r="P108" s="6">
        <v>62511</v>
      </c>
      <c r="Q108" s="3"/>
      <c r="R108" s="7">
        <f t="shared" si="24"/>
        <v>8.0031866281962492E-3</v>
      </c>
      <c r="S108" s="3"/>
      <c r="T108" s="6">
        <v>51100</v>
      </c>
      <c r="U108" s="3"/>
      <c r="V108" s="7">
        <f t="shared" si="25"/>
        <v>5.7581247308978152E-3</v>
      </c>
      <c r="W108" s="3"/>
      <c r="X108" s="6">
        <f t="shared" si="26"/>
        <v>11411</v>
      </c>
      <c r="Y108" s="3"/>
      <c r="Z108" s="7">
        <f t="shared" si="27"/>
        <v>0.22330724070450098</v>
      </c>
    </row>
    <row r="109" spans="1:26" s="70" customFormat="1" ht="15" hidden="1" customHeight="1" outlineLevel="2" x14ac:dyDescent="0.3">
      <c r="A109" s="21"/>
      <c r="B109" s="9" t="str">
        <f>CONCATENATE("          ","6372"," - ","COMPUTER HARDWARE MAINTENANCE")</f>
        <v xml:space="preserve">          6372 - COMPUTER HARDWARE MAINTENANCE</v>
      </c>
      <c r="C109" s="9"/>
      <c r="D109" s="6"/>
      <c r="E109" s="3"/>
      <c r="F109" s="7">
        <f t="shared" si="20"/>
        <v>0</v>
      </c>
      <c r="G109" s="3"/>
      <c r="H109" s="6">
        <v>3750</v>
      </c>
      <c r="I109" s="3"/>
      <c r="J109" s="7">
        <f t="shared" si="21"/>
        <v>1.3182177695755339E-2</v>
      </c>
      <c r="K109" s="3"/>
      <c r="L109" s="6">
        <f t="shared" si="22"/>
        <v>-3750</v>
      </c>
      <c r="M109" s="3"/>
      <c r="N109" s="7">
        <f t="shared" si="23"/>
        <v>-1</v>
      </c>
      <c r="O109" s="9"/>
      <c r="P109" s="6"/>
      <c r="Q109" s="3"/>
      <c r="R109" s="7">
        <f t="shared" si="24"/>
        <v>0</v>
      </c>
      <c r="S109" s="3"/>
      <c r="T109" s="6">
        <v>41620</v>
      </c>
      <c r="U109" s="3"/>
      <c r="V109" s="7">
        <f t="shared" si="25"/>
        <v>4.6898855440306673E-3</v>
      </c>
      <c r="W109" s="3"/>
      <c r="X109" s="6">
        <f t="shared" si="26"/>
        <v>-41620</v>
      </c>
      <c r="Y109" s="3"/>
      <c r="Z109" s="7">
        <f t="shared" si="27"/>
        <v>-1</v>
      </c>
    </row>
    <row r="110" spans="1:26" s="70" customFormat="1" ht="15" hidden="1" customHeight="1" outlineLevel="2" x14ac:dyDescent="0.3">
      <c r="A110" s="21"/>
      <c r="B110" s="9" t="str">
        <f>CONCATENATE("          ","6373"," - ","MAINTENANCE CONTRACTS")</f>
        <v xml:space="preserve">          6373 - MAINTENANCE CONTRACTS</v>
      </c>
      <c r="C110" s="9"/>
      <c r="D110" s="6">
        <v>4242.3999999999996</v>
      </c>
      <c r="E110" s="3"/>
      <c r="F110" s="7">
        <f t="shared" si="20"/>
        <v>1.4556095195023509E-2</v>
      </c>
      <c r="G110" s="3"/>
      <c r="H110" s="6">
        <v>5955</v>
      </c>
      <c r="I110" s="3"/>
      <c r="J110" s="7">
        <f t="shared" si="21"/>
        <v>2.093329818085948E-2</v>
      </c>
      <c r="K110" s="3"/>
      <c r="L110" s="6">
        <f t="shared" si="22"/>
        <v>-1712.6000000000004</v>
      </c>
      <c r="M110" s="3"/>
      <c r="N110" s="7">
        <f t="shared" si="23"/>
        <v>-0.28759026028547446</v>
      </c>
      <c r="O110" s="9"/>
      <c r="P110" s="6">
        <v>28262.89</v>
      </c>
      <c r="Q110" s="3"/>
      <c r="R110" s="7">
        <f t="shared" si="24"/>
        <v>3.6184540852359022E-3</v>
      </c>
      <c r="S110" s="3"/>
      <c r="T110" s="6">
        <v>85960</v>
      </c>
      <c r="U110" s="3"/>
      <c r="V110" s="7">
        <f t="shared" si="25"/>
        <v>9.6862700952637226E-3</v>
      </c>
      <c r="W110" s="3"/>
      <c r="X110" s="6">
        <f t="shared" si="26"/>
        <v>-57697.11</v>
      </c>
      <c r="Y110" s="3"/>
      <c r="Z110" s="7">
        <f t="shared" si="27"/>
        <v>-0.67120881805490928</v>
      </c>
    </row>
    <row r="111" spans="1:26" s="70" customFormat="1" ht="15" hidden="1" customHeight="1" outlineLevel="2" x14ac:dyDescent="0.3">
      <c r="A111" s="21"/>
      <c r="B111" s="9" t="str">
        <f>CONCATENATE("          ","6375"," - ","OUTSIDE REPAIRS &amp; MAINTENANCE")</f>
        <v xml:space="preserve">          6375 - OUTSIDE REPAIRS &amp; MAINTENANCE</v>
      </c>
      <c r="C111" s="9"/>
      <c r="D111" s="6">
        <v>25727.17</v>
      </c>
      <c r="E111" s="3"/>
      <c r="F111" s="7">
        <f t="shared" si="20"/>
        <v>8.8272472095642318E-2</v>
      </c>
      <c r="G111" s="3"/>
      <c r="H111" s="6">
        <v>40</v>
      </c>
      <c r="I111" s="3"/>
      <c r="J111" s="7">
        <f t="shared" si="21"/>
        <v>1.4060989542139028E-4</v>
      </c>
      <c r="K111" s="3"/>
      <c r="L111" s="6">
        <f t="shared" si="22"/>
        <v>25687.17</v>
      </c>
      <c r="M111" s="3"/>
      <c r="N111" s="7">
        <f t="shared" si="23"/>
        <v>642.17924999999991</v>
      </c>
      <c r="O111" s="9"/>
      <c r="P111" s="6">
        <v>81766.070000000007</v>
      </c>
      <c r="Q111" s="3"/>
      <c r="R111" s="7">
        <f t="shared" si="24"/>
        <v>1.0468383453538715E-2</v>
      </c>
      <c r="S111" s="3"/>
      <c r="T111" s="6">
        <v>980</v>
      </c>
      <c r="U111" s="3"/>
      <c r="V111" s="7">
        <f t="shared" si="25"/>
        <v>1.1042978935968414E-4</v>
      </c>
      <c r="W111" s="3"/>
      <c r="X111" s="6">
        <f t="shared" si="26"/>
        <v>80786.070000000007</v>
      </c>
      <c r="Y111" s="3"/>
      <c r="Z111" s="7">
        <f t="shared" si="27"/>
        <v>82.434765306122458</v>
      </c>
    </row>
    <row r="112" spans="1:26" s="69" customFormat="1" ht="15" customHeight="1" outlineLevel="1" collapsed="1" x14ac:dyDescent="0.3">
      <c r="A112" s="20"/>
      <c r="B112" s="11" t="str">
        <f>CONCATENATE("     ","Royalty &amp; Commissions                             ")</f>
        <v xml:space="preserve">     Royalty &amp; Commissions                             </v>
      </c>
      <c r="C112" s="11"/>
      <c r="D112" s="2">
        <f>SUM(OSRRefD22_17x_0)</f>
        <v>503.53</v>
      </c>
      <c r="E112" s="2"/>
      <c r="F112" s="5">
        <f t="shared" si="20"/>
        <v>1.7276613741161106E-3</v>
      </c>
      <c r="G112" s="2"/>
      <c r="H112" s="2">
        <f>SUM(OSRRefH22_17x_0)</f>
        <v>9822</v>
      </c>
      <c r="I112" s="2"/>
      <c r="J112" s="5">
        <f t="shared" si="21"/>
        <v>3.4526759820722383E-2</v>
      </c>
      <c r="K112" s="2"/>
      <c r="L112" s="2">
        <f t="shared" si="22"/>
        <v>-9318.4699999999993</v>
      </c>
      <c r="M112" s="2"/>
      <c r="N112" s="5">
        <f t="shared" si="23"/>
        <v>-0.94873447363062502</v>
      </c>
      <c r="O112" s="11"/>
      <c r="P112" s="2">
        <f>SUM(OSRRefP22_17x_0)</f>
        <v>85971</v>
      </c>
      <c r="Q112" s="2"/>
      <c r="R112" s="5">
        <f t="shared" si="24"/>
        <v>1.1006734136594516E-2</v>
      </c>
      <c r="S112" s="2"/>
      <c r="T112" s="2">
        <f>SUM(OSRRefT22_17x_0)</f>
        <v>109010</v>
      </c>
      <c r="U112" s="2"/>
      <c r="V112" s="5">
        <f t="shared" si="25"/>
        <v>1.2283623814386906E-2</v>
      </c>
      <c r="W112" s="2"/>
      <c r="X112" s="2">
        <f t="shared" si="26"/>
        <v>-23039</v>
      </c>
      <c r="Y112" s="2"/>
      <c r="Z112" s="5">
        <f t="shared" si="27"/>
        <v>-0.21134758279056967</v>
      </c>
    </row>
    <row r="113" spans="1:26" s="70" customFormat="1" ht="15" hidden="1" customHeight="1" outlineLevel="2" x14ac:dyDescent="0.3">
      <c r="A113" s="21"/>
      <c r="B113" s="9" t="str">
        <f>CONCATENATE("          ","6252"," - ","ROYALTY DUE CSTV")</f>
        <v xml:space="preserve">          6252 - ROYALTY DUE CSTV</v>
      </c>
      <c r="C113" s="9"/>
      <c r="D113" s="6"/>
      <c r="E113" s="3"/>
      <c r="F113" s="7">
        <f t="shared" si="20"/>
        <v>0</v>
      </c>
      <c r="G113" s="3"/>
      <c r="H113" s="6">
        <v>3322</v>
      </c>
      <c r="I113" s="3"/>
      <c r="J113" s="7">
        <f t="shared" si="21"/>
        <v>1.1677651814746462E-2</v>
      </c>
      <c r="K113" s="3"/>
      <c r="L113" s="6">
        <f t="shared" si="22"/>
        <v>-3322</v>
      </c>
      <c r="M113" s="3"/>
      <c r="N113" s="7">
        <f t="shared" si="23"/>
        <v>-1</v>
      </c>
      <c r="O113" s="9"/>
      <c r="P113" s="6"/>
      <c r="Q113" s="3"/>
      <c r="R113" s="7">
        <f t="shared" si="24"/>
        <v>0</v>
      </c>
      <c r="S113" s="3"/>
      <c r="T113" s="6">
        <v>19008</v>
      </c>
      <c r="U113" s="3"/>
      <c r="V113" s="7">
        <f t="shared" si="25"/>
        <v>2.141887179743751E-3</v>
      </c>
      <c r="W113" s="3"/>
      <c r="X113" s="6">
        <f t="shared" si="26"/>
        <v>-19008</v>
      </c>
      <c r="Y113" s="3"/>
      <c r="Z113" s="7">
        <f t="shared" si="27"/>
        <v>-1</v>
      </c>
    </row>
    <row r="114" spans="1:26" s="70" customFormat="1" ht="15" hidden="1" customHeight="1" outlineLevel="2" x14ac:dyDescent="0.3">
      <c r="A114" s="21"/>
      <c r="B114" s="9" t="str">
        <f>CONCATENATE("          ","6253"," - ","ROYALTY DUE ATHLETICS-LRG")</f>
        <v xml:space="preserve">          6253 - ROYALTY DUE ATHLETICS-LRG</v>
      </c>
      <c r="C114" s="9"/>
      <c r="D114" s="6"/>
      <c r="E114" s="3"/>
      <c r="F114" s="7">
        <f t="shared" si="20"/>
        <v>0</v>
      </c>
      <c r="G114" s="3"/>
      <c r="H114" s="6">
        <v>0</v>
      </c>
      <c r="I114" s="3"/>
      <c r="J114" s="7">
        <f t="shared" si="21"/>
        <v>0</v>
      </c>
      <c r="K114" s="3"/>
      <c r="L114" s="6">
        <f t="shared" si="22"/>
        <v>0</v>
      </c>
      <c r="M114" s="3"/>
      <c r="N114" s="7">
        <f t="shared" si="23"/>
        <v>0</v>
      </c>
      <c r="O114" s="9"/>
      <c r="P114" s="6">
        <v>51456.52</v>
      </c>
      <c r="Q114" s="3"/>
      <c r="R114" s="7">
        <f t="shared" si="24"/>
        <v>6.5878986545969964E-3</v>
      </c>
      <c r="S114" s="3"/>
      <c r="T114" s="6">
        <v>38502</v>
      </c>
      <c r="U114" s="3"/>
      <c r="V114" s="7">
        <f t="shared" si="25"/>
        <v>4.338538520333223E-3</v>
      </c>
      <c r="W114" s="3"/>
      <c r="X114" s="6">
        <f t="shared" si="26"/>
        <v>12954.519999999997</v>
      </c>
      <c r="Y114" s="3"/>
      <c r="Z114" s="7">
        <f t="shared" si="27"/>
        <v>0.33646356033452801</v>
      </c>
    </row>
    <row r="115" spans="1:26" s="70" customFormat="1" ht="15" hidden="1" customHeight="1" outlineLevel="2" x14ac:dyDescent="0.3">
      <c r="A115" s="21"/>
      <c r="B115" s="9" t="str">
        <f>CONCATENATE("          ","6254"," - ","ROYALTY &amp; COMMISSIONS")</f>
        <v xml:space="preserve">          6254 - ROYALTY &amp; COMMISSIONS</v>
      </c>
      <c r="C115" s="9"/>
      <c r="D115" s="6">
        <v>108</v>
      </c>
      <c r="E115" s="3"/>
      <c r="F115" s="7">
        <f t="shared" si="20"/>
        <v>3.7055871230024022E-4</v>
      </c>
      <c r="G115" s="3"/>
      <c r="H115" s="6">
        <v>0</v>
      </c>
      <c r="I115" s="3"/>
      <c r="J115" s="7">
        <f t="shared" si="21"/>
        <v>0</v>
      </c>
      <c r="K115" s="3"/>
      <c r="L115" s="6">
        <f t="shared" si="22"/>
        <v>108</v>
      </c>
      <c r="M115" s="3"/>
      <c r="N115" s="7">
        <f t="shared" si="23"/>
        <v>0</v>
      </c>
      <c r="O115" s="9"/>
      <c r="P115" s="6">
        <v>20807.490000000002</v>
      </c>
      <c r="Q115" s="3"/>
      <c r="R115" s="7">
        <f t="shared" si="24"/>
        <v>2.663950756416106E-3</v>
      </c>
      <c r="S115" s="3"/>
      <c r="T115" s="6">
        <v>4500</v>
      </c>
      <c r="U115" s="3"/>
      <c r="V115" s="7">
        <f t="shared" si="25"/>
        <v>5.0707556338630468E-4</v>
      </c>
      <c r="W115" s="3"/>
      <c r="X115" s="6">
        <f t="shared" si="26"/>
        <v>16307.490000000002</v>
      </c>
      <c r="Y115" s="3"/>
      <c r="Z115" s="7">
        <f t="shared" si="27"/>
        <v>3.6238866666666669</v>
      </c>
    </row>
    <row r="116" spans="1:26" s="70" customFormat="1" ht="15" hidden="1" customHeight="1" outlineLevel="2" x14ac:dyDescent="0.3">
      <c r="A116" s="21"/>
      <c r="B116" s="9" t="str">
        <f>CONCATENATE("          ","6259"," - ","ROYALTY &amp; COMMISSIONS")</f>
        <v xml:space="preserve">          6259 - ROYALTY &amp; COMMISSIONS</v>
      </c>
      <c r="C116" s="9"/>
      <c r="D116" s="6">
        <v>395.53</v>
      </c>
      <c r="E116" s="3"/>
      <c r="F116" s="7">
        <f t="shared" ref="F116:F142" si="28">IF(D$12=0,0,D116/D$12)</f>
        <v>1.3571026618158703E-3</v>
      </c>
      <c r="G116" s="3"/>
      <c r="H116" s="6">
        <v>6500</v>
      </c>
      <c r="I116" s="3"/>
      <c r="J116" s="7">
        <f t="shared" ref="J116:J142" si="29">IF(H$12=0,0,H116/H$12)</f>
        <v>2.2849108005975921E-2</v>
      </c>
      <c r="K116" s="3"/>
      <c r="L116" s="6">
        <f t="shared" ref="L116:L142" si="30">+D116-H116</f>
        <v>-6104.47</v>
      </c>
      <c r="M116" s="3"/>
      <c r="N116" s="7">
        <f t="shared" ref="N116:N142" si="31">IF(H116=0,0,L116/H116)</f>
        <v>-0.93914923076923085</v>
      </c>
      <c r="O116" s="9"/>
      <c r="P116" s="6">
        <v>13706.99</v>
      </c>
      <c r="Q116" s="3"/>
      <c r="R116" s="7">
        <f t="shared" ref="R116:R142" si="32">IF(P$12=0,0,P116/P$12)</f>
        <v>1.7548847255814131E-3</v>
      </c>
      <c r="S116" s="3"/>
      <c r="T116" s="6">
        <v>47000</v>
      </c>
      <c r="U116" s="3"/>
      <c r="V116" s="7">
        <f t="shared" ref="V116:V142" si="33">IF(T$12=0,0,T116/T$12)</f>
        <v>5.2961225509236265E-3</v>
      </c>
      <c r="W116" s="3"/>
      <c r="X116" s="6">
        <f t="shared" ref="X116:X142" si="34">+P116-T116</f>
        <v>-33293.01</v>
      </c>
      <c r="Y116" s="3"/>
      <c r="Z116" s="7">
        <f t="shared" ref="Z116:Z142" si="35">IF(T116=0,0,X116/T116)</f>
        <v>-0.70836191489361711</v>
      </c>
    </row>
    <row r="117" spans="1:26" s="69" customFormat="1" ht="15" customHeight="1" outlineLevel="1" collapsed="1" x14ac:dyDescent="0.3">
      <c r="A117" s="20"/>
      <c r="B117" s="11" t="str">
        <f>CONCATENATE("     ","Services                                          ")</f>
        <v xml:space="preserve">     Services                                          </v>
      </c>
      <c r="C117" s="11"/>
      <c r="D117" s="2">
        <f>SUM(OSRRefD22_18x_0)</f>
        <v>8646.16</v>
      </c>
      <c r="E117" s="2"/>
      <c r="F117" s="5">
        <f t="shared" si="28"/>
        <v>2.9665832555017084E-2</v>
      </c>
      <c r="G117" s="2"/>
      <c r="H117" s="2">
        <f>SUM(OSRRefH22_18x_0)</f>
        <v>4420</v>
      </c>
      <c r="I117" s="2"/>
      <c r="J117" s="5">
        <f t="shared" si="29"/>
        <v>1.5537393444063626E-2</v>
      </c>
      <c r="K117" s="2"/>
      <c r="L117" s="2">
        <f t="shared" si="30"/>
        <v>4226.16</v>
      </c>
      <c r="M117" s="2"/>
      <c r="N117" s="5">
        <f t="shared" si="31"/>
        <v>0.95614479638009042</v>
      </c>
      <c r="O117" s="11"/>
      <c r="P117" s="2">
        <f>SUM(OSRRefP22_18x_0)</f>
        <v>70241.070000000007</v>
      </c>
      <c r="Q117" s="2"/>
      <c r="R117" s="5">
        <f t="shared" si="32"/>
        <v>8.9928555322134791E-3</v>
      </c>
      <c r="S117" s="2"/>
      <c r="T117" s="2">
        <f>SUM(OSRRefT22_18x_0)</f>
        <v>52560</v>
      </c>
      <c r="U117" s="2"/>
      <c r="V117" s="5">
        <f t="shared" si="33"/>
        <v>5.9226425803520387E-3</v>
      </c>
      <c r="W117" s="2"/>
      <c r="X117" s="2">
        <f t="shared" si="34"/>
        <v>17681.070000000007</v>
      </c>
      <c r="Y117" s="2"/>
      <c r="Z117" s="5">
        <f t="shared" si="35"/>
        <v>0.33639783105022847</v>
      </c>
    </row>
    <row r="118" spans="1:26" s="70" customFormat="1" ht="15" hidden="1" customHeight="1" outlineLevel="2" x14ac:dyDescent="0.3">
      <c r="A118" s="21"/>
      <c r="B118" s="9" t="str">
        <f>CONCATENATE("          ","6282"," - ","JANITORIAL/EXTERMINATOR EXPENS")</f>
        <v xml:space="preserve">          6282 - JANITORIAL/EXTERMINATOR EXPENS</v>
      </c>
      <c r="C118" s="9"/>
      <c r="D118" s="6">
        <v>350.3</v>
      </c>
      <c r="E118" s="3"/>
      <c r="F118" s="7">
        <f t="shared" si="28"/>
        <v>1.201914045544205E-3</v>
      </c>
      <c r="G118" s="3"/>
      <c r="H118" s="6">
        <v>4300</v>
      </c>
      <c r="I118" s="3"/>
      <c r="J118" s="7">
        <f t="shared" si="29"/>
        <v>1.5115563757799455E-2</v>
      </c>
      <c r="K118" s="3"/>
      <c r="L118" s="6">
        <f t="shared" si="30"/>
        <v>-3949.7</v>
      </c>
      <c r="M118" s="3"/>
      <c r="N118" s="7">
        <f t="shared" si="31"/>
        <v>-0.91853488372093017</v>
      </c>
      <c r="O118" s="9"/>
      <c r="P118" s="6">
        <v>3549.63</v>
      </c>
      <c r="Q118" s="3"/>
      <c r="R118" s="7">
        <f t="shared" si="32"/>
        <v>4.5445363777645942E-4</v>
      </c>
      <c r="S118" s="3"/>
      <c r="T118" s="6">
        <v>51600</v>
      </c>
      <c r="U118" s="3"/>
      <c r="V118" s="7">
        <f t="shared" si="33"/>
        <v>5.8144664601629606E-3</v>
      </c>
      <c r="W118" s="3"/>
      <c r="X118" s="6">
        <f t="shared" si="34"/>
        <v>-48050.37</v>
      </c>
      <c r="Y118" s="3"/>
      <c r="Z118" s="7">
        <f t="shared" si="35"/>
        <v>-0.93120872093023266</v>
      </c>
    </row>
    <row r="119" spans="1:26" s="70" customFormat="1" ht="15" hidden="1" customHeight="1" outlineLevel="2" x14ac:dyDescent="0.3">
      <c r="A119" s="21"/>
      <c r="B119" s="9" t="str">
        <f>CONCATENATE("          ","6284"," - ","TRASH REMOVAL EXPENSE")</f>
        <v xml:space="preserve">          6284 - TRASH REMOVAL EXPENSE</v>
      </c>
      <c r="C119" s="9"/>
      <c r="D119" s="6">
        <v>149.69999999999999</v>
      </c>
      <c r="E119" s="3"/>
      <c r="F119" s="7">
        <f t="shared" si="28"/>
        <v>5.1363554843838848E-4</v>
      </c>
      <c r="G119" s="3"/>
      <c r="H119" s="6">
        <v>120</v>
      </c>
      <c r="I119" s="3"/>
      <c r="J119" s="7">
        <f t="shared" si="29"/>
        <v>4.2182968626417085E-4</v>
      </c>
      <c r="K119" s="3"/>
      <c r="L119" s="6">
        <f t="shared" si="30"/>
        <v>29.699999999999989</v>
      </c>
      <c r="M119" s="3"/>
      <c r="N119" s="7">
        <f t="shared" si="31"/>
        <v>0.24749999999999991</v>
      </c>
      <c r="O119" s="9"/>
      <c r="P119" s="6">
        <v>1639.57</v>
      </c>
      <c r="Q119" s="3"/>
      <c r="R119" s="7">
        <f t="shared" si="32"/>
        <v>2.0991161075637447E-4</v>
      </c>
      <c r="S119" s="3"/>
      <c r="T119" s="6">
        <v>960</v>
      </c>
      <c r="U119" s="3"/>
      <c r="V119" s="7">
        <f t="shared" si="33"/>
        <v>1.0817612018907834E-4</v>
      </c>
      <c r="W119" s="3"/>
      <c r="X119" s="6">
        <f t="shared" si="34"/>
        <v>679.56999999999994</v>
      </c>
      <c r="Y119" s="3"/>
      <c r="Z119" s="7">
        <f t="shared" si="35"/>
        <v>0.7078854166666666</v>
      </c>
    </row>
    <row r="120" spans="1:26" s="70" customFormat="1" ht="15" hidden="1" customHeight="1" outlineLevel="2" x14ac:dyDescent="0.3">
      <c r="A120" s="21"/>
      <c r="B120" s="9" t="str">
        <f>CONCATENATE("          ","6285"," - ","JANITORIAL SERVICES")</f>
        <v xml:space="preserve">          6285 - JANITORIAL SERVICES</v>
      </c>
      <c r="C120" s="9"/>
      <c r="D120" s="6">
        <v>8146.16</v>
      </c>
      <c r="E120" s="3"/>
      <c r="F120" s="7">
        <f t="shared" si="28"/>
        <v>2.7950282961034488E-2</v>
      </c>
      <c r="G120" s="3"/>
      <c r="H120" s="6"/>
      <c r="I120" s="3"/>
      <c r="J120" s="7">
        <f t="shared" si="29"/>
        <v>0</v>
      </c>
      <c r="K120" s="3"/>
      <c r="L120" s="6">
        <f t="shared" si="30"/>
        <v>8146.16</v>
      </c>
      <c r="M120" s="3"/>
      <c r="N120" s="7">
        <f t="shared" si="31"/>
        <v>0</v>
      </c>
      <c r="O120" s="9"/>
      <c r="P120" s="6">
        <v>65051.87</v>
      </c>
      <c r="Q120" s="3"/>
      <c r="R120" s="7">
        <f t="shared" si="32"/>
        <v>8.3284902836806441E-3</v>
      </c>
      <c r="S120" s="3"/>
      <c r="T120" s="6"/>
      <c r="U120" s="3"/>
      <c r="V120" s="7">
        <f t="shared" si="33"/>
        <v>0</v>
      </c>
      <c r="W120" s="3"/>
      <c r="X120" s="6">
        <f t="shared" si="34"/>
        <v>65051.87</v>
      </c>
      <c r="Y120" s="3"/>
      <c r="Z120" s="7">
        <f t="shared" si="35"/>
        <v>0</v>
      </c>
    </row>
    <row r="121" spans="1:26" s="69" customFormat="1" ht="15" customHeight="1" outlineLevel="1" collapsed="1" x14ac:dyDescent="0.3">
      <c r="A121" s="20"/>
      <c r="B121" s="11" t="str">
        <f>CONCATENATE("     ","Subscriptions &amp; Dues                              ")</f>
        <v xml:space="preserve">     Subscriptions &amp; Dues                              </v>
      </c>
      <c r="C121" s="11"/>
      <c r="D121" s="2">
        <f>SUM(OSRRefD22_19x_0)</f>
        <v>272.35000000000002</v>
      </c>
      <c r="E121" s="2"/>
      <c r="F121" s="5">
        <f t="shared" si="28"/>
        <v>9.3445986384231886E-4</v>
      </c>
      <c r="G121" s="2"/>
      <c r="H121" s="2">
        <f>SUM(OSRRefH22_19x_0)</f>
        <v>661</v>
      </c>
      <c r="I121" s="2"/>
      <c r="J121" s="5">
        <f t="shared" si="29"/>
        <v>2.3235785218384745E-3</v>
      </c>
      <c r="K121" s="2"/>
      <c r="L121" s="2">
        <f t="shared" si="30"/>
        <v>-388.65</v>
      </c>
      <c r="M121" s="2"/>
      <c r="N121" s="5">
        <f t="shared" si="31"/>
        <v>-0.58797276853252645</v>
      </c>
      <c r="O121" s="11"/>
      <c r="P121" s="2">
        <f>SUM(OSRRefP22_19x_0)</f>
        <v>7455.8799999999992</v>
      </c>
      <c r="Q121" s="2"/>
      <c r="R121" s="5">
        <f t="shared" si="32"/>
        <v>9.5456478247725755E-4</v>
      </c>
      <c r="S121" s="2"/>
      <c r="T121" s="2">
        <f>SUM(OSRRefT22_19x_0)</f>
        <v>13547</v>
      </c>
      <c r="U121" s="2"/>
      <c r="V121" s="5">
        <f t="shared" si="33"/>
        <v>1.5265228127098378E-3</v>
      </c>
      <c r="W121" s="2"/>
      <c r="X121" s="2">
        <f t="shared" si="34"/>
        <v>-6091.1200000000008</v>
      </c>
      <c r="Y121" s="2"/>
      <c r="Z121" s="5">
        <f t="shared" si="35"/>
        <v>-0.44962870008119887</v>
      </c>
    </row>
    <row r="122" spans="1:26" s="70" customFormat="1" ht="15" hidden="1" customHeight="1" outlineLevel="2" x14ac:dyDescent="0.3">
      <c r="A122" s="21"/>
      <c r="B122" s="9" t="str">
        <f>CONCATENATE("          ","6258"," - ","MEMBERSHIP DUES")</f>
        <v xml:space="preserve">          6258 - MEMBERSHIP DUES</v>
      </c>
      <c r="C122" s="9"/>
      <c r="D122" s="6">
        <v>272.35000000000002</v>
      </c>
      <c r="E122" s="3"/>
      <c r="F122" s="7">
        <f t="shared" si="28"/>
        <v>9.3445986384231886E-4</v>
      </c>
      <c r="G122" s="3"/>
      <c r="H122" s="6">
        <v>500</v>
      </c>
      <c r="I122" s="3"/>
      <c r="J122" s="7">
        <f t="shared" si="29"/>
        <v>1.7576236927673784E-3</v>
      </c>
      <c r="K122" s="3"/>
      <c r="L122" s="6">
        <f t="shared" si="30"/>
        <v>-227.64999999999998</v>
      </c>
      <c r="M122" s="3"/>
      <c r="N122" s="7">
        <f t="shared" si="31"/>
        <v>-0.45529999999999993</v>
      </c>
      <c r="O122" s="9"/>
      <c r="P122" s="6">
        <v>4104.49</v>
      </c>
      <c r="Q122" s="3"/>
      <c r="R122" s="7">
        <f t="shared" si="32"/>
        <v>5.2549150523212274E-4</v>
      </c>
      <c r="S122" s="3"/>
      <c r="T122" s="6">
        <v>10195</v>
      </c>
      <c r="U122" s="3"/>
      <c r="V122" s="7">
        <f t="shared" si="33"/>
        <v>1.1488078597163059E-3</v>
      </c>
      <c r="W122" s="3"/>
      <c r="X122" s="6">
        <f t="shared" si="34"/>
        <v>-6090.51</v>
      </c>
      <c r="Y122" s="3"/>
      <c r="Z122" s="7">
        <f t="shared" si="35"/>
        <v>-0.59740166748406087</v>
      </c>
    </row>
    <row r="123" spans="1:26" s="70" customFormat="1" ht="15" hidden="1" customHeight="1" outlineLevel="2" x14ac:dyDescent="0.3">
      <c r="A123" s="21"/>
      <c r="B123" s="9" t="str">
        <f>CONCATENATE("          ","6275"," - ","SUBSCRIPTIONS")</f>
        <v xml:space="preserve">          6275 - SUBSCRIPTIONS</v>
      </c>
      <c r="C123" s="9"/>
      <c r="D123" s="6"/>
      <c r="E123" s="3"/>
      <c r="F123" s="7">
        <f t="shared" si="28"/>
        <v>0</v>
      </c>
      <c r="G123" s="3"/>
      <c r="H123" s="6">
        <v>161</v>
      </c>
      <c r="I123" s="3"/>
      <c r="J123" s="7">
        <f t="shared" si="29"/>
        <v>5.6595482907109587E-4</v>
      </c>
      <c r="K123" s="3"/>
      <c r="L123" s="6">
        <f t="shared" si="30"/>
        <v>-161</v>
      </c>
      <c r="M123" s="3"/>
      <c r="N123" s="7">
        <f t="shared" si="31"/>
        <v>-1</v>
      </c>
      <c r="O123" s="9"/>
      <c r="P123" s="6">
        <v>3351.39</v>
      </c>
      <c r="Q123" s="3"/>
      <c r="R123" s="7">
        <f t="shared" si="32"/>
        <v>4.2907327724513487E-4</v>
      </c>
      <c r="S123" s="3"/>
      <c r="T123" s="6">
        <v>3352</v>
      </c>
      <c r="U123" s="3"/>
      <c r="V123" s="7">
        <f t="shared" si="33"/>
        <v>3.7771495299353188E-4</v>
      </c>
      <c r="W123" s="3"/>
      <c r="X123" s="6">
        <f t="shared" si="34"/>
        <v>-0.61000000000012733</v>
      </c>
      <c r="Y123" s="3"/>
      <c r="Z123" s="7">
        <f t="shared" si="35"/>
        <v>-1.8198090692127903E-4</v>
      </c>
    </row>
    <row r="124" spans="1:26" s="69" customFormat="1" ht="15" customHeight="1" outlineLevel="1" collapsed="1" x14ac:dyDescent="0.3">
      <c r="A124" s="20"/>
      <c r="B124" s="11" t="str">
        <f>CONCATENATE("     ","Supplies                                          ")</f>
        <v xml:space="preserve">     Supplies                                          </v>
      </c>
      <c r="C124" s="11"/>
      <c r="D124" s="2">
        <f>SUM(OSRRefD22_20x_0)</f>
        <v>35844.949999999997</v>
      </c>
      <c r="E124" s="2"/>
      <c r="F124" s="5">
        <f t="shared" si="28"/>
        <v>0.12298757883765273</v>
      </c>
      <c r="G124" s="2"/>
      <c r="H124" s="2">
        <f>SUM(OSRRefH22_20x_0)</f>
        <v>7630</v>
      </c>
      <c r="I124" s="2"/>
      <c r="J124" s="5">
        <f t="shared" si="29"/>
        <v>2.6821337551630197E-2</v>
      </c>
      <c r="K124" s="2"/>
      <c r="L124" s="2">
        <f t="shared" si="30"/>
        <v>28214.949999999997</v>
      </c>
      <c r="M124" s="2"/>
      <c r="N124" s="5">
        <f t="shared" si="31"/>
        <v>3.6978964613368279</v>
      </c>
      <c r="O124" s="11"/>
      <c r="P124" s="2">
        <f>SUM(OSRRefP22_20x_0)</f>
        <v>151922.52000000002</v>
      </c>
      <c r="Q124" s="2"/>
      <c r="R124" s="5">
        <f t="shared" si="32"/>
        <v>1.9450405218055661E-2</v>
      </c>
      <c r="S124" s="2"/>
      <c r="T124" s="2">
        <f>SUM(OSRRefT22_20x_0)</f>
        <v>129980</v>
      </c>
      <c r="U124" s="2"/>
      <c r="V124" s="5">
        <f t="shared" si="33"/>
        <v>1.4646595939767085E-2</v>
      </c>
      <c r="W124" s="2"/>
      <c r="X124" s="2">
        <f t="shared" si="34"/>
        <v>21942.520000000019</v>
      </c>
      <c r="Y124" s="2"/>
      <c r="Z124" s="5">
        <f t="shared" si="35"/>
        <v>0.168814586859517</v>
      </c>
    </row>
    <row r="125" spans="1:26" s="70" customFormat="1" ht="15" hidden="1" customHeight="1" outlineLevel="2" x14ac:dyDescent="0.3">
      <c r="A125" s="21"/>
      <c r="B125" s="9" t="str">
        <f>CONCATENATE("          ","6234"," - ","EXPENDABLE SUPPLIES &amp; EQUIPMEN")</f>
        <v xml:space="preserve">          6234 - EXPENDABLE SUPPLIES &amp; EQUIPMEN</v>
      </c>
      <c r="C125" s="9"/>
      <c r="D125" s="6"/>
      <c r="E125" s="3"/>
      <c r="F125" s="7">
        <f t="shared" si="28"/>
        <v>0</v>
      </c>
      <c r="G125" s="3"/>
      <c r="H125" s="6">
        <v>300</v>
      </c>
      <c r="I125" s="3"/>
      <c r="J125" s="7">
        <f t="shared" si="29"/>
        <v>1.0545742156604272E-3</v>
      </c>
      <c r="K125" s="3"/>
      <c r="L125" s="6">
        <f t="shared" si="30"/>
        <v>-300</v>
      </c>
      <c r="M125" s="3"/>
      <c r="N125" s="7">
        <f t="shared" si="31"/>
        <v>-1</v>
      </c>
      <c r="O125" s="9"/>
      <c r="P125" s="6">
        <v>10282.879999999999</v>
      </c>
      <c r="Q125" s="3"/>
      <c r="R125" s="7">
        <f t="shared" si="32"/>
        <v>1.3165012192309616E-3</v>
      </c>
      <c r="S125" s="3"/>
      <c r="T125" s="6">
        <v>3000</v>
      </c>
      <c r="U125" s="3"/>
      <c r="V125" s="7">
        <f t="shared" si="33"/>
        <v>3.3805037559086982E-4</v>
      </c>
      <c r="W125" s="3"/>
      <c r="X125" s="6">
        <f t="shared" si="34"/>
        <v>7282.8799999999992</v>
      </c>
      <c r="Y125" s="3"/>
      <c r="Z125" s="7">
        <f t="shared" si="35"/>
        <v>2.4276266666666664</v>
      </c>
    </row>
    <row r="126" spans="1:26" s="70" customFormat="1" ht="15" hidden="1" customHeight="1" outlineLevel="2" x14ac:dyDescent="0.3">
      <c r="A126" s="21"/>
      <c r="B126" s="9" t="str">
        <f>CONCATENATE("          ","6235"," - ","COVID-19 EXPENSES")</f>
        <v xml:space="preserve">          6235 - COVID-19 EXPENSES</v>
      </c>
      <c r="C126" s="9"/>
      <c r="D126" s="6"/>
      <c r="E126" s="3"/>
      <c r="F126" s="7">
        <f t="shared" si="28"/>
        <v>0</v>
      </c>
      <c r="G126" s="3"/>
      <c r="H126" s="6">
        <v>125</v>
      </c>
      <c r="I126" s="3"/>
      <c r="J126" s="7">
        <f t="shared" si="29"/>
        <v>4.3940592319184461E-4</v>
      </c>
      <c r="K126" s="3"/>
      <c r="L126" s="6">
        <f t="shared" si="30"/>
        <v>-125</v>
      </c>
      <c r="M126" s="3"/>
      <c r="N126" s="7">
        <f t="shared" si="31"/>
        <v>-1</v>
      </c>
      <c r="O126" s="9"/>
      <c r="P126" s="6">
        <v>3586.32</v>
      </c>
      <c r="Q126" s="3"/>
      <c r="R126" s="7">
        <f t="shared" si="32"/>
        <v>4.5915100171862192E-4</v>
      </c>
      <c r="S126" s="3"/>
      <c r="T126" s="6">
        <v>1500</v>
      </c>
      <c r="U126" s="3"/>
      <c r="V126" s="7">
        <f t="shared" si="33"/>
        <v>1.6902518779543491E-4</v>
      </c>
      <c r="W126" s="3"/>
      <c r="X126" s="6">
        <f t="shared" si="34"/>
        <v>2086.3200000000002</v>
      </c>
      <c r="Y126" s="3"/>
      <c r="Z126" s="7">
        <f t="shared" si="35"/>
        <v>1.3908800000000001</v>
      </c>
    </row>
    <row r="127" spans="1:26" s="70" customFormat="1" ht="15" hidden="1" customHeight="1" outlineLevel="2" x14ac:dyDescent="0.3">
      <c r="A127" s="21"/>
      <c r="B127" s="9" t="str">
        <f>CONCATENATE("          ","6237"," - ","JANITORIAL SUPPLIES")</f>
        <v xml:space="preserve">          6237 - JANITORIAL SUPPLIES</v>
      </c>
      <c r="C127" s="9"/>
      <c r="D127" s="6">
        <v>1431.01</v>
      </c>
      <c r="E127" s="3"/>
      <c r="F127" s="7">
        <f t="shared" si="28"/>
        <v>4.909937248970063E-3</v>
      </c>
      <c r="G127" s="3"/>
      <c r="H127" s="6">
        <v>10</v>
      </c>
      <c r="I127" s="3"/>
      <c r="J127" s="7">
        <f t="shared" si="29"/>
        <v>3.515247385534757E-5</v>
      </c>
      <c r="K127" s="3"/>
      <c r="L127" s="6">
        <f t="shared" si="30"/>
        <v>1421.01</v>
      </c>
      <c r="M127" s="3"/>
      <c r="N127" s="7">
        <f t="shared" si="31"/>
        <v>142.101</v>
      </c>
      <c r="O127" s="9"/>
      <c r="P127" s="6">
        <v>8079.26</v>
      </c>
      <c r="Q127" s="3"/>
      <c r="R127" s="7">
        <f t="shared" si="32"/>
        <v>1.0343751595354551E-3</v>
      </c>
      <c r="S127" s="3"/>
      <c r="T127" s="6">
        <v>240</v>
      </c>
      <c r="U127" s="3"/>
      <c r="V127" s="7">
        <f t="shared" si="33"/>
        <v>2.7044030047269584E-5</v>
      </c>
      <c r="W127" s="3"/>
      <c r="X127" s="6">
        <f t="shared" si="34"/>
        <v>7839.26</v>
      </c>
      <c r="Y127" s="3"/>
      <c r="Z127" s="7">
        <f t="shared" si="35"/>
        <v>32.663583333333335</v>
      </c>
    </row>
    <row r="128" spans="1:26" s="70" customFormat="1" ht="15" hidden="1" customHeight="1" outlineLevel="2" x14ac:dyDescent="0.3">
      <c r="A128" s="21"/>
      <c r="B128" s="9" t="str">
        <f>CONCATENATE("          ","6241"," - ","OFFICE EXPENSE")</f>
        <v xml:space="preserve">          6241 - OFFICE EXPENSE</v>
      </c>
      <c r="C128" s="9"/>
      <c r="D128" s="6">
        <v>4473.38</v>
      </c>
      <c r="E128" s="3"/>
      <c r="F128" s="7">
        <f t="shared" si="28"/>
        <v>1.5348610485459709E-2</v>
      </c>
      <c r="G128" s="3"/>
      <c r="H128" s="6">
        <v>420</v>
      </c>
      <c r="I128" s="3"/>
      <c r="J128" s="7">
        <f t="shared" si="29"/>
        <v>1.476403901924598E-3</v>
      </c>
      <c r="K128" s="3"/>
      <c r="L128" s="6">
        <f t="shared" si="30"/>
        <v>4053.38</v>
      </c>
      <c r="M128" s="3"/>
      <c r="N128" s="7">
        <f t="shared" si="31"/>
        <v>9.6509047619047621</v>
      </c>
      <c r="O128" s="9"/>
      <c r="P128" s="6">
        <v>22129.360000000001</v>
      </c>
      <c r="Q128" s="3"/>
      <c r="R128" s="7">
        <f t="shared" si="32"/>
        <v>2.8331877276405906E-3</v>
      </c>
      <c r="S128" s="3"/>
      <c r="T128" s="6">
        <v>6840</v>
      </c>
      <c r="U128" s="3"/>
      <c r="V128" s="7">
        <f t="shared" si="33"/>
        <v>7.7075485634718317E-4</v>
      </c>
      <c r="W128" s="3"/>
      <c r="X128" s="6">
        <f t="shared" si="34"/>
        <v>15289.36</v>
      </c>
      <c r="Y128" s="3"/>
      <c r="Z128" s="7">
        <f t="shared" si="35"/>
        <v>2.2352865497076024</v>
      </c>
    </row>
    <row r="129" spans="1:26" s="70" customFormat="1" ht="15" hidden="1" customHeight="1" outlineLevel="2" x14ac:dyDescent="0.3">
      <c r="A129" s="21"/>
      <c r="B129" s="9" t="str">
        <f>CONCATENATE("          ","6243"," - ","PAPER SUPPLIES")</f>
        <v xml:space="preserve">          6243 - PAPER SUPPLIES</v>
      </c>
      <c r="C129" s="9"/>
      <c r="D129" s="6">
        <v>742</v>
      </c>
      <c r="E129" s="3"/>
      <c r="F129" s="7">
        <f t="shared" si="28"/>
        <v>2.5458755974701688E-3</v>
      </c>
      <c r="G129" s="3"/>
      <c r="H129" s="6">
        <v>1250</v>
      </c>
      <c r="I129" s="3"/>
      <c r="J129" s="7">
        <f t="shared" si="29"/>
        <v>4.3940592319184459E-3</v>
      </c>
      <c r="K129" s="3"/>
      <c r="L129" s="6">
        <f t="shared" si="30"/>
        <v>-508</v>
      </c>
      <c r="M129" s="3"/>
      <c r="N129" s="7">
        <f t="shared" si="31"/>
        <v>-0.40639999999999998</v>
      </c>
      <c r="O129" s="9"/>
      <c r="P129" s="6">
        <v>10832.94</v>
      </c>
      <c r="Q129" s="3"/>
      <c r="R129" s="7">
        <f t="shared" si="32"/>
        <v>1.3869245501120168E-3</v>
      </c>
      <c r="S129" s="3"/>
      <c r="T129" s="6">
        <v>38600</v>
      </c>
      <c r="U129" s="3"/>
      <c r="V129" s="7">
        <f t="shared" si="33"/>
        <v>4.349581499269191E-3</v>
      </c>
      <c r="W129" s="3"/>
      <c r="X129" s="6">
        <f t="shared" si="34"/>
        <v>-27767.059999999998</v>
      </c>
      <c r="Y129" s="3"/>
      <c r="Z129" s="7">
        <f t="shared" si="35"/>
        <v>-0.71935388601036265</v>
      </c>
    </row>
    <row r="130" spans="1:26" s="70" customFormat="1" ht="15" hidden="1" customHeight="1" outlineLevel="2" x14ac:dyDescent="0.3">
      <c r="A130" s="21"/>
      <c r="B130" s="9" t="str">
        <f>CONCATENATE("          ","6245"," - ","PRINTING")</f>
        <v xml:space="preserve">          6245 - PRINTING</v>
      </c>
      <c r="C130" s="9"/>
      <c r="D130" s="6">
        <v>4642.3999999999996</v>
      </c>
      <c r="E130" s="3"/>
      <c r="F130" s="7">
        <f t="shared" si="28"/>
        <v>1.5928534870209583E-2</v>
      </c>
      <c r="G130" s="3"/>
      <c r="H130" s="6">
        <v>50</v>
      </c>
      <c r="I130" s="3"/>
      <c r="J130" s="7">
        <f t="shared" si="29"/>
        <v>1.7576236927673784E-4</v>
      </c>
      <c r="K130" s="3"/>
      <c r="L130" s="6">
        <f t="shared" si="30"/>
        <v>4592.3999999999996</v>
      </c>
      <c r="M130" s="3"/>
      <c r="N130" s="7">
        <f t="shared" si="31"/>
        <v>91.847999999999999</v>
      </c>
      <c r="O130" s="9"/>
      <c r="P130" s="6">
        <v>16345.8</v>
      </c>
      <c r="Q130" s="3"/>
      <c r="R130" s="7">
        <f t="shared" si="32"/>
        <v>2.0927274877568787E-3</v>
      </c>
      <c r="S130" s="3"/>
      <c r="T130" s="6">
        <v>10395</v>
      </c>
      <c r="U130" s="3"/>
      <c r="V130" s="7">
        <f t="shared" si="33"/>
        <v>1.1713445514223639E-3</v>
      </c>
      <c r="W130" s="3"/>
      <c r="X130" s="6">
        <f t="shared" si="34"/>
        <v>5950.7999999999993</v>
      </c>
      <c r="Y130" s="3"/>
      <c r="Z130" s="7">
        <f t="shared" si="35"/>
        <v>0.57246753246753235</v>
      </c>
    </row>
    <row r="131" spans="1:26" s="70" customFormat="1" ht="15" hidden="1" customHeight="1" outlineLevel="2" x14ac:dyDescent="0.3">
      <c r="A131" s="21"/>
      <c r="B131" s="9" t="str">
        <f>CONCATENATE("          ","6247"," - ","STORE SUPPLIES")</f>
        <v xml:space="preserve">          6247 - STORE SUPPLIES</v>
      </c>
      <c r="C131" s="9"/>
      <c r="D131" s="6">
        <v>24556.16</v>
      </c>
      <c r="E131" s="3"/>
      <c r="F131" s="7">
        <f t="shared" si="28"/>
        <v>8.4254620635543218E-2</v>
      </c>
      <c r="G131" s="3"/>
      <c r="H131" s="6">
        <v>5475</v>
      </c>
      <c r="I131" s="3"/>
      <c r="J131" s="7">
        <f t="shared" si="29"/>
        <v>1.9245979435802793E-2</v>
      </c>
      <c r="K131" s="3"/>
      <c r="L131" s="6">
        <f t="shared" si="30"/>
        <v>19081.16</v>
      </c>
      <c r="M131" s="3"/>
      <c r="N131" s="7">
        <f t="shared" si="31"/>
        <v>3.4851433789954336</v>
      </c>
      <c r="O131" s="9"/>
      <c r="P131" s="6">
        <v>80665.960000000006</v>
      </c>
      <c r="Q131" s="3"/>
      <c r="R131" s="7">
        <f t="shared" si="32"/>
        <v>1.0327538072061134E-2</v>
      </c>
      <c r="S131" s="3"/>
      <c r="T131" s="6">
        <v>69405</v>
      </c>
      <c r="U131" s="3"/>
      <c r="V131" s="7">
        <f t="shared" si="33"/>
        <v>7.8207954392947726E-3</v>
      </c>
      <c r="W131" s="3"/>
      <c r="X131" s="6">
        <f t="shared" si="34"/>
        <v>11260.960000000006</v>
      </c>
      <c r="Y131" s="3"/>
      <c r="Z131" s="7">
        <f t="shared" si="35"/>
        <v>0.16224998198977028</v>
      </c>
    </row>
    <row r="132" spans="1:26" s="69" customFormat="1" ht="15" customHeight="1" outlineLevel="1" collapsed="1" x14ac:dyDescent="0.3">
      <c r="A132" s="20"/>
      <c r="B132" s="11" t="str">
        <f>CONCATENATE("     ","Telephone/Data Lines                              ")</f>
        <v xml:space="preserve">     Telephone/Data Lines                              </v>
      </c>
      <c r="C132" s="11"/>
      <c r="D132" s="2">
        <f>SUM(OSRRefD22_21x_0)</f>
        <v>1277.03</v>
      </c>
      <c r="E132" s="2"/>
      <c r="F132" s="5">
        <f t="shared" si="28"/>
        <v>4.3816165960071833E-3</v>
      </c>
      <c r="G132" s="2"/>
      <c r="H132" s="2">
        <f>SUM(OSRRefH22_21x_0)</f>
        <v>1735</v>
      </c>
      <c r="I132" s="2"/>
      <c r="J132" s="5">
        <f t="shared" si="29"/>
        <v>6.0989542139028036E-3</v>
      </c>
      <c r="K132" s="2"/>
      <c r="L132" s="2">
        <f t="shared" si="30"/>
        <v>-457.97</v>
      </c>
      <c r="M132" s="2"/>
      <c r="N132" s="5">
        <f t="shared" si="31"/>
        <v>-0.26395965417867434</v>
      </c>
      <c r="O132" s="11"/>
      <c r="P132" s="2">
        <f>SUM(OSRRefP22_21x_0)</f>
        <v>21429.08</v>
      </c>
      <c r="Q132" s="2"/>
      <c r="R132" s="5">
        <f t="shared" si="32"/>
        <v>2.7435319625433554E-3</v>
      </c>
      <c r="S132" s="2"/>
      <c r="T132" s="2">
        <f>SUM(OSRRefT22_21x_0)</f>
        <v>21420</v>
      </c>
      <c r="U132" s="2"/>
      <c r="V132" s="5">
        <f t="shared" si="33"/>
        <v>2.4136796817188105E-3</v>
      </c>
      <c r="W132" s="2"/>
      <c r="X132" s="2">
        <f t="shared" si="34"/>
        <v>9.0800000000017462</v>
      </c>
      <c r="Y132" s="2"/>
      <c r="Z132" s="5">
        <f t="shared" si="35"/>
        <v>4.2390289449121133E-4</v>
      </c>
    </row>
    <row r="133" spans="1:26" s="70" customFormat="1" ht="15" hidden="1" customHeight="1" outlineLevel="2" x14ac:dyDescent="0.3">
      <c r="A133" s="21"/>
      <c r="B133" s="9" t="str">
        <f>CONCATENATE("          ","6303"," - ","DATA PHONE LINES")</f>
        <v xml:space="preserve">          6303 - DATA PHONE LINES</v>
      </c>
      <c r="C133" s="9"/>
      <c r="D133" s="6"/>
      <c r="E133" s="3"/>
      <c r="F133" s="7">
        <f t="shared" si="28"/>
        <v>0</v>
      </c>
      <c r="G133" s="3"/>
      <c r="H133" s="6">
        <v>0</v>
      </c>
      <c r="I133" s="3"/>
      <c r="J133" s="7">
        <f t="shared" si="29"/>
        <v>0</v>
      </c>
      <c r="K133" s="3"/>
      <c r="L133" s="6">
        <f t="shared" si="30"/>
        <v>0</v>
      </c>
      <c r="M133" s="3"/>
      <c r="N133" s="7">
        <f t="shared" si="31"/>
        <v>0</v>
      </c>
      <c r="O133" s="9"/>
      <c r="P133" s="6">
        <v>295</v>
      </c>
      <c r="Q133" s="3"/>
      <c r="R133" s="7">
        <f t="shared" si="32"/>
        <v>3.7768393647804283E-5</v>
      </c>
      <c r="S133" s="3"/>
      <c r="T133" s="6">
        <v>0</v>
      </c>
      <c r="U133" s="3"/>
      <c r="V133" s="7">
        <f t="shared" si="33"/>
        <v>0</v>
      </c>
      <c r="W133" s="3"/>
      <c r="X133" s="6">
        <f t="shared" si="34"/>
        <v>295</v>
      </c>
      <c r="Y133" s="3"/>
      <c r="Z133" s="7">
        <f t="shared" si="35"/>
        <v>0</v>
      </c>
    </row>
    <row r="134" spans="1:26" s="70" customFormat="1" ht="15" hidden="1" customHeight="1" outlineLevel="2" x14ac:dyDescent="0.3">
      <c r="A134" s="21"/>
      <c r="B134" s="9" t="str">
        <f>CONCATENATE("          ","6309"," - ","TELEPHONE")</f>
        <v xml:space="preserve">          6309 - TELEPHONE</v>
      </c>
      <c r="C134" s="9"/>
      <c r="D134" s="6">
        <v>1277.03</v>
      </c>
      <c r="E134" s="3"/>
      <c r="F134" s="7">
        <f t="shared" si="28"/>
        <v>4.3816165960071833E-3</v>
      </c>
      <c r="G134" s="3"/>
      <c r="H134" s="6">
        <v>1735</v>
      </c>
      <c r="I134" s="3"/>
      <c r="J134" s="7">
        <f t="shared" si="29"/>
        <v>6.0989542139028036E-3</v>
      </c>
      <c r="K134" s="3"/>
      <c r="L134" s="6">
        <f t="shared" si="30"/>
        <v>-457.97</v>
      </c>
      <c r="M134" s="3"/>
      <c r="N134" s="7">
        <f t="shared" si="31"/>
        <v>-0.26395965417867434</v>
      </c>
      <c r="O134" s="9"/>
      <c r="P134" s="6">
        <v>21134.080000000002</v>
      </c>
      <c r="Q134" s="3"/>
      <c r="R134" s="7">
        <f t="shared" si="32"/>
        <v>2.7057635688955512E-3</v>
      </c>
      <c r="S134" s="3"/>
      <c r="T134" s="6">
        <v>21420</v>
      </c>
      <c r="U134" s="3"/>
      <c r="V134" s="7">
        <f t="shared" si="33"/>
        <v>2.4136796817188105E-3</v>
      </c>
      <c r="W134" s="3"/>
      <c r="X134" s="6">
        <f t="shared" si="34"/>
        <v>-285.91999999999825</v>
      </c>
      <c r="Y134" s="3"/>
      <c r="Z134" s="7">
        <f t="shared" si="35"/>
        <v>-1.3348272642390208E-2</v>
      </c>
    </row>
    <row r="135" spans="1:26" s="69" customFormat="1" ht="15" customHeight="1" outlineLevel="1" collapsed="1" x14ac:dyDescent="0.3">
      <c r="A135" s="20"/>
      <c r="B135" s="11" t="str">
        <f>CONCATENATE("     ","Training                                          ")</f>
        <v xml:space="preserve">     Training                                          </v>
      </c>
      <c r="C135" s="11"/>
      <c r="D135" s="2">
        <f>SUM(OSRRefD22_22x_0)</f>
        <v>0</v>
      </c>
      <c r="E135" s="2"/>
      <c r="F135" s="5">
        <f t="shared" si="28"/>
        <v>0</v>
      </c>
      <c r="G135" s="2"/>
      <c r="H135" s="2">
        <f>SUM(OSRRefH22_22x_0)</f>
        <v>0</v>
      </c>
      <c r="I135" s="2"/>
      <c r="J135" s="5">
        <f t="shared" si="29"/>
        <v>0</v>
      </c>
      <c r="K135" s="2"/>
      <c r="L135" s="2">
        <f t="shared" si="30"/>
        <v>0</v>
      </c>
      <c r="M135" s="2"/>
      <c r="N135" s="5">
        <f t="shared" si="31"/>
        <v>0</v>
      </c>
      <c r="O135" s="11"/>
      <c r="P135" s="2">
        <f>SUM(OSRRefP22_22x_0)</f>
        <v>6919</v>
      </c>
      <c r="Q135" s="2"/>
      <c r="R135" s="5">
        <f t="shared" si="32"/>
        <v>8.8582886660731473E-4</v>
      </c>
      <c r="S135" s="2"/>
      <c r="T135" s="2">
        <f>SUM(OSRRefT22_22x_0)</f>
        <v>2000</v>
      </c>
      <c r="U135" s="2"/>
      <c r="V135" s="5">
        <f t="shared" si="33"/>
        <v>2.2536691706057986E-4</v>
      </c>
      <c r="W135" s="2"/>
      <c r="X135" s="2">
        <f t="shared" si="34"/>
        <v>4919</v>
      </c>
      <c r="Y135" s="2"/>
      <c r="Z135" s="5">
        <f t="shared" si="35"/>
        <v>2.4594999999999998</v>
      </c>
    </row>
    <row r="136" spans="1:26" s="70" customFormat="1" ht="15" hidden="1" customHeight="1" outlineLevel="2" x14ac:dyDescent="0.3">
      <c r="A136" s="21"/>
      <c r="B136" s="9" t="str">
        <f>CONCATENATE("          ","6376"," - ","TRAINING")</f>
        <v xml:space="preserve">          6376 - TRAINING</v>
      </c>
      <c r="C136" s="9"/>
      <c r="D136" s="6"/>
      <c r="E136" s="3"/>
      <c r="F136" s="7">
        <f t="shared" si="28"/>
        <v>0</v>
      </c>
      <c r="G136" s="3"/>
      <c r="H136" s="6"/>
      <c r="I136" s="3"/>
      <c r="J136" s="7">
        <f t="shared" si="29"/>
        <v>0</v>
      </c>
      <c r="K136" s="3"/>
      <c r="L136" s="6">
        <f t="shared" si="30"/>
        <v>0</v>
      </c>
      <c r="M136" s="3"/>
      <c r="N136" s="7">
        <f t="shared" si="31"/>
        <v>0</v>
      </c>
      <c r="O136" s="9"/>
      <c r="P136" s="6">
        <v>6919</v>
      </c>
      <c r="Q136" s="3"/>
      <c r="R136" s="7">
        <f t="shared" si="32"/>
        <v>8.8582886660731473E-4</v>
      </c>
      <c r="S136" s="3"/>
      <c r="T136" s="6">
        <v>2000</v>
      </c>
      <c r="U136" s="3"/>
      <c r="V136" s="7">
        <f t="shared" si="33"/>
        <v>2.2536691706057986E-4</v>
      </c>
      <c r="W136" s="3"/>
      <c r="X136" s="6">
        <f t="shared" si="34"/>
        <v>4919</v>
      </c>
      <c r="Y136" s="3"/>
      <c r="Z136" s="7">
        <f t="shared" si="35"/>
        <v>2.4594999999999998</v>
      </c>
    </row>
    <row r="137" spans="1:26" s="69" customFormat="1" ht="15" customHeight="1" outlineLevel="1" collapsed="1" x14ac:dyDescent="0.3">
      <c r="A137" s="20"/>
      <c r="B137" s="11" t="str">
        <f>CONCATENATE("     ","Travel                                            ")</f>
        <v xml:space="preserve">     Travel                                            </v>
      </c>
      <c r="C137" s="11"/>
      <c r="D137" s="2">
        <f>SUM(OSRRefD22_23x_0)</f>
        <v>1117.6500000000001</v>
      </c>
      <c r="E137" s="2"/>
      <c r="F137" s="5">
        <f t="shared" si="28"/>
        <v>3.8347680074292917E-3</v>
      </c>
      <c r="G137" s="2"/>
      <c r="H137" s="2">
        <f>SUM(OSRRefH22_23x_0)</f>
        <v>175</v>
      </c>
      <c r="I137" s="2"/>
      <c r="J137" s="5">
        <f t="shared" si="29"/>
        <v>6.1516829246858248E-4</v>
      </c>
      <c r="K137" s="2"/>
      <c r="L137" s="2">
        <f t="shared" si="30"/>
        <v>942.65000000000009</v>
      </c>
      <c r="M137" s="2"/>
      <c r="N137" s="5">
        <f t="shared" si="31"/>
        <v>5.386571428571429</v>
      </c>
      <c r="O137" s="11"/>
      <c r="P137" s="2">
        <f>SUM(OSRRefP22_23x_0)</f>
        <v>2722.9</v>
      </c>
      <c r="Q137" s="2"/>
      <c r="R137" s="5">
        <f t="shared" si="32"/>
        <v>3.4860867479188571E-4</v>
      </c>
      <c r="S137" s="2"/>
      <c r="T137" s="2">
        <f>SUM(OSRRefT22_23x_0)</f>
        <v>2350</v>
      </c>
      <c r="U137" s="2"/>
      <c r="V137" s="5">
        <f t="shared" si="33"/>
        <v>2.6480612754618132E-4</v>
      </c>
      <c r="W137" s="2"/>
      <c r="X137" s="2">
        <f t="shared" si="34"/>
        <v>372.90000000000009</v>
      </c>
      <c r="Y137" s="2"/>
      <c r="Z137" s="5">
        <f t="shared" si="35"/>
        <v>0.15868085106382981</v>
      </c>
    </row>
    <row r="138" spans="1:26" s="70" customFormat="1" ht="15" hidden="1" customHeight="1" outlineLevel="2" x14ac:dyDescent="0.3">
      <c r="A138" s="21"/>
      <c r="B138" s="9" t="str">
        <f>CONCATENATE("          ","6292"," - ","TRAVEL/CONFERENCE")</f>
        <v xml:space="preserve">          6292 - TRAVEL/CONFERENCE</v>
      </c>
      <c r="C138" s="9"/>
      <c r="D138" s="6"/>
      <c r="E138" s="3"/>
      <c r="F138" s="7">
        <f t="shared" si="28"/>
        <v>0</v>
      </c>
      <c r="G138" s="3"/>
      <c r="H138" s="6">
        <v>125</v>
      </c>
      <c r="I138" s="3"/>
      <c r="J138" s="7">
        <f t="shared" si="29"/>
        <v>4.3940592319184461E-4</v>
      </c>
      <c r="K138" s="3"/>
      <c r="L138" s="6">
        <f t="shared" si="30"/>
        <v>-125</v>
      </c>
      <c r="M138" s="3"/>
      <c r="N138" s="7">
        <f t="shared" si="31"/>
        <v>-1</v>
      </c>
      <c r="O138" s="9"/>
      <c r="P138" s="6">
        <v>495</v>
      </c>
      <c r="Q138" s="3"/>
      <c r="R138" s="7">
        <f t="shared" si="32"/>
        <v>6.3374084256485151E-5</v>
      </c>
      <c r="S138" s="3"/>
      <c r="T138" s="6">
        <v>1500</v>
      </c>
      <c r="U138" s="3"/>
      <c r="V138" s="7">
        <f t="shared" si="33"/>
        <v>1.6902518779543491E-4</v>
      </c>
      <c r="W138" s="3"/>
      <c r="X138" s="6">
        <f t="shared" si="34"/>
        <v>-1005</v>
      </c>
      <c r="Y138" s="3"/>
      <c r="Z138" s="7">
        <f t="shared" si="35"/>
        <v>-0.67</v>
      </c>
    </row>
    <row r="139" spans="1:26" s="70" customFormat="1" ht="15" hidden="1" customHeight="1" outlineLevel="2" x14ac:dyDescent="0.3">
      <c r="A139" s="21"/>
      <c r="B139" s="9" t="str">
        <f>CONCATENATE("          ","6294"," - ","TRAVEL OPERATIONAL")</f>
        <v xml:space="preserve">          6294 - TRAVEL OPERATIONAL</v>
      </c>
      <c r="C139" s="9"/>
      <c r="D139" s="6">
        <v>1017.65</v>
      </c>
      <c r="E139" s="3"/>
      <c r="F139" s="7">
        <f t="shared" si="28"/>
        <v>3.4916580886327725E-3</v>
      </c>
      <c r="G139" s="3"/>
      <c r="H139" s="6">
        <v>25</v>
      </c>
      <c r="I139" s="3"/>
      <c r="J139" s="7">
        <f t="shared" si="29"/>
        <v>8.7881184638368919E-5</v>
      </c>
      <c r="K139" s="3"/>
      <c r="L139" s="6">
        <f t="shared" si="30"/>
        <v>992.65</v>
      </c>
      <c r="M139" s="3"/>
      <c r="N139" s="7">
        <f t="shared" si="31"/>
        <v>39.705999999999996</v>
      </c>
      <c r="O139" s="9"/>
      <c r="P139" s="6">
        <v>1628.52</v>
      </c>
      <c r="Q139" s="3"/>
      <c r="R139" s="7">
        <f t="shared" si="32"/>
        <v>2.0849689635024486E-4</v>
      </c>
      <c r="S139" s="3"/>
      <c r="T139" s="6">
        <v>300</v>
      </c>
      <c r="U139" s="3"/>
      <c r="V139" s="7">
        <f t="shared" si="33"/>
        <v>3.3805037559086977E-5</v>
      </c>
      <c r="W139" s="3"/>
      <c r="X139" s="6">
        <f t="shared" si="34"/>
        <v>1328.52</v>
      </c>
      <c r="Y139" s="3"/>
      <c r="Z139" s="7">
        <f t="shared" si="35"/>
        <v>4.4283999999999999</v>
      </c>
    </row>
    <row r="140" spans="1:26" s="70" customFormat="1" ht="15" hidden="1" customHeight="1" outlineLevel="2" x14ac:dyDescent="0.3">
      <c r="A140" s="21"/>
      <c r="B140" s="9" t="str">
        <f>CONCATENATE("          ","6298"," - ","VEHICLE MILEAGE")</f>
        <v xml:space="preserve">          6298 - VEHICLE MILEAGE</v>
      </c>
      <c r="C140" s="9"/>
      <c r="D140" s="6">
        <v>100</v>
      </c>
      <c r="E140" s="3"/>
      <c r="F140" s="7">
        <f t="shared" si="28"/>
        <v>3.4310991879651871E-4</v>
      </c>
      <c r="G140" s="3"/>
      <c r="H140" s="6">
        <v>25</v>
      </c>
      <c r="I140" s="3"/>
      <c r="J140" s="7">
        <f t="shared" si="29"/>
        <v>8.7881184638368919E-5</v>
      </c>
      <c r="K140" s="3"/>
      <c r="L140" s="6">
        <f t="shared" si="30"/>
        <v>75</v>
      </c>
      <c r="M140" s="3"/>
      <c r="N140" s="7">
        <f t="shared" si="31"/>
        <v>3</v>
      </c>
      <c r="O140" s="9"/>
      <c r="P140" s="6">
        <v>599.38</v>
      </c>
      <c r="Q140" s="3"/>
      <c r="R140" s="7">
        <f t="shared" si="32"/>
        <v>7.6737694185155696E-5</v>
      </c>
      <c r="S140" s="3"/>
      <c r="T140" s="6">
        <v>550</v>
      </c>
      <c r="U140" s="3"/>
      <c r="V140" s="7">
        <f t="shared" si="33"/>
        <v>6.1975902191659462E-5</v>
      </c>
      <c r="W140" s="3"/>
      <c r="X140" s="6">
        <f t="shared" si="34"/>
        <v>49.379999999999995</v>
      </c>
      <c r="Y140" s="3"/>
      <c r="Z140" s="7">
        <f t="shared" si="35"/>
        <v>8.9781818181818171E-2</v>
      </c>
    </row>
    <row r="141" spans="1:26" s="69" customFormat="1" ht="15" customHeight="1" outlineLevel="1" collapsed="1" x14ac:dyDescent="0.3">
      <c r="A141" s="20"/>
      <c r="B141" s="11" t="str">
        <f>CONCATENATE("     ","Utilities                                         ")</f>
        <v xml:space="preserve">     Utilities                                         </v>
      </c>
      <c r="C141" s="11"/>
      <c r="D141" s="2">
        <f>SUM(OSRRefD22_24x_0)</f>
        <v>7256.49</v>
      </c>
      <c r="E141" s="2"/>
      <c r="F141" s="5">
        <f t="shared" si="28"/>
        <v>2.4897736946477501E-2</v>
      </c>
      <c r="G141" s="2"/>
      <c r="H141" s="2">
        <f>SUM(OSRRefH22_24x_0)</f>
        <v>6120</v>
      </c>
      <c r="I141" s="2"/>
      <c r="J141" s="5">
        <f t="shared" si="29"/>
        <v>2.1513313999472712E-2</v>
      </c>
      <c r="K141" s="2"/>
      <c r="L141" s="2">
        <f t="shared" si="30"/>
        <v>1136.4899999999998</v>
      </c>
      <c r="M141" s="2"/>
      <c r="N141" s="5">
        <f t="shared" si="31"/>
        <v>0.18570098039215682</v>
      </c>
      <c r="O141" s="11"/>
      <c r="P141" s="2">
        <f>SUM(OSRRefP22_24x_0)</f>
        <v>92259.38</v>
      </c>
      <c r="Q141" s="2"/>
      <c r="R141" s="5">
        <f t="shared" si="32"/>
        <v>1.1811825700143599E-2</v>
      </c>
      <c r="S141" s="2"/>
      <c r="T141" s="2">
        <f>SUM(OSRRefT22_24x_0)</f>
        <v>76120</v>
      </c>
      <c r="U141" s="2"/>
      <c r="V141" s="5">
        <f t="shared" si="33"/>
        <v>8.5774648633256696E-3</v>
      </c>
      <c r="W141" s="2"/>
      <c r="X141" s="2">
        <f t="shared" si="34"/>
        <v>16139.380000000005</v>
      </c>
      <c r="Y141" s="2"/>
      <c r="Z141" s="5">
        <f t="shared" si="35"/>
        <v>0.21202548607461907</v>
      </c>
    </row>
    <row r="142" spans="1:26" s="70" customFormat="1" ht="15" hidden="1" customHeight="1" outlineLevel="2" x14ac:dyDescent="0.3">
      <c r="A142" s="21"/>
      <c r="B142" s="9" t="str">
        <f>CONCATENATE("          ","6274"," - ","UTILITIES")</f>
        <v xml:space="preserve">          6274 - UTILITIES</v>
      </c>
      <c r="C142" s="9"/>
      <c r="D142" s="6">
        <v>7256.49</v>
      </c>
      <c r="E142" s="3"/>
      <c r="F142" s="7">
        <f t="shared" si="28"/>
        <v>2.4897736946477501E-2</v>
      </c>
      <c r="G142" s="3"/>
      <c r="H142" s="6">
        <v>6120</v>
      </c>
      <c r="I142" s="3"/>
      <c r="J142" s="7">
        <f t="shared" si="29"/>
        <v>2.1513313999472712E-2</v>
      </c>
      <c r="K142" s="3"/>
      <c r="L142" s="6">
        <f t="shared" si="30"/>
        <v>1136.4899999999998</v>
      </c>
      <c r="M142" s="3"/>
      <c r="N142" s="7">
        <f t="shared" si="31"/>
        <v>0.18570098039215682</v>
      </c>
      <c r="O142" s="9"/>
      <c r="P142" s="6">
        <v>92259.38</v>
      </c>
      <c r="Q142" s="3"/>
      <c r="R142" s="7">
        <f t="shared" si="32"/>
        <v>1.1811825700143599E-2</v>
      </c>
      <c r="S142" s="3"/>
      <c r="T142" s="6">
        <v>76120</v>
      </c>
      <c r="U142" s="3"/>
      <c r="V142" s="7">
        <f t="shared" si="33"/>
        <v>8.5774648633256696E-3</v>
      </c>
      <c r="W142" s="3"/>
      <c r="X142" s="6">
        <f t="shared" si="34"/>
        <v>16139.380000000005</v>
      </c>
      <c r="Y142" s="3"/>
      <c r="Z142" s="7">
        <f t="shared" si="35"/>
        <v>0.21202548607461907</v>
      </c>
    </row>
    <row r="143" spans="1:26" s="65" customFormat="1" ht="15" customHeight="1" x14ac:dyDescent="0.3">
      <c r="A143" s="36"/>
      <c r="B143" s="36"/>
      <c r="C143" s="36"/>
      <c r="D143" s="2"/>
      <c r="E143" s="2"/>
      <c r="F143" s="5"/>
      <c r="G143" s="2"/>
      <c r="H143" s="2"/>
      <c r="I143" s="2"/>
      <c r="J143" s="5"/>
      <c r="K143" s="2"/>
      <c r="L143" s="2"/>
      <c r="M143" s="2"/>
      <c r="N143" s="5"/>
      <c r="O143" s="36"/>
      <c r="P143" s="2"/>
      <c r="Q143" s="2"/>
      <c r="R143" s="5"/>
      <c r="S143" s="2"/>
      <c r="T143" s="2"/>
      <c r="U143" s="2"/>
      <c r="V143" s="5"/>
      <c r="W143" s="2"/>
      <c r="X143" s="2"/>
      <c r="Y143" s="2"/>
      <c r="Z143" s="5"/>
    </row>
    <row r="144" spans="1:26" s="63" customFormat="1" ht="15" customHeight="1" collapsed="1" x14ac:dyDescent="0.3">
      <c r="A144" s="13"/>
      <c r="B144" s="28" t="s">
        <v>291</v>
      </c>
      <c r="C144" s="13"/>
      <c r="D144" s="8">
        <f>SUM(OSRRefD25x_0)</f>
        <v>29180.559999999998</v>
      </c>
      <c r="E144" s="8"/>
      <c r="F144" s="14">
        <f t="shared" ref="F144:F149" si="36">IF(D$12=0,0,D144/D$12)</f>
        <v>0.10012139572036942</v>
      </c>
      <c r="G144" s="8"/>
      <c r="H144" s="8">
        <f>SUM(OSRRefH25x_0)</f>
        <v>219676</v>
      </c>
      <c r="I144" s="8"/>
      <c r="J144" s="14">
        <f t="shared" ref="J144:J149" si="37">IF(H$12=0,0,H144/H$12)</f>
        <v>0.77221548466473333</v>
      </c>
      <c r="K144" s="8"/>
      <c r="L144" s="8">
        <f t="shared" ref="L144:L149" si="38">+D144-H144</f>
        <v>-190495.44</v>
      </c>
      <c r="M144" s="8"/>
      <c r="N144" s="14">
        <f t="shared" ref="N144:N149" si="39">IF(H144=0,0,L144/H144)</f>
        <v>-0.86716546186201493</v>
      </c>
      <c r="O144" s="13"/>
      <c r="P144" s="8">
        <f>SUM(OSRRefP25x_0)</f>
        <v>1435481.17</v>
      </c>
      <c r="Q144" s="8"/>
      <c r="R144" s="14">
        <f t="shared" ref="R144:R149" si="40">IF(P$12=0,0,P144/P$12)</f>
        <v>0.18378243356803614</v>
      </c>
      <c r="S144" s="8"/>
      <c r="T144" s="8">
        <f>SUM(OSRRefT25x_0)</f>
        <v>1259728.23</v>
      </c>
      <c r="U144" s="8"/>
      <c r="V144" s="14">
        <f t="shared" ref="V144:V149" si="41">IF(T$12=0,0,T144/T$12)</f>
        <v>0.14195053376464054</v>
      </c>
      <c r="W144" s="8"/>
      <c r="X144" s="8">
        <f t="shared" ref="X144:X149" si="42">+P144-T144</f>
        <v>175752.93999999994</v>
      </c>
      <c r="Y144" s="8"/>
      <c r="Z144" s="14">
        <f t="shared" ref="Z144:Z149" si="43">IF(T144=0,0,X144/T144)</f>
        <v>0.13951655270915056</v>
      </c>
    </row>
    <row r="145" spans="1:26" s="70" customFormat="1" ht="15" hidden="1" customHeight="1" outlineLevel="1" x14ac:dyDescent="0.3">
      <c r="A145" s="48"/>
      <c r="B145" s="9" t="str">
        <f>CONCATENATE("          ","9150"," - ","MISC. INCOME")</f>
        <v xml:space="preserve">          9150 - MISC. INCOME</v>
      </c>
      <c r="C145" s="9"/>
      <c r="D145" s="3">
        <f>--6862.48</f>
        <v>6862.48</v>
      </c>
      <c r="E145" s="3"/>
      <c r="F145" s="26">
        <f t="shared" si="36"/>
        <v>2.3545849555427337E-2</v>
      </c>
      <c r="G145" s="3"/>
      <c r="H145" s="3">
        <v>6225</v>
      </c>
      <c r="I145" s="3"/>
      <c r="J145" s="26">
        <f t="shared" si="37"/>
        <v>2.1882414974953864E-2</v>
      </c>
      <c r="K145" s="3"/>
      <c r="L145" s="3">
        <f t="shared" si="38"/>
        <v>637.47999999999956</v>
      </c>
      <c r="M145" s="3"/>
      <c r="N145" s="26">
        <f t="shared" si="39"/>
        <v>0.10240642570281118</v>
      </c>
      <c r="O145" s="9"/>
      <c r="P145" s="3">
        <f>--442058.54</f>
        <v>442058.54</v>
      </c>
      <c r="Q145" s="3"/>
      <c r="R145" s="26">
        <f t="shared" si="40"/>
        <v>5.6596071030825881E-2</v>
      </c>
      <c r="S145" s="3"/>
      <c r="T145" s="3">
        <v>179749</v>
      </c>
      <c r="U145" s="3"/>
      <c r="V145" s="26">
        <f t="shared" si="41"/>
        <v>2.0254738987361087E-2</v>
      </c>
      <c r="W145" s="3"/>
      <c r="X145" s="3">
        <f t="shared" si="42"/>
        <v>262309.53999999998</v>
      </c>
      <c r="Y145" s="3"/>
      <c r="Z145" s="26">
        <f t="shared" si="43"/>
        <v>1.4593101491524292</v>
      </c>
    </row>
    <row r="146" spans="1:26" s="70" customFormat="1" ht="15" hidden="1" customHeight="1" outlineLevel="1" x14ac:dyDescent="0.3">
      <c r="A146" s="48"/>
      <c r="B146" s="9" t="str">
        <f>CONCATENATE("          ","9151"," - ","MISC. INCOME")</f>
        <v xml:space="preserve">          9151 - MISC. INCOME</v>
      </c>
      <c r="C146" s="9"/>
      <c r="D146" s="3">
        <f>--4094.51</f>
        <v>4094.51</v>
      </c>
      <c r="E146" s="3"/>
      <c r="F146" s="26">
        <f t="shared" si="36"/>
        <v>1.4048669936115339E-2</v>
      </c>
      <c r="G146" s="3"/>
      <c r="H146" s="3">
        <v>155117</v>
      </c>
      <c r="I146" s="3"/>
      <c r="J146" s="26">
        <f t="shared" si="37"/>
        <v>0.54527462870199495</v>
      </c>
      <c r="K146" s="3"/>
      <c r="L146" s="3">
        <f t="shared" si="38"/>
        <v>-151022.49</v>
      </c>
      <c r="M146" s="3"/>
      <c r="N146" s="26">
        <f t="shared" si="39"/>
        <v>-0.97360373137696055</v>
      </c>
      <c r="O146" s="9"/>
      <c r="P146" s="3">
        <f>--328482.25</f>
        <v>328482.25</v>
      </c>
      <c r="Q146" s="3"/>
      <c r="R146" s="26">
        <f t="shared" si="40"/>
        <v>4.2055074319716806E-2</v>
      </c>
      <c r="S146" s="3"/>
      <c r="T146" s="3">
        <v>904979.23</v>
      </c>
      <c r="U146" s="3"/>
      <c r="V146" s="26">
        <f t="shared" si="41"/>
        <v>0.10197618953447872</v>
      </c>
      <c r="W146" s="3"/>
      <c r="X146" s="3">
        <f t="shared" si="42"/>
        <v>-576496.98</v>
      </c>
      <c r="Y146" s="3"/>
      <c r="Z146" s="26">
        <f t="shared" si="43"/>
        <v>-0.63702785753436575</v>
      </c>
    </row>
    <row r="147" spans="1:26" s="70" customFormat="1" ht="15" hidden="1" customHeight="1" outlineLevel="1" x14ac:dyDescent="0.3">
      <c r="A147" s="48"/>
      <c r="B147" s="9" t="str">
        <f>CONCATENATE("          ","9152"," - ","MISC. INCOME")</f>
        <v xml:space="preserve">          9152 - MISC. INCOME</v>
      </c>
      <c r="C147" s="9"/>
      <c r="D147" s="3">
        <f>--221.07</f>
        <v>221.07</v>
      </c>
      <c r="E147" s="3"/>
      <c r="F147" s="26">
        <f t="shared" si="36"/>
        <v>7.5851309748346395E-4</v>
      </c>
      <c r="G147" s="3"/>
      <c r="H147" s="3"/>
      <c r="I147" s="3"/>
      <c r="J147" s="26">
        <f t="shared" si="37"/>
        <v>0</v>
      </c>
      <c r="K147" s="3"/>
      <c r="L147" s="3">
        <f t="shared" si="38"/>
        <v>221.07</v>
      </c>
      <c r="M147" s="3"/>
      <c r="N147" s="26">
        <f t="shared" si="39"/>
        <v>0</v>
      </c>
      <c r="O147" s="9"/>
      <c r="P147" s="3">
        <f>--5468.18</f>
        <v>5468.18</v>
      </c>
      <c r="Q147" s="3"/>
      <c r="R147" s="26">
        <f t="shared" si="40"/>
        <v>7.0008262636288288E-4</v>
      </c>
      <c r="S147" s="3"/>
      <c r="T147" s="3"/>
      <c r="U147" s="3"/>
      <c r="V147" s="26">
        <f t="shared" si="41"/>
        <v>0</v>
      </c>
      <c r="W147" s="3"/>
      <c r="X147" s="3">
        <f t="shared" si="42"/>
        <v>5468.18</v>
      </c>
      <c r="Y147" s="3"/>
      <c r="Z147" s="26">
        <f t="shared" si="43"/>
        <v>0</v>
      </c>
    </row>
    <row r="148" spans="1:26" s="70" customFormat="1" ht="15" hidden="1" customHeight="1" outlineLevel="1" x14ac:dyDescent="0.3">
      <c r="A148" s="48"/>
      <c r="B148" s="9" t="str">
        <f>CONCATENATE("          ","9160"," - ","MISC. INCOME")</f>
        <v xml:space="preserve">          9160 - MISC. INCOME</v>
      </c>
      <c r="C148" s="9"/>
      <c r="D148" s="3">
        <f>0</f>
        <v>0</v>
      </c>
      <c r="E148" s="3"/>
      <c r="F148" s="26">
        <f t="shared" si="36"/>
        <v>0</v>
      </c>
      <c r="G148" s="3"/>
      <c r="H148" s="3">
        <v>58334</v>
      </c>
      <c r="I148" s="3"/>
      <c r="J148" s="26">
        <f t="shared" si="37"/>
        <v>0.2050584409877845</v>
      </c>
      <c r="K148" s="3"/>
      <c r="L148" s="3">
        <f t="shared" si="38"/>
        <v>-58334</v>
      </c>
      <c r="M148" s="3"/>
      <c r="N148" s="26">
        <f t="shared" si="39"/>
        <v>-1</v>
      </c>
      <c r="O148" s="9"/>
      <c r="P148" s="3">
        <f>0</f>
        <v>0</v>
      </c>
      <c r="Q148" s="3"/>
      <c r="R148" s="26">
        <f t="shared" si="40"/>
        <v>0</v>
      </c>
      <c r="S148" s="3"/>
      <c r="T148" s="3">
        <v>175000</v>
      </c>
      <c r="U148" s="3"/>
      <c r="V148" s="26">
        <f t="shared" si="41"/>
        <v>1.9719605242800739E-2</v>
      </c>
      <c r="W148" s="3"/>
      <c r="X148" s="3">
        <f t="shared" si="42"/>
        <v>-175000</v>
      </c>
      <c r="Y148" s="3"/>
      <c r="Z148" s="26">
        <f t="shared" si="43"/>
        <v>-1</v>
      </c>
    </row>
    <row r="149" spans="1:26" s="70" customFormat="1" ht="15" hidden="1" customHeight="1" outlineLevel="1" x14ac:dyDescent="0.3">
      <c r="A149" s="48"/>
      <c r="B149" s="9" t="str">
        <f>CONCATENATE("          ","9163"," - ","MISC. INCOME")</f>
        <v xml:space="preserve">          9163 - MISC. INCOME</v>
      </c>
      <c r="C149" s="9"/>
      <c r="D149" s="3">
        <f>--18002.5</f>
        <v>18002.5</v>
      </c>
      <c r="E149" s="3"/>
      <c r="F149" s="26">
        <f t="shared" si="36"/>
        <v>6.1768363131343283E-2</v>
      </c>
      <c r="G149" s="3"/>
      <c r="H149" s="3"/>
      <c r="I149" s="3"/>
      <c r="J149" s="26">
        <f t="shared" si="37"/>
        <v>0</v>
      </c>
      <c r="K149" s="3"/>
      <c r="L149" s="3">
        <f t="shared" si="38"/>
        <v>18002.5</v>
      </c>
      <c r="M149" s="3"/>
      <c r="N149" s="26">
        <f t="shared" si="39"/>
        <v>0</v>
      </c>
      <c r="O149" s="9"/>
      <c r="P149" s="3">
        <f>--659472.2</f>
        <v>659472.19999999995</v>
      </c>
      <c r="Q149" s="3"/>
      <c r="R149" s="26">
        <f t="shared" si="40"/>
        <v>8.4431205591130556E-2</v>
      </c>
      <c r="S149" s="3"/>
      <c r="T149" s="3"/>
      <c r="U149" s="3"/>
      <c r="V149" s="26">
        <f t="shared" si="41"/>
        <v>0</v>
      </c>
      <c r="W149" s="3"/>
      <c r="X149" s="3">
        <f t="shared" si="42"/>
        <v>659472.19999999995</v>
      </c>
      <c r="Y149" s="3"/>
      <c r="Z149" s="26">
        <f t="shared" si="43"/>
        <v>0</v>
      </c>
    </row>
    <row r="150" spans="1:26" ht="15" customHeight="1" x14ac:dyDescent="0.3">
      <c r="A150" s="12"/>
      <c r="B150" s="13"/>
      <c r="C150" s="13"/>
      <c r="D150" s="4"/>
      <c r="E150" s="4"/>
      <c r="F150" s="10"/>
      <c r="G150" s="4"/>
      <c r="H150" s="4"/>
      <c r="I150" s="4"/>
      <c r="J150" s="10"/>
      <c r="K150" s="4"/>
      <c r="L150" s="4"/>
      <c r="M150" s="4"/>
      <c r="N150" s="10"/>
      <c r="O150" s="13"/>
      <c r="P150" s="4"/>
      <c r="Q150" s="4"/>
      <c r="R150" s="10"/>
      <c r="S150" s="4"/>
      <c r="T150" s="4"/>
      <c r="U150" s="4"/>
      <c r="V150" s="10"/>
      <c r="W150" s="4"/>
      <c r="X150" s="4"/>
      <c r="Y150" s="4"/>
      <c r="Z150" s="10"/>
    </row>
    <row r="151" spans="1:26" s="63" customFormat="1" ht="15" customHeight="1" x14ac:dyDescent="0.3">
      <c r="A151" s="13"/>
      <c r="B151" s="27" t="s">
        <v>292</v>
      </c>
      <c r="C151" s="27"/>
      <c r="D151" s="23">
        <f>+D50-D52+D144</f>
        <v>-349534.93000000011</v>
      </c>
      <c r="E151" s="15"/>
      <c r="F151" s="22">
        <f>IF(D$12=0,0,D151/D$12)</f>
        <v>-1.1992890144884689</v>
      </c>
      <c r="G151" s="15"/>
      <c r="H151" s="23">
        <f>+H50-H52+H144</f>
        <v>74892.793733594939</v>
      </c>
      <c r="I151" s="15"/>
      <c r="J151" s="22">
        <f>IF(H$12=0,0,H151/H$12)</f>
        <v>0.26326669736741343</v>
      </c>
      <c r="K151" s="17"/>
      <c r="L151" s="23">
        <f>+D151-H151</f>
        <v>-424427.72373359505</v>
      </c>
      <c r="M151" s="17"/>
      <c r="N151" s="22">
        <f>IF(H151=0,0,L151/H151)</f>
        <v>-5.6671370177930473</v>
      </c>
      <c r="O151" s="28"/>
      <c r="P151" s="23">
        <f>+P50-P52+P144</f>
        <v>964589.11000000173</v>
      </c>
      <c r="Q151" s="15"/>
      <c r="R151" s="22">
        <f>IF(P$12=0,0,P151/P$12)</f>
        <v>0.12349485157581441</v>
      </c>
      <c r="S151" s="15"/>
      <c r="T151" s="23">
        <f>+T50-T52+T144</f>
        <v>832814.30961169163</v>
      </c>
      <c r="U151" s="15"/>
      <c r="V151" s="22">
        <f>IF(T$12=0,0,T151/T$12)</f>
        <v>9.3844396720561093E-2</v>
      </c>
      <c r="W151" s="17"/>
      <c r="X151" s="23">
        <f>+P151-T151</f>
        <v>131774.8003883101</v>
      </c>
      <c r="Y151" s="17"/>
      <c r="Z151" s="22">
        <f>IF(T151=0,0,X151/T151)</f>
        <v>0.15822830956128922</v>
      </c>
    </row>
    <row r="152" spans="1:26" ht="15" customHeight="1" x14ac:dyDescent="0.3">
      <c r="A152" s="12"/>
      <c r="B152" s="13"/>
      <c r="C152" s="12"/>
      <c r="D152" s="4"/>
      <c r="E152" s="4"/>
      <c r="F152" s="10"/>
      <c r="G152" s="4"/>
      <c r="H152" s="4"/>
      <c r="I152" s="4"/>
      <c r="J152" s="10"/>
      <c r="K152" s="4"/>
      <c r="L152" s="4"/>
      <c r="M152" s="4"/>
      <c r="N152" s="10"/>
      <c r="P152" s="4"/>
      <c r="Q152" s="4"/>
      <c r="R152" s="10"/>
      <c r="S152" s="4"/>
      <c r="T152" s="4"/>
      <c r="U152" s="4"/>
      <c r="V152" s="10"/>
      <c r="W152" s="4"/>
      <c r="X152" s="4"/>
      <c r="Y152" s="4"/>
      <c r="Z152" s="10"/>
    </row>
    <row r="153" spans="1:26" s="63" customFormat="1" ht="15" customHeight="1" x14ac:dyDescent="0.3">
      <c r="A153" s="49"/>
      <c r="B153" s="13" t="s">
        <v>293</v>
      </c>
      <c r="C153" s="13"/>
      <c r="D153" s="8">
        <v>-1745854.32</v>
      </c>
      <c r="E153" s="8"/>
      <c r="F153" s="14">
        <f>IF(D$12=0,0,D153/D$12)</f>
        <v>-5.9901993396575142</v>
      </c>
      <c r="G153" s="8"/>
      <c r="H153" s="8">
        <v>-58524</v>
      </c>
      <c r="I153" s="8"/>
      <c r="J153" s="14">
        <f>IF(H$12=0,0,H153/H$12)</f>
        <v>-0.20572633799103612</v>
      </c>
      <c r="K153" s="8"/>
      <c r="L153" s="8">
        <f>+D153-H153</f>
        <v>-1687330.32</v>
      </c>
      <c r="M153" s="8"/>
      <c r="N153" s="14">
        <f>IF(H153=0,0,L153/H153)</f>
        <v>28.831425056387125</v>
      </c>
      <c r="O153" s="13"/>
      <c r="P153" s="8">
        <v>-900493.01</v>
      </c>
      <c r="Q153" s="8"/>
      <c r="R153" s="14">
        <f>IF(P$12=0,0,P153/P$12)</f>
        <v>-0.11528872704669885</v>
      </c>
      <c r="S153" s="8"/>
      <c r="T153" s="8">
        <v>1006306</v>
      </c>
      <c r="U153" s="8"/>
      <c r="V153" s="14">
        <f>IF(T$12=0,0,T153/T$12)</f>
        <v>0.11339404041978195</v>
      </c>
      <c r="W153" s="8"/>
      <c r="X153" s="8">
        <f>+P153-T153</f>
        <v>-1906799.01</v>
      </c>
      <c r="Y153" s="8"/>
      <c r="Z153" s="14">
        <f>IF(T153=0,0,X153/T153)</f>
        <v>-1.8948500853617092</v>
      </c>
    </row>
    <row r="154" spans="1:26" ht="15" customHeight="1" x14ac:dyDescent="0.3">
      <c r="A154" s="12"/>
      <c r="B154" s="13"/>
      <c r="C154" s="13"/>
      <c r="D154" s="4"/>
      <c r="E154" s="4"/>
      <c r="F154" s="10"/>
      <c r="G154" s="4"/>
      <c r="H154" s="4"/>
      <c r="I154" s="4"/>
      <c r="J154" s="10"/>
      <c r="K154" s="4"/>
      <c r="L154" s="4"/>
      <c r="M154" s="4"/>
      <c r="N154" s="10"/>
      <c r="O154" s="13"/>
      <c r="P154" s="4"/>
      <c r="Q154" s="4"/>
      <c r="R154" s="10"/>
      <c r="S154" s="4"/>
      <c r="T154" s="4"/>
      <c r="U154" s="4"/>
      <c r="V154" s="10"/>
      <c r="W154" s="4"/>
      <c r="X154" s="4"/>
      <c r="Y154" s="4"/>
      <c r="Z154" s="10"/>
    </row>
    <row r="155" spans="1:26" s="63" customFormat="1" ht="15" customHeight="1" x14ac:dyDescent="0.3">
      <c r="A155" s="13"/>
      <c r="B155" s="27" t="s">
        <v>294</v>
      </c>
      <c r="C155" s="27"/>
      <c r="D155" s="30">
        <f>+D151-D153</f>
        <v>1396319.39</v>
      </c>
      <c r="E155" s="15"/>
      <c r="F155" s="35">
        <f>IF(D$12=0,0,D155/D$12)</f>
        <v>4.7909103251690448</v>
      </c>
      <c r="G155" s="15"/>
      <c r="H155" s="30">
        <f>+H151-H153</f>
        <v>133416.79373359494</v>
      </c>
      <c r="I155" s="15"/>
      <c r="J155" s="35">
        <f>IF(H$12=0,0,H155/H$12)</f>
        <v>0.46899303535844955</v>
      </c>
      <c r="K155" s="17"/>
      <c r="L155" s="30">
        <f>D155-H155</f>
        <v>1262902.596266405</v>
      </c>
      <c r="M155" s="17"/>
      <c r="N155" s="35">
        <f>IF(H155=0,0,L155/H155)</f>
        <v>9.4658442983433844</v>
      </c>
      <c r="O155" s="28"/>
      <c r="P155" s="30">
        <f>+P151-P153</f>
        <v>1865082.1200000017</v>
      </c>
      <c r="Q155" s="15"/>
      <c r="R155" s="35">
        <f>IF(P$12=0,0,P155/P$12)</f>
        <v>0.23878357862251326</v>
      </c>
      <c r="S155" s="15"/>
      <c r="T155" s="30">
        <f>+T151-T153</f>
        <v>-173491.69038830837</v>
      </c>
      <c r="U155" s="15"/>
      <c r="V155" s="35">
        <f>IF(T$12=0,0,T155/T$12)</f>
        <v>-1.9549643699220846E-2</v>
      </c>
      <c r="W155" s="17"/>
      <c r="X155" s="30">
        <f>P155-T155</f>
        <v>2038573.8103883101</v>
      </c>
      <c r="Y155" s="17"/>
      <c r="Z155" s="35">
        <f>IF(T155=0,0,X155/T155)</f>
        <v>-11.750267726515217</v>
      </c>
    </row>
    <row r="156" spans="1:26" ht="15" customHeight="1" x14ac:dyDescent="0.3">
      <c r="A156" s="12"/>
      <c r="B156" s="12"/>
      <c r="C156" s="12"/>
      <c r="D156" s="4"/>
      <c r="E156" s="4"/>
      <c r="F156" s="10"/>
      <c r="G156" s="4"/>
      <c r="H156" s="4"/>
      <c r="I156" s="4"/>
      <c r="J156" s="10"/>
      <c r="K156" s="4"/>
      <c r="L156" s="4"/>
      <c r="M156" s="4"/>
      <c r="N156" s="10"/>
      <c r="P156" s="4"/>
      <c r="Q156" s="4"/>
      <c r="R156" s="10"/>
      <c r="S156" s="4"/>
      <c r="T156" s="4"/>
      <c r="U156" s="4"/>
      <c r="V156" s="10"/>
      <c r="W156" s="4"/>
      <c r="X156" s="4"/>
      <c r="Y156" s="4"/>
      <c r="Z156" s="10"/>
    </row>
    <row r="157" spans="1:26" ht="15" customHeight="1" x14ac:dyDescent="0.3">
      <c r="A157" s="12"/>
      <c r="B157" s="12"/>
      <c r="C157" s="12"/>
      <c r="D157" s="4"/>
      <c r="E157" s="4"/>
      <c r="F157" s="10"/>
      <c r="G157" s="4"/>
      <c r="H157" s="4"/>
      <c r="I157" s="4"/>
      <c r="J157" s="10"/>
      <c r="K157" s="4"/>
      <c r="L157" s="4"/>
      <c r="M157" s="4"/>
      <c r="N157" s="10"/>
      <c r="P157" s="4"/>
      <c r="Q157" s="4"/>
      <c r="R157" s="10"/>
      <c r="S157" s="4"/>
      <c r="T157" s="4"/>
      <c r="U157" s="4"/>
      <c r="V157" s="10"/>
      <c r="W157" s="4"/>
      <c r="X157" s="4"/>
      <c r="Y157" s="4"/>
      <c r="Z157" s="10"/>
    </row>
    <row r="158" spans="1:26" s="63" customFormat="1" ht="15" customHeight="1" x14ac:dyDescent="0.3">
      <c r="A158" s="13"/>
      <c r="B158" s="27" t="s">
        <v>297</v>
      </c>
      <c r="C158" s="27"/>
      <c r="D158" s="33">
        <f>SUM(D155:D157)</f>
        <v>1396319.39</v>
      </c>
      <c r="E158" s="15"/>
      <c r="F158" s="31">
        <f>IF(D$12=0,0,D158/D$12)</f>
        <v>4.7909103251690448</v>
      </c>
      <c r="G158" s="15"/>
      <c r="H158" s="33">
        <f>SUM(H155:H157)</f>
        <v>133416.79373359494</v>
      </c>
      <c r="I158" s="15"/>
      <c r="J158" s="31">
        <f>IF(H$12=0,0,H158/H$12)</f>
        <v>0.46899303535844955</v>
      </c>
      <c r="K158" s="17"/>
      <c r="L158" s="33">
        <f>+D158-H158</f>
        <v>1262902.596266405</v>
      </c>
      <c r="M158" s="17"/>
      <c r="N158" s="31">
        <f>IF(H158=0,0,L158/H158)</f>
        <v>9.4658442983433844</v>
      </c>
      <c r="O158" s="28"/>
      <c r="P158" s="33">
        <f>SUM(P155:P157)</f>
        <v>1865082.1200000017</v>
      </c>
      <c r="Q158" s="15"/>
      <c r="R158" s="31">
        <f>IF(P$12=0,0,P158/P$12)</f>
        <v>0.23878357862251326</v>
      </c>
      <c r="S158" s="15"/>
      <c r="T158" s="33">
        <f>SUM(T155:T157)</f>
        <v>-173491.69038830837</v>
      </c>
      <c r="U158" s="15"/>
      <c r="V158" s="31">
        <f>IF(T$12=0,0,T158/T$12)</f>
        <v>-1.9549643699220846E-2</v>
      </c>
      <c r="W158" s="17"/>
      <c r="X158" s="33">
        <f>+P158-T158</f>
        <v>2038573.8103883101</v>
      </c>
      <c r="Y158" s="17"/>
      <c r="Z158" s="31">
        <f>IF(T158=0,0,X158/T158)</f>
        <v>-11.750267726515217</v>
      </c>
    </row>
    <row r="159" spans="1:26" ht="15" customHeight="1" x14ac:dyDescent="0.3">
      <c r="A159" s="12"/>
      <c r="C159" s="12"/>
      <c r="D159" s="19"/>
      <c r="E159" s="19"/>
      <c r="G159" s="19"/>
      <c r="H159" s="19"/>
      <c r="I159" s="19"/>
      <c r="J159" s="41"/>
      <c r="K159" s="19"/>
      <c r="L159" s="19"/>
      <c r="M159" s="19"/>
      <c r="P159" s="19"/>
      <c r="Q159" s="19"/>
      <c r="R159" s="41"/>
      <c r="S159" s="19"/>
      <c r="T159" s="19"/>
      <c r="U159" s="19"/>
      <c r="V159" s="41"/>
      <c r="W159" s="19"/>
      <c r="X159" s="19"/>
    </row>
    <row r="160" spans="1:26" ht="15" customHeight="1" x14ac:dyDescent="0.3">
      <c r="A160" s="12"/>
      <c r="B160" s="50">
        <v>44767.799510069446</v>
      </c>
      <c r="D160" s="19"/>
      <c r="E160" s="19"/>
      <c r="G160" s="19"/>
      <c r="H160" s="19"/>
      <c r="I160" s="19"/>
      <c r="J160" s="41"/>
      <c r="K160" s="19"/>
      <c r="L160" s="19"/>
      <c r="M160" s="19"/>
      <c r="P160" s="19"/>
      <c r="Q160" s="19"/>
      <c r="R160" s="41"/>
      <c r="S160" s="19"/>
      <c r="T160" s="19"/>
      <c r="U160" s="19"/>
      <c r="V160" s="41"/>
      <c r="W160" s="19"/>
      <c r="X160" s="19"/>
    </row>
    <row r="161" spans="1:24" ht="15" customHeight="1" x14ac:dyDescent="0.3">
      <c r="A161" s="12"/>
      <c r="B161" s="57" t="s">
        <v>298</v>
      </c>
      <c r="D161" s="19"/>
      <c r="E161" s="19"/>
      <c r="G161" s="19"/>
      <c r="H161" s="19"/>
      <c r="I161" s="19"/>
      <c r="J161" s="41"/>
      <c r="K161" s="19"/>
      <c r="L161" s="19"/>
      <c r="M161" s="19"/>
      <c r="P161" s="19"/>
      <c r="Q161" s="19"/>
      <c r="R161" s="41"/>
      <c r="S161" s="19"/>
      <c r="T161" s="19"/>
      <c r="U161" s="19"/>
      <c r="V161" s="41"/>
      <c r="W161" s="19"/>
      <c r="X161" s="19"/>
    </row>
    <row r="162" spans="1:24" ht="15" customHeight="1" x14ac:dyDescent="0.3">
      <c r="A162" s="12"/>
      <c r="B162" s="51"/>
      <c r="D162" s="19"/>
      <c r="E162" s="19"/>
      <c r="G162" s="19"/>
      <c r="H162" s="19"/>
      <c r="I162" s="19"/>
      <c r="J162" s="41"/>
      <c r="K162" s="19"/>
      <c r="L162" s="19"/>
      <c r="M162" s="19"/>
      <c r="P162" s="19"/>
      <c r="Q162" s="19"/>
      <c r="R162" s="41"/>
      <c r="S162" s="19"/>
      <c r="T162" s="19"/>
      <c r="U162" s="19"/>
      <c r="V162" s="41"/>
      <c r="W162" s="19"/>
      <c r="X162" s="19"/>
    </row>
    <row r="163" spans="1:24" ht="15" customHeight="1" x14ac:dyDescent="0.3">
      <c r="D163" s="19"/>
      <c r="E163" s="19"/>
      <c r="G163" s="19"/>
      <c r="H163" s="19"/>
      <c r="I163" s="19"/>
      <c r="J163" s="41"/>
      <c r="K163" s="19"/>
      <c r="L163" s="19"/>
      <c r="M163" s="19"/>
      <c r="P163" s="19"/>
      <c r="Q163" s="19"/>
      <c r="R163" s="41"/>
      <c r="S163" s="19"/>
      <c r="T163" s="19"/>
      <c r="U163" s="19"/>
      <c r="V163" s="41"/>
      <c r="W163" s="19"/>
      <c r="X163" s="19"/>
    </row>
  </sheetData>
  <pageMargins left="0.25" right="0.25" top="0.75" bottom="0.75" header="0.3" footer="0.3"/>
  <pageSetup scale="55" orientation="landscape" r:id="rId1"/>
  <headerFooter>
    <oddHeader>&amp;RPre-Audit</oddHeader>
    <oddFooter>&amp;L&amp;C&amp;R</oddFooter>
    <evenHeader>&amp;L&amp;C&amp;R</evenHeader>
    <evenFooter>&amp;L&amp;C&amp;R</even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49EC96-A816-1F75-EF21-7CE65646C4DD}">
  <sheetPr>
    <tabColor theme="5" tint="0.39997558519241921"/>
    <outlinePr summaryBelow="0" summaryRight="0"/>
  </sheetPr>
  <dimension ref="A2:Z171"/>
  <sheetViews>
    <sheetView showGridLines="0" defaultGridColor="0" colorId="8" zoomScale="80" workbookViewId="0">
      <pane xSplit="3" ySplit="10" topLeftCell="D11" activePane="bottomRight" state="frozen"/>
      <selection activeCell="D78" sqref="D78"/>
      <selection pane="topRight" activeCell="D78" sqref="D78"/>
      <selection pane="bottomLeft" activeCell="D78" sqref="D78"/>
      <selection pane="bottomRight" activeCell="D78" sqref="D78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3" t="s">
        <v>276</v>
      </c>
    </row>
    <row r="3" spans="1:26" ht="15" customHeight="1" x14ac:dyDescent="0.3">
      <c r="D3" s="53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3" t="str">
        <f>CONCATENATE("Period ",RIGHT(202212,2),", ",2022)</f>
        <v>Period 12,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5"/>
      <c r="D5" s="60">
        <v>44742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5"/>
      <c r="B6" s="47"/>
      <c r="C6" s="47"/>
      <c r="D6" s="25" t="s">
        <v>303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4"/>
    </row>
    <row r="8" spans="1:26" ht="15" customHeight="1" x14ac:dyDescent="0.3">
      <c r="B8" s="54"/>
    </row>
    <row r="9" spans="1:26" ht="15" customHeight="1" x14ac:dyDescent="0.3">
      <c r="B9" s="12"/>
      <c r="C9" s="12"/>
      <c r="D9" s="16" t="s">
        <v>279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280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ht="15" customHeight="1" x14ac:dyDescent="0.3">
      <c r="A10" s="13"/>
      <c r="B10" s="52"/>
      <c r="C10" s="13"/>
      <c r="D10" s="40" t="s">
        <v>281</v>
      </c>
      <c r="E10" s="32"/>
      <c r="F10" s="39" t="s">
        <v>282</v>
      </c>
      <c r="G10" s="32"/>
      <c r="H10" s="45" t="s">
        <v>283</v>
      </c>
      <c r="I10" s="32"/>
      <c r="J10" s="42" t="s">
        <v>284</v>
      </c>
      <c r="K10" s="13"/>
      <c r="L10" s="40" t="s">
        <v>285</v>
      </c>
      <c r="M10" s="13"/>
      <c r="N10" s="39" t="s">
        <v>286</v>
      </c>
      <c r="O10" s="13"/>
      <c r="P10" s="55" t="s">
        <v>281</v>
      </c>
      <c r="Q10" s="32"/>
      <c r="R10" s="39" t="s">
        <v>282</v>
      </c>
      <c r="S10" s="32"/>
      <c r="T10" s="45" t="s">
        <v>283</v>
      </c>
      <c r="U10" s="32"/>
      <c r="V10" s="42" t="s">
        <v>284</v>
      </c>
      <c r="W10" s="13"/>
      <c r="X10" s="40" t="s">
        <v>285</v>
      </c>
      <c r="Y10" s="13"/>
      <c r="Z10" s="39" t="s">
        <v>286</v>
      </c>
    </row>
    <row r="11" spans="1:26" ht="16.5" customHeight="1" x14ac:dyDescent="0.3">
      <c r="A11" s="12"/>
      <c r="B11" s="58"/>
      <c r="C11" s="12"/>
      <c r="D11" s="12"/>
      <c r="E11" s="12"/>
      <c r="F11" s="10"/>
      <c r="G11" s="12"/>
      <c r="H11" s="12"/>
      <c r="I11" s="12"/>
      <c r="J11" s="43"/>
      <c r="K11" s="12"/>
      <c r="L11" s="12"/>
      <c r="M11" s="12"/>
      <c r="N11" s="10"/>
      <c r="P11" s="12"/>
      <c r="Q11" s="12"/>
      <c r="R11" s="10"/>
      <c r="S11" s="12"/>
      <c r="T11" s="12"/>
      <c r="U11" s="12"/>
      <c r="V11" s="43"/>
      <c r="W11" s="12"/>
      <c r="X11" s="12"/>
      <c r="Y11" s="12"/>
      <c r="Z11" s="10"/>
    </row>
    <row r="12" spans="1:26" s="63" customFormat="1" ht="15" customHeight="1" collapsed="1" x14ac:dyDescent="0.3">
      <c r="A12" s="13"/>
      <c r="B12" s="28" t="s">
        <v>287</v>
      </c>
      <c r="C12" s="13"/>
      <c r="D12" s="8">
        <f>SUM(OSRRefD13x_0)</f>
        <v>690595.73999999987</v>
      </c>
      <c r="E12" s="8"/>
      <c r="F12" s="14"/>
      <c r="G12" s="8"/>
      <c r="H12" s="8">
        <f>SUM(OSRRefH13x_0)</f>
        <v>390811</v>
      </c>
      <c r="I12" s="8"/>
      <c r="J12" s="14"/>
      <c r="K12" s="8"/>
      <c r="L12" s="8">
        <f t="shared" ref="L12:L19" si="0">+D12-H12</f>
        <v>299784.73999999987</v>
      </c>
      <c r="M12" s="8"/>
      <c r="N12" s="14">
        <f t="shared" ref="N12:N19" si="1">IF(H12=0,0,L12/H12)</f>
        <v>0.76708367983500947</v>
      </c>
      <c r="O12" s="13"/>
      <c r="P12" s="8">
        <f>SUM(OSRRefP13x_0)</f>
        <v>10694311.77</v>
      </c>
      <c r="Q12" s="8"/>
      <c r="R12" s="14"/>
      <c r="S12" s="8"/>
      <c r="T12" s="8">
        <f>SUM(OSRRefT13x_0)</f>
        <v>11160576</v>
      </c>
      <c r="U12" s="8"/>
      <c r="V12" s="14"/>
      <c r="W12" s="8"/>
      <c r="X12" s="8">
        <f t="shared" ref="X12:X19" si="2">+P12-T12</f>
        <v>-466264.23000000045</v>
      </c>
      <c r="Y12" s="8"/>
      <c r="Z12" s="14">
        <f t="shared" ref="Z12:Z19" si="3">IF(T12=0,0,X12/T12)</f>
        <v>-4.1777792651562111E-2</v>
      </c>
    </row>
    <row r="13" spans="1:26" s="70" customFormat="1" ht="15" hidden="1" customHeight="1" outlineLevel="1" x14ac:dyDescent="0.3">
      <c r="A13" s="48"/>
      <c r="B13" s="9" t="str">
        <f>CONCATENATE("          ","4000"," - ","TAXABLE SALES")</f>
        <v xml:space="preserve">          4000 - TAXABLE SALES</v>
      </c>
      <c r="C13" s="9"/>
      <c r="D13" s="3">
        <f>--832927.14</f>
        <v>832927.14</v>
      </c>
      <c r="E13" s="3"/>
      <c r="F13" s="26"/>
      <c r="G13" s="3"/>
      <c r="H13" s="3">
        <v>385106</v>
      </c>
      <c r="I13" s="3"/>
      <c r="J13" s="26"/>
      <c r="K13" s="3"/>
      <c r="L13" s="3">
        <f t="shared" si="0"/>
        <v>447821.14</v>
      </c>
      <c r="M13" s="3"/>
      <c r="N13" s="26">
        <f t="shared" si="1"/>
        <v>1.162851630460185</v>
      </c>
      <c r="O13" s="9"/>
      <c r="P13" s="3">
        <f>--9753856.66</f>
        <v>9753856.6600000001</v>
      </c>
      <c r="Q13" s="3"/>
      <c r="R13" s="26"/>
      <c r="S13" s="3"/>
      <c r="T13" s="3">
        <v>10639259</v>
      </c>
      <c r="U13" s="3"/>
      <c r="V13" s="26"/>
      <c r="W13" s="3"/>
      <c r="X13" s="3">
        <f t="shared" si="2"/>
        <v>-885402.33999999985</v>
      </c>
      <c r="Y13" s="3"/>
      <c r="Z13" s="26">
        <f t="shared" si="3"/>
        <v>-8.3220301338655239E-2</v>
      </c>
    </row>
    <row r="14" spans="1:26" s="70" customFormat="1" ht="15" hidden="1" customHeight="1" outlineLevel="1" x14ac:dyDescent="0.3">
      <c r="A14" s="48"/>
      <c r="B14" s="9" t="str">
        <f>CONCATENATE("          ","4100"," - ","NON-TAXABLE SALES")</f>
        <v xml:space="preserve">          4100 - NON-TAXABLE SALES</v>
      </c>
      <c r="C14" s="9"/>
      <c r="D14" s="3">
        <f>--102964.56</f>
        <v>102964.56</v>
      </c>
      <c r="E14" s="3"/>
      <c r="F14" s="26"/>
      <c r="G14" s="3"/>
      <c r="H14" s="3">
        <v>5705</v>
      </c>
      <c r="I14" s="3"/>
      <c r="J14" s="26"/>
      <c r="K14" s="3"/>
      <c r="L14" s="3">
        <f t="shared" si="0"/>
        <v>97259.56</v>
      </c>
      <c r="M14" s="3"/>
      <c r="N14" s="26">
        <f t="shared" si="1"/>
        <v>17.04812620508326</v>
      </c>
      <c r="O14" s="9"/>
      <c r="P14" s="3">
        <f>--2106169.34</f>
        <v>2106169.34</v>
      </c>
      <c r="Q14" s="3"/>
      <c r="R14" s="26"/>
      <c r="S14" s="3"/>
      <c r="T14" s="3">
        <v>521317</v>
      </c>
      <c r="U14" s="3"/>
      <c r="V14" s="26"/>
      <c r="W14" s="3"/>
      <c r="X14" s="3">
        <f t="shared" si="2"/>
        <v>1584852.3399999999</v>
      </c>
      <c r="Y14" s="3"/>
      <c r="Z14" s="26">
        <f t="shared" si="3"/>
        <v>3.0400933405202588</v>
      </c>
    </row>
    <row r="15" spans="1:26" s="70" customFormat="1" ht="15" hidden="1" customHeight="1" outlineLevel="1" x14ac:dyDescent="0.3">
      <c r="A15" s="48"/>
      <c r="B15" s="9" t="str">
        <f>CONCATENATE("          ","4141"," - ","NON-TAXABLE SALES-LOGO GIFTS")</f>
        <v xml:space="preserve">          4141 - NON-TAXABLE SALES-LOGO GIFTS</v>
      </c>
      <c r="C15" s="9"/>
      <c r="D15" s="3">
        <f>0</f>
        <v>0</v>
      </c>
      <c r="E15" s="3"/>
      <c r="F15" s="26"/>
      <c r="G15" s="3"/>
      <c r="H15" s="3"/>
      <c r="I15" s="3"/>
      <c r="J15" s="26"/>
      <c r="K15" s="3"/>
      <c r="L15" s="3">
        <f t="shared" si="0"/>
        <v>0</v>
      </c>
      <c r="M15" s="3"/>
      <c r="N15" s="26">
        <f t="shared" si="1"/>
        <v>0</v>
      </c>
      <c r="O15" s="9"/>
      <c r="P15" s="3">
        <f>0</f>
        <v>0</v>
      </c>
      <c r="Q15" s="3"/>
      <c r="R15" s="26"/>
      <c r="S15" s="3"/>
      <c r="T15" s="3"/>
      <c r="U15" s="3"/>
      <c r="V15" s="26"/>
      <c r="W15" s="3"/>
      <c r="X15" s="3">
        <f t="shared" si="2"/>
        <v>0</v>
      </c>
      <c r="Y15" s="3"/>
      <c r="Z15" s="26">
        <f t="shared" si="3"/>
        <v>0</v>
      </c>
    </row>
    <row r="16" spans="1:26" s="70" customFormat="1" ht="15" hidden="1" customHeight="1" outlineLevel="1" x14ac:dyDescent="0.3">
      <c r="A16" s="48"/>
      <c r="B16" s="9" t="str">
        <f>CONCATENATE("          ","4146"," - ","NON-TAXABLE SALES-COIN OP MACH")</f>
        <v xml:space="preserve">          4146 - NON-TAXABLE SALES-COIN OP MACH</v>
      </c>
      <c r="C16" s="9"/>
      <c r="D16" s="3">
        <f>0</f>
        <v>0</v>
      </c>
      <c r="E16" s="3"/>
      <c r="F16" s="26"/>
      <c r="G16" s="3"/>
      <c r="H16" s="3"/>
      <c r="I16" s="3"/>
      <c r="J16" s="26"/>
      <c r="K16" s="3"/>
      <c r="L16" s="3">
        <f t="shared" si="0"/>
        <v>0</v>
      </c>
      <c r="M16" s="3"/>
      <c r="N16" s="26">
        <f t="shared" si="1"/>
        <v>0</v>
      </c>
      <c r="O16" s="9"/>
      <c r="P16" s="3">
        <f>0</f>
        <v>0</v>
      </c>
      <c r="Q16" s="3"/>
      <c r="R16" s="26"/>
      <c r="S16" s="3"/>
      <c r="T16" s="3"/>
      <c r="U16" s="3"/>
      <c r="V16" s="26"/>
      <c r="W16" s="3"/>
      <c r="X16" s="3">
        <f t="shared" si="2"/>
        <v>0</v>
      </c>
      <c r="Y16" s="3"/>
      <c r="Z16" s="26">
        <f t="shared" si="3"/>
        <v>0</v>
      </c>
    </row>
    <row r="17" spans="1:26" s="70" customFormat="1" ht="15" hidden="1" customHeight="1" outlineLevel="1" x14ac:dyDescent="0.3">
      <c r="A17" s="48"/>
      <c r="B17" s="9" t="str">
        <f>CONCATENATE("          ","4200"," - ","TAXABLE RETURNS")</f>
        <v xml:space="preserve">          4200 - TAXABLE RETURNS</v>
      </c>
      <c r="C17" s="9"/>
      <c r="D17" s="3">
        <f>-235863.53</f>
        <v>-235863.53</v>
      </c>
      <c r="E17" s="3"/>
      <c r="F17" s="26"/>
      <c r="G17" s="3"/>
      <c r="H17" s="3"/>
      <c r="I17" s="3"/>
      <c r="J17" s="26"/>
      <c r="K17" s="3"/>
      <c r="L17" s="3">
        <f t="shared" si="0"/>
        <v>-235863.53</v>
      </c>
      <c r="M17" s="3"/>
      <c r="N17" s="26">
        <f t="shared" si="1"/>
        <v>0</v>
      </c>
      <c r="O17" s="9"/>
      <c r="P17" s="3">
        <f>-984039.13</f>
        <v>-984039.13</v>
      </c>
      <c r="Q17" s="3"/>
      <c r="R17" s="26"/>
      <c r="S17" s="3"/>
      <c r="T17" s="3"/>
      <c r="U17" s="3"/>
      <c r="V17" s="26"/>
      <c r="W17" s="3"/>
      <c r="X17" s="3">
        <f t="shared" si="2"/>
        <v>-984039.13</v>
      </c>
      <c r="Y17" s="3"/>
      <c r="Z17" s="26">
        <f t="shared" si="3"/>
        <v>0</v>
      </c>
    </row>
    <row r="18" spans="1:26" s="70" customFormat="1" ht="15" hidden="1" customHeight="1" outlineLevel="1" x14ac:dyDescent="0.3">
      <c r="A18" s="48"/>
      <c r="B18" s="9" t="str">
        <f>CONCATENATE("          ","4300"," - ","NON-TAX RETURNS")</f>
        <v xml:space="preserve">          4300 - NON-TAX RETURNS</v>
      </c>
      <c r="C18" s="9"/>
      <c r="D18" s="3">
        <f>-1514.12</f>
        <v>-1514.12</v>
      </c>
      <c r="E18" s="3"/>
      <c r="F18" s="26"/>
      <c r="G18" s="3"/>
      <c r="H18" s="3"/>
      <c r="I18" s="3"/>
      <c r="J18" s="26"/>
      <c r="K18" s="3"/>
      <c r="L18" s="3">
        <f t="shared" si="0"/>
        <v>-1514.12</v>
      </c>
      <c r="M18" s="3"/>
      <c r="N18" s="26">
        <f t="shared" si="1"/>
        <v>0</v>
      </c>
      <c r="O18" s="9"/>
      <c r="P18" s="3">
        <f>-44399.7</f>
        <v>-44399.7</v>
      </c>
      <c r="Q18" s="3"/>
      <c r="R18" s="26"/>
      <c r="S18" s="3"/>
      <c r="T18" s="3"/>
      <c r="U18" s="3"/>
      <c r="V18" s="26"/>
      <c r="W18" s="3"/>
      <c r="X18" s="3">
        <f t="shared" si="2"/>
        <v>-44399.7</v>
      </c>
      <c r="Y18" s="3"/>
      <c r="Z18" s="26">
        <f t="shared" si="3"/>
        <v>0</v>
      </c>
    </row>
    <row r="19" spans="1:26" s="70" customFormat="1" ht="15" hidden="1" customHeight="1" outlineLevel="1" x14ac:dyDescent="0.3">
      <c r="A19" s="48"/>
      <c r="B19" s="9" t="str">
        <f>CONCATENATE("          ","4500"," - ","SALES DISCOUNT")</f>
        <v xml:space="preserve">          4500 - SALES DISCOUNT</v>
      </c>
      <c r="C19" s="9"/>
      <c r="D19" s="3">
        <f>-7918.31</f>
        <v>-7918.31</v>
      </c>
      <c r="E19" s="3"/>
      <c r="F19" s="26"/>
      <c r="G19" s="3"/>
      <c r="H19" s="3"/>
      <c r="I19" s="3"/>
      <c r="J19" s="26"/>
      <c r="K19" s="3"/>
      <c r="L19" s="3">
        <f t="shared" si="0"/>
        <v>-7918.31</v>
      </c>
      <c r="M19" s="3"/>
      <c r="N19" s="26">
        <f t="shared" si="1"/>
        <v>0</v>
      </c>
      <c r="O19" s="9"/>
      <c r="P19" s="3">
        <f>-137275.4</f>
        <v>-137275.4</v>
      </c>
      <c r="Q19" s="3"/>
      <c r="R19" s="26"/>
      <c r="S19" s="3"/>
      <c r="T19" s="3"/>
      <c r="U19" s="3"/>
      <c r="V19" s="26"/>
      <c r="W19" s="3"/>
      <c r="X19" s="3">
        <f t="shared" si="2"/>
        <v>-137275.4</v>
      </c>
      <c r="Y19" s="3"/>
      <c r="Z19" s="26">
        <f t="shared" si="3"/>
        <v>0</v>
      </c>
    </row>
    <row r="20" spans="1:26" ht="15" customHeight="1" x14ac:dyDescent="0.3">
      <c r="A20" s="12"/>
      <c r="B20" s="13"/>
      <c r="C20" s="12"/>
      <c r="D20" s="4"/>
      <c r="E20" s="4"/>
      <c r="F20" s="10"/>
      <c r="G20" s="4"/>
      <c r="H20" s="4"/>
      <c r="I20" s="4"/>
      <c r="J20" s="10"/>
      <c r="K20" s="4"/>
      <c r="L20" s="4"/>
      <c r="M20" s="4"/>
      <c r="N20" s="10"/>
      <c r="P20" s="4"/>
      <c r="Q20" s="4"/>
      <c r="R20" s="10"/>
      <c r="S20" s="4"/>
      <c r="T20" s="4"/>
      <c r="U20" s="4"/>
      <c r="V20" s="10"/>
      <c r="W20" s="4"/>
      <c r="X20" s="4"/>
      <c r="Y20" s="4"/>
      <c r="Z20" s="10"/>
    </row>
    <row r="21" spans="1:26" s="63" customFormat="1" ht="15" customHeight="1" collapsed="1" x14ac:dyDescent="0.3">
      <c r="A21" s="13"/>
      <c r="B21" s="28" t="s">
        <v>288</v>
      </c>
      <c r="C21" s="13"/>
      <c r="D21" s="8">
        <f>SUM(OSRRefD16x_0)</f>
        <v>718962.26</v>
      </c>
      <c r="E21" s="8"/>
      <c r="F21" s="14">
        <f t="shared" ref="F21:F54" si="4">IF(D$12=0,0,D21/D$12)</f>
        <v>1.0410754343778608</v>
      </c>
      <c r="G21" s="8"/>
      <c r="H21" s="8">
        <f>SUM(OSRRefH16x_0)</f>
        <v>245688</v>
      </c>
      <c r="I21" s="8"/>
      <c r="J21" s="14">
        <f t="shared" ref="J21:J54" si="5">IF(H$12=0,0,H21/H$12)</f>
        <v>0.62866193633239598</v>
      </c>
      <c r="K21" s="8"/>
      <c r="L21" s="8">
        <f t="shared" ref="L21:L54" si="6">+D21-H21</f>
        <v>473274.26</v>
      </c>
      <c r="M21" s="8"/>
      <c r="N21" s="14">
        <f t="shared" ref="N21:N54" si="7">IF(H21=0,0,L21/H21)</f>
        <v>1.9263222461007456</v>
      </c>
      <c r="O21" s="13"/>
      <c r="P21" s="8">
        <f>SUM(OSRRefP16x_0)</f>
        <v>6901991.0599999996</v>
      </c>
      <c r="Q21" s="8"/>
      <c r="R21" s="14">
        <f t="shared" ref="R21:R54" si="8">IF(P$12=0,0,P21/P$12)</f>
        <v>0.64538898887927221</v>
      </c>
      <c r="S21" s="8"/>
      <c r="T21" s="8">
        <f>SUM(OSRRefT16x_0)</f>
        <v>7396773</v>
      </c>
      <c r="U21" s="8"/>
      <c r="V21" s="14">
        <f t="shared" ref="V21:V54" si="9">IF(T$12=0,0,T21/T$12)</f>
        <v>0.66275907265001377</v>
      </c>
      <c r="W21" s="8"/>
      <c r="X21" s="8">
        <f t="shared" ref="X21:X54" si="10">+P21-T21</f>
        <v>-494781.94000000041</v>
      </c>
      <c r="Y21" s="8"/>
      <c r="Z21" s="14">
        <f t="shared" ref="Z21:Z54" si="11">IF(T21=0,0,X21/T21)</f>
        <v>-6.6891594483161829E-2</v>
      </c>
    </row>
    <row r="22" spans="1:26" s="70" customFormat="1" ht="15" hidden="1" customHeight="1" outlineLevel="1" x14ac:dyDescent="0.3">
      <c r="A22" s="48"/>
      <c r="B22" s="9" t="str">
        <f>CONCATENATE("          ","5000"," - ","PURCHASES @ COST")</f>
        <v xml:space="preserve">          5000 - PURCHASES @ COST</v>
      </c>
      <c r="C22" s="9"/>
      <c r="D22" s="3">
        <v>785276.08</v>
      </c>
      <c r="E22" s="3"/>
      <c r="F22" s="26">
        <f t="shared" si="4"/>
        <v>1.1370995135301589</v>
      </c>
      <c r="G22" s="3"/>
      <c r="H22" s="3">
        <v>245688</v>
      </c>
      <c r="I22" s="3"/>
      <c r="J22" s="26">
        <f t="shared" si="5"/>
        <v>0.62866193633239598</v>
      </c>
      <c r="K22" s="3"/>
      <c r="L22" s="3">
        <f t="shared" si="6"/>
        <v>539588.07999999996</v>
      </c>
      <c r="M22" s="3"/>
      <c r="N22" s="26">
        <f t="shared" si="7"/>
        <v>2.1962329458500212</v>
      </c>
      <c r="O22" s="9"/>
      <c r="P22" s="3">
        <v>7047248.1600000001</v>
      </c>
      <c r="Q22" s="3"/>
      <c r="R22" s="26">
        <f t="shared" si="8"/>
        <v>0.65897163946249904</v>
      </c>
      <c r="S22" s="3"/>
      <c r="T22" s="3">
        <v>7396773</v>
      </c>
      <c r="U22" s="3"/>
      <c r="V22" s="26">
        <f t="shared" si="9"/>
        <v>0.66275907265001377</v>
      </c>
      <c r="W22" s="3"/>
      <c r="X22" s="3">
        <f t="shared" si="10"/>
        <v>-349524.83999999985</v>
      </c>
      <c r="Y22" s="3"/>
      <c r="Z22" s="26">
        <f t="shared" si="11"/>
        <v>-4.7253692927983572E-2</v>
      </c>
    </row>
    <row r="23" spans="1:26" s="70" customFormat="1" ht="15" hidden="1" customHeight="1" outlineLevel="1" x14ac:dyDescent="0.3">
      <c r="A23" s="48"/>
      <c r="B23" s="9" t="str">
        <f>CONCATENATE("          ","5001"," - ","PURCHASES @ COST-NEW TEXT")</f>
        <v xml:space="preserve">          5001 - PURCHASES @ COST-NEW TEXT</v>
      </c>
      <c r="C23" s="9"/>
      <c r="D23" s="3"/>
      <c r="E23" s="3"/>
      <c r="F23" s="26">
        <f t="shared" si="4"/>
        <v>0</v>
      </c>
      <c r="G23" s="3"/>
      <c r="H23" s="3"/>
      <c r="I23" s="3"/>
      <c r="J23" s="26">
        <f t="shared" si="5"/>
        <v>0</v>
      </c>
      <c r="K23" s="3"/>
      <c r="L23" s="3">
        <f t="shared" si="6"/>
        <v>0</v>
      </c>
      <c r="M23" s="3"/>
      <c r="N23" s="26">
        <f t="shared" si="7"/>
        <v>0</v>
      </c>
      <c r="O23" s="9"/>
      <c r="P23" s="3">
        <v>0</v>
      </c>
      <c r="Q23" s="3"/>
      <c r="R23" s="26">
        <f t="shared" si="8"/>
        <v>0</v>
      </c>
      <c r="S23" s="3"/>
      <c r="T23" s="3"/>
      <c r="U23" s="3"/>
      <c r="V23" s="26">
        <f t="shared" si="9"/>
        <v>0</v>
      </c>
      <c r="W23" s="3"/>
      <c r="X23" s="3">
        <f t="shared" si="10"/>
        <v>0</v>
      </c>
      <c r="Y23" s="3"/>
      <c r="Z23" s="26">
        <f t="shared" si="11"/>
        <v>0</v>
      </c>
    </row>
    <row r="24" spans="1:26" s="70" customFormat="1" ht="15" hidden="1" customHeight="1" outlineLevel="1" x14ac:dyDescent="0.3">
      <c r="A24" s="48"/>
      <c r="B24" s="9" t="str">
        <f>CONCATENATE("          ","5002"," - ","PURCHASES @ COST-USED TEXT")</f>
        <v xml:space="preserve">          5002 - PURCHASES @ COST-USED TEXT</v>
      </c>
      <c r="C24" s="9"/>
      <c r="D24" s="3"/>
      <c r="E24" s="3"/>
      <c r="F24" s="26">
        <f t="shared" si="4"/>
        <v>0</v>
      </c>
      <c r="G24" s="3"/>
      <c r="H24" s="3"/>
      <c r="I24" s="3"/>
      <c r="J24" s="26">
        <f t="shared" si="5"/>
        <v>0</v>
      </c>
      <c r="K24" s="3"/>
      <c r="L24" s="3">
        <f t="shared" si="6"/>
        <v>0</v>
      </c>
      <c r="M24" s="3"/>
      <c r="N24" s="26">
        <f t="shared" si="7"/>
        <v>0</v>
      </c>
      <c r="O24" s="9"/>
      <c r="P24" s="3">
        <v>0</v>
      </c>
      <c r="Q24" s="3"/>
      <c r="R24" s="26">
        <f t="shared" si="8"/>
        <v>0</v>
      </c>
      <c r="S24" s="3"/>
      <c r="T24" s="3"/>
      <c r="U24" s="3"/>
      <c r="V24" s="26">
        <f t="shared" si="9"/>
        <v>0</v>
      </c>
      <c r="W24" s="3"/>
      <c r="X24" s="3">
        <f t="shared" si="10"/>
        <v>0</v>
      </c>
      <c r="Y24" s="3"/>
      <c r="Z24" s="26">
        <f t="shared" si="11"/>
        <v>0</v>
      </c>
    </row>
    <row r="25" spans="1:26" s="70" customFormat="1" ht="15" hidden="1" customHeight="1" outlineLevel="1" x14ac:dyDescent="0.3">
      <c r="A25" s="48"/>
      <c r="B25" s="9" t="str">
        <f>CONCATENATE("          ","5004"," - ","PURCHASES @ COST-DIGITAL TEXT")</f>
        <v xml:space="preserve">          5004 - PURCHASES @ COST-DIGITAL TEXT</v>
      </c>
      <c r="C25" s="9"/>
      <c r="D25" s="3"/>
      <c r="E25" s="3"/>
      <c r="F25" s="26">
        <f t="shared" si="4"/>
        <v>0</v>
      </c>
      <c r="G25" s="3"/>
      <c r="H25" s="3"/>
      <c r="I25" s="3"/>
      <c r="J25" s="26">
        <f t="shared" si="5"/>
        <v>0</v>
      </c>
      <c r="K25" s="3"/>
      <c r="L25" s="3">
        <f t="shared" si="6"/>
        <v>0</v>
      </c>
      <c r="M25" s="3"/>
      <c r="N25" s="26">
        <f t="shared" si="7"/>
        <v>0</v>
      </c>
      <c r="O25" s="9"/>
      <c r="P25" s="3">
        <v>0</v>
      </c>
      <c r="Q25" s="3"/>
      <c r="R25" s="26">
        <f t="shared" si="8"/>
        <v>0</v>
      </c>
      <c r="S25" s="3"/>
      <c r="T25" s="3"/>
      <c r="U25" s="3"/>
      <c r="V25" s="26">
        <f t="shared" si="9"/>
        <v>0</v>
      </c>
      <c r="W25" s="3"/>
      <c r="X25" s="3">
        <f t="shared" si="10"/>
        <v>0</v>
      </c>
      <c r="Y25" s="3"/>
      <c r="Z25" s="26">
        <f t="shared" si="11"/>
        <v>0</v>
      </c>
    </row>
    <row r="26" spans="1:26" s="70" customFormat="1" ht="15" hidden="1" customHeight="1" outlineLevel="1" x14ac:dyDescent="0.3">
      <c r="A26" s="48"/>
      <c r="B26" s="9" t="str">
        <f>CONCATENATE("          ","5026"," - ","PURCHASES @ COST-WRITING INSTR")</f>
        <v xml:space="preserve">          5026 - PURCHASES @ COST-WRITING INSTR</v>
      </c>
      <c r="C26" s="9"/>
      <c r="D26" s="3"/>
      <c r="E26" s="3"/>
      <c r="F26" s="26">
        <f t="shared" si="4"/>
        <v>0</v>
      </c>
      <c r="G26" s="3"/>
      <c r="H26" s="3"/>
      <c r="I26" s="3"/>
      <c r="J26" s="26">
        <f t="shared" si="5"/>
        <v>0</v>
      </c>
      <c r="K26" s="3"/>
      <c r="L26" s="3">
        <f t="shared" si="6"/>
        <v>0</v>
      </c>
      <c r="M26" s="3"/>
      <c r="N26" s="26">
        <f t="shared" si="7"/>
        <v>0</v>
      </c>
      <c r="O26" s="9"/>
      <c r="P26" s="3">
        <v>0</v>
      </c>
      <c r="Q26" s="3"/>
      <c r="R26" s="26">
        <f t="shared" si="8"/>
        <v>0</v>
      </c>
      <c r="S26" s="3"/>
      <c r="T26" s="3"/>
      <c r="U26" s="3"/>
      <c r="V26" s="26">
        <f t="shared" si="9"/>
        <v>0</v>
      </c>
      <c r="W26" s="3"/>
      <c r="X26" s="3">
        <f t="shared" si="10"/>
        <v>0</v>
      </c>
      <c r="Y26" s="3"/>
      <c r="Z26" s="26">
        <f t="shared" si="11"/>
        <v>0</v>
      </c>
    </row>
    <row r="27" spans="1:26" s="70" customFormat="1" ht="15" hidden="1" customHeight="1" outlineLevel="1" x14ac:dyDescent="0.3">
      <c r="A27" s="48"/>
      <c r="B27" s="9" t="str">
        <f>CONCATENATE("          ","5027"," - ","PURCHASES @ COST-SCHOOL SUPPLI")</f>
        <v xml:space="preserve">          5027 - PURCHASES @ COST-SCHOOL SUPPLI</v>
      </c>
      <c r="C27" s="9"/>
      <c r="D27" s="3"/>
      <c r="E27" s="3"/>
      <c r="F27" s="26">
        <f t="shared" si="4"/>
        <v>0</v>
      </c>
      <c r="G27" s="3"/>
      <c r="H27" s="3"/>
      <c r="I27" s="3"/>
      <c r="J27" s="26">
        <f t="shared" si="5"/>
        <v>0</v>
      </c>
      <c r="K27" s="3"/>
      <c r="L27" s="3">
        <f t="shared" si="6"/>
        <v>0</v>
      </c>
      <c r="M27" s="3"/>
      <c r="N27" s="26">
        <f t="shared" si="7"/>
        <v>0</v>
      </c>
      <c r="O27" s="9"/>
      <c r="P27" s="3">
        <v>0</v>
      </c>
      <c r="Q27" s="3"/>
      <c r="R27" s="26">
        <f t="shared" si="8"/>
        <v>0</v>
      </c>
      <c r="S27" s="3"/>
      <c r="T27" s="3"/>
      <c r="U27" s="3"/>
      <c r="V27" s="26">
        <f t="shared" si="9"/>
        <v>0</v>
      </c>
      <c r="W27" s="3"/>
      <c r="X27" s="3">
        <f t="shared" si="10"/>
        <v>0</v>
      </c>
      <c r="Y27" s="3"/>
      <c r="Z27" s="26">
        <f t="shared" si="11"/>
        <v>0</v>
      </c>
    </row>
    <row r="28" spans="1:26" s="70" customFormat="1" ht="15" hidden="1" customHeight="1" outlineLevel="1" x14ac:dyDescent="0.3">
      <c r="A28" s="48"/>
      <c r="B28" s="9" t="str">
        <f>CONCATENATE("          ","5028"," - ","PURCHASES @ COST-ART/TECH")</f>
        <v xml:space="preserve">          5028 - PURCHASES @ COST-ART/TECH</v>
      </c>
      <c r="C28" s="9"/>
      <c r="D28" s="3"/>
      <c r="E28" s="3"/>
      <c r="F28" s="26">
        <f t="shared" si="4"/>
        <v>0</v>
      </c>
      <c r="G28" s="3"/>
      <c r="H28" s="3"/>
      <c r="I28" s="3"/>
      <c r="J28" s="26">
        <f t="shared" si="5"/>
        <v>0</v>
      </c>
      <c r="K28" s="3"/>
      <c r="L28" s="3">
        <f t="shared" si="6"/>
        <v>0</v>
      </c>
      <c r="M28" s="3"/>
      <c r="N28" s="26">
        <f t="shared" si="7"/>
        <v>0</v>
      </c>
      <c r="O28" s="9"/>
      <c r="P28" s="3">
        <v>0</v>
      </c>
      <c r="Q28" s="3"/>
      <c r="R28" s="26">
        <f t="shared" si="8"/>
        <v>0</v>
      </c>
      <c r="S28" s="3"/>
      <c r="T28" s="3"/>
      <c r="U28" s="3"/>
      <c r="V28" s="26">
        <f t="shared" si="9"/>
        <v>0</v>
      </c>
      <c r="W28" s="3"/>
      <c r="X28" s="3">
        <f t="shared" si="10"/>
        <v>0</v>
      </c>
      <c r="Y28" s="3"/>
      <c r="Z28" s="26">
        <f t="shared" si="11"/>
        <v>0</v>
      </c>
    </row>
    <row r="29" spans="1:26" s="70" customFormat="1" ht="15" hidden="1" customHeight="1" outlineLevel="1" x14ac:dyDescent="0.3">
      <c r="A29" s="48"/>
      <c r="B29" s="9" t="str">
        <f>CONCATENATE("          ","5031"," - ","PURCHASES @ COST-FOOD")</f>
        <v xml:space="preserve">          5031 - PURCHASES @ COST-FOOD</v>
      </c>
      <c r="C29" s="9"/>
      <c r="D29" s="3"/>
      <c r="E29" s="3"/>
      <c r="F29" s="26">
        <f t="shared" si="4"/>
        <v>0</v>
      </c>
      <c r="G29" s="3"/>
      <c r="H29" s="3"/>
      <c r="I29" s="3"/>
      <c r="J29" s="26">
        <f t="shared" si="5"/>
        <v>0</v>
      </c>
      <c r="K29" s="3"/>
      <c r="L29" s="3">
        <f t="shared" si="6"/>
        <v>0</v>
      </c>
      <c r="M29" s="3"/>
      <c r="N29" s="26">
        <f t="shared" si="7"/>
        <v>0</v>
      </c>
      <c r="O29" s="9"/>
      <c r="P29" s="3">
        <v>0</v>
      </c>
      <c r="Q29" s="3"/>
      <c r="R29" s="26">
        <f t="shared" si="8"/>
        <v>0</v>
      </c>
      <c r="S29" s="3"/>
      <c r="T29" s="3"/>
      <c r="U29" s="3"/>
      <c r="V29" s="26">
        <f t="shared" si="9"/>
        <v>0</v>
      </c>
      <c r="W29" s="3"/>
      <c r="X29" s="3">
        <f t="shared" si="10"/>
        <v>0</v>
      </c>
      <c r="Y29" s="3"/>
      <c r="Z29" s="26">
        <f t="shared" si="11"/>
        <v>0</v>
      </c>
    </row>
    <row r="30" spans="1:26" s="70" customFormat="1" ht="15" hidden="1" customHeight="1" outlineLevel="1" x14ac:dyDescent="0.3">
      <c r="A30" s="48"/>
      <c r="B30" s="9" t="str">
        <f>CONCATENATE("          ","5040"," - ","PURCHASES @ COST-LOGO CLOTHING")</f>
        <v xml:space="preserve">          5040 - PURCHASES @ COST-LOGO CLOTHING</v>
      </c>
      <c r="C30" s="9"/>
      <c r="D30" s="3"/>
      <c r="E30" s="3"/>
      <c r="F30" s="26">
        <f t="shared" si="4"/>
        <v>0</v>
      </c>
      <c r="G30" s="3"/>
      <c r="H30" s="3"/>
      <c r="I30" s="3"/>
      <c r="J30" s="26">
        <f t="shared" si="5"/>
        <v>0</v>
      </c>
      <c r="K30" s="3"/>
      <c r="L30" s="3">
        <f t="shared" si="6"/>
        <v>0</v>
      </c>
      <c r="M30" s="3"/>
      <c r="N30" s="26">
        <f t="shared" si="7"/>
        <v>0</v>
      </c>
      <c r="O30" s="9"/>
      <c r="P30" s="3">
        <v>0</v>
      </c>
      <c r="Q30" s="3"/>
      <c r="R30" s="26">
        <f t="shared" si="8"/>
        <v>0</v>
      </c>
      <c r="S30" s="3"/>
      <c r="T30" s="3"/>
      <c r="U30" s="3"/>
      <c r="V30" s="26">
        <f t="shared" si="9"/>
        <v>0</v>
      </c>
      <c r="W30" s="3"/>
      <c r="X30" s="3">
        <f t="shared" si="10"/>
        <v>0</v>
      </c>
      <c r="Y30" s="3"/>
      <c r="Z30" s="26">
        <f t="shared" si="11"/>
        <v>0</v>
      </c>
    </row>
    <row r="31" spans="1:26" s="70" customFormat="1" ht="15" hidden="1" customHeight="1" outlineLevel="1" x14ac:dyDescent="0.3">
      <c r="A31" s="48"/>
      <c r="B31" s="9" t="str">
        <f>CONCATENATE("          ","5041"," - ","PURCHASES @ COST-LOGO GIFTS")</f>
        <v xml:space="preserve">          5041 - PURCHASES @ COST-LOGO GIFTS</v>
      </c>
      <c r="C31" s="9"/>
      <c r="D31" s="3"/>
      <c r="E31" s="3"/>
      <c r="F31" s="26">
        <f t="shared" si="4"/>
        <v>0</v>
      </c>
      <c r="G31" s="3"/>
      <c r="H31" s="3"/>
      <c r="I31" s="3"/>
      <c r="J31" s="26">
        <f t="shared" si="5"/>
        <v>0</v>
      </c>
      <c r="K31" s="3"/>
      <c r="L31" s="3">
        <f t="shared" si="6"/>
        <v>0</v>
      </c>
      <c r="M31" s="3"/>
      <c r="N31" s="26">
        <f t="shared" si="7"/>
        <v>0</v>
      </c>
      <c r="O31" s="9"/>
      <c r="P31" s="3">
        <v>0</v>
      </c>
      <c r="Q31" s="3"/>
      <c r="R31" s="26">
        <f t="shared" si="8"/>
        <v>0</v>
      </c>
      <c r="S31" s="3"/>
      <c r="T31" s="3"/>
      <c r="U31" s="3"/>
      <c r="V31" s="26">
        <f t="shared" si="9"/>
        <v>0</v>
      </c>
      <c r="W31" s="3"/>
      <c r="X31" s="3">
        <f t="shared" si="10"/>
        <v>0</v>
      </c>
      <c r="Y31" s="3"/>
      <c r="Z31" s="26">
        <f t="shared" si="11"/>
        <v>0</v>
      </c>
    </row>
    <row r="32" spans="1:26" s="70" customFormat="1" ht="15" hidden="1" customHeight="1" outlineLevel="1" x14ac:dyDescent="0.3">
      <c r="A32" s="48"/>
      <c r="B32" s="9" t="str">
        <f>CONCATENATE("          ","5042"," - ","PURCHASES @ COST-EVERYDAY GIFT")</f>
        <v xml:space="preserve">          5042 - PURCHASES @ COST-EVERYDAY GIFT</v>
      </c>
      <c r="C32" s="9"/>
      <c r="D32" s="3"/>
      <c r="E32" s="3"/>
      <c r="F32" s="26">
        <f t="shared" si="4"/>
        <v>0</v>
      </c>
      <c r="G32" s="3"/>
      <c r="H32" s="3"/>
      <c r="I32" s="3"/>
      <c r="J32" s="26">
        <f t="shared" si="5"/>
        <v>0</v>
      </c>
      <c r="K32" s="3"/>
      <c r="L32" s="3">
        <f t="shared" si="6"/>
        <v>0</v>
      </c>
      <c r="M32" s="3"/>
      <c r="N32" s="26">
        <f t="shared" si="7"/>
        <v>0</v>
      </c>
      <c r="O32" s="9"/>
      <c r="P32" s="3">
        <v>0</v>
      </c>
      <c r="Q32" s="3"/>
      <c r="R32" s="26">
        <f t="shared" si="8"/>
        <v>0</v>
      </c>
      <c r="S32" s="3"/>
      <c r="T32" s="3"/>
      <c r="U32" s="3"/>
      <c r="V32" s="26">
        <f t="shared" si="9"/>
        <v>0</v>
      </c>
      <c r="W32" s="3"/>
      <c r="X32" s="3">
        <f t="shared" si="10"/>
        <v>0</v>
      </c>
      <c r="Y32" s="3"/>
      <c r="Z32" s="26">
        <f t="shared" si="11"/>
        <v>0</v>
      </c>
    </row>
    <row r="33" spans="1:26" s="70" customFormat="1" ht="15" hidden="1" customHeight="1" outlineLevel="1" x14ac:dyDescent="0.3">
      <c r="A33" s="48"/>
      <c r="B33" s="9" t="str">
        <f>CONCATENATE("          ","5043"," - ","PURCHASES @ COST-CARDS")</f>
        <v xml:space="preserve">          5043 - PURCHASES @ COST-CARDS</v>
      </c>
      <c r="C33" s="9"/>
      <c r="D33" s="3"/>
      <c r="E33" s="3"/>
      <c r="F33" s="26">
        <f t="shared" si="4"/>
        <v>0</v>
      </c>
      <c r="G33" s="3"/>
      <c r="H33" s="3"/>
      <c r="I33" s="3"/>
      <c r="J33" s="26">
        <f t="shared" si="5"/>
        <v>0</v>
      </c>
      <c r="K33" s="3"/>
      <c r="L33" s="3">
        <f t="shared" si="6"/>
        <v>0</v>
      </c>
      <c r="M33" s="3"/>
      <c r="N33" s="26">
        <f t="shared" si="7"/>
        <v>0</v>
      </c>
      <c r="O33" s="9"/>
      <c r="P33" s="3">
        <v>0</v>
      </c>
      <c r="Q33" s="3"/>
      <c r="R33" s="26">
        <f t="shared" si="8"/>
        <v>0</v>
      </c>
      <c r="S33" s="3"/>
      <c r="T33" s="3"/>
      <c r="U33" s="3"/>
      <c r="V33" s="26">
        <f t="shared" si="9"/>
        <v>0</v>
      </c>
      <c r="W33" s="3"/>
      <c r="X33" s="3">
        <f t="shared" si="10"/>
        <v>0</v>
      </c>
      <c r="Y33" s="3"/>
      <c r="Z33" s="26">
        <f t="shared" si="11"/>
        <v>0</v>
      </c>
    </row>
    <row r="34" spans="1:26" s="70" customFormat="1" ht="15" hidden="1" customHeight="1" outlineLevel="1" x14ac:dyDescent="0.3">
      <c r="A34" s="48"/>
      <c r="B34" s="9" t="str">
        <f>CONCATENATE("          ","5044"," - ","PURCHASES @ COST-ACCESSORIES")</f>
        <v xml:space="preserve">          5044 - PURCHASES @ COST-ACCESSORIES</v>
      </c>
      <c r="C34" s="9"/>
      <c r="D34" s="3"/>
      <c r="E34" s="3"/>
      <c r="F34" s="26">
        <f t="shared" si="4"/>
        <v>0</v>
      </c>
      <c r="G34" s="3"/>
      <c r="H34" s="3"/>
      <c r="I34" s="3"/>
      <c r="J34" s="26">
        <f t="shared" si="5"/>
        <v>0</v>
      </c>
      <c r="K34" s="3"/>
      <c r="L34" s="3">
        <f t="shared" si="6"/>
        <v>0</v>
      </c>
      <c r="M34" s="3"/>
      <c r="N34" s="26">
        <f t="shared" si="7"/>
        <v>0</v>
      </c>
      <c r="O34" s="9"/>
      <c r="P34" s="3">
        <v>0</v>
      </c>
      <c r="Q34" s="3"/>
      <c r="R34" s="26">
        <f t="shared" si="8"/>
        <v>0</v>
      </c>
      <c r="S34" s="3"/>
      <c r="T34" s="3"/>
      <c r="U34" s="3"/>
      <c r="V34" s="26">
        <f t="shared" si="9"/>
        <v>0</v>
      </c>
      <c r="W34" s="3"/>
      <c r="X34" s="3">
        <f t="shared" si="10"/>
        <v>0</v>
      </c>
      <c r="Y34" s="3"/>
      <c r="Z34" s="26">
        <f t="shared" si="11"/>
        <v>0</v>
      </c>
    </row>
    <row r="35" spans="1:26" s="70" customFormat="1" ht="15" hidden="1" customHeight="1" outlineLevel="1" x14ac:dyDescent="0.3">
      <c r="A35" s="48"/>
      <c r="B35" s="9" t="str">
        <f>CONCATENATE("          ","5045"," - ","PURCHASES @ COST-SPECIAL ORDER")</f>
        <v xml:space="preserve">          5045 - PURCHASES @ COST-SPECIAL ORDER</v>
      </c>
      <c r="C35" s="9"/>
      <c r="D35" s="3"/>
      <c r="E35" s="3"/>
      <c r="F35" s="26">
        <f t="shared" si="4"/>
        <v>0</v>
      </c>
      <c r="G35" s="3"/>
      <c r="H35" s="3"/>
      <c r="I35" s="3"/>
      <c r="J35" s="26">
        <f t="shared" si="5"/>
        <v>0</v>
      </c>
      <c r="K35" s="3"/>
      <c r="L35" s="3">
        <f t="shared" si="6"/>
        <v>0</v>
      </c>
      <c r="M35" s="3"/>
      <c r="N35" s="26">
        <f t="shared" si="7"/>
        <v>0</v>
      </c>
      <c r="O35" s="9"/>
      <c r="P35" s="3">
        <v>0</v>
      </c>
      <c r="Q35" s="3"/>
      <c r="R35" s="26">
        <f t="shared" si="8"/>
        <v>0</v>
      </c>
      <c r="S35" s="3"/>
      <c r="T35" s="3"/>
      <c r="U35" s="3"/>
      <c r="V35" s="26">
        <f t="shared" si="9"/>
        <v>0</v>
      </c>
      <c r="W35" s="3"/>
      <c r="X35" s="3">
        <f t="shared" si="10"/>
        <v>0</v>
      </c>
      <c r="Y35" s="3"/>
      <c r="Z35" s="26">
        <f t="shared" si="11"/>
        <v>0</v>
      </c>
    </row>
    <row r="36" spans="1:26" s="70" customFormat="1" ht="15" hidden="1" customHeight="1" outlineLevel="1" x14ac:dyDescent="0.3">
      <c r="A36" s="48"/>
      <c r="B36" s="9" t="str">
        <f>CONCATENATE("          ","5081"," - ","PURCHASES @ COST-ELECTRONICS")</f>
        <v xml:space="preserve">          5081 - PURCHASES @ COST-ELECTRONICS</v>
      </c>
      <c r="C36" s="9"/>
      <c r="D36" s="3"/>
      <c r="E36" s="3"/>
      <c r="F36" s="26">
        <f t="shared" si="4"/>
        <v>0</v>
      </c>
      <c r="G36" s="3"/>
      <c r="H36" s="3"/>
      <c r="I36" s="3"/>
      <c r="J36" s="26">
        <f t="shared" si="5"/>
        <v>0</v>
      </c>
      <c r="K36" s="3"/>
      <c r="L36" s="3">
        <f t="shared" si="6"/>
        <v>0</v>
      </c>
      <c r="M36" s="3"/>
      <c r="N36" s="26">
        <f t="shared" si="7"/>
        <v>0</v>
      </c>
      <c r="O36" s="9"/>
      <c r="P36" s="3">
        <v>0</v>
      </c>
      <c r="Q36" s="3"/>
      <c r="R36" s="26">
        <f t="shared" si="8"/>
        <v>0</v>
      </c>
      <c r="S36" s="3"/>
      <c r="T36" s="3"/>
      <c r="U36" s="3"/>
      <c r="V36" s="26">
        <f t="shared" si="9"/>
        <v>0</v>
      </c>
      <c r="W36" s="3"/>
      <c r="X36" s="3">
        <f t="shared" si="10"/>
        <v>0</v>
      </c>
      <c r="Y36" s="3"/>
      <c r="Z36" s="26">
        <f t="shared" si="11"/>
        <v>0</v>
      </c>
    </row>
    <row r="37" spans="1:26" s="70" customFormat="1" ht="15" hidden="1" customHeight="1" outlineLevel="1" x14ac:dyDescent="0.3">
      <c r="A37" s="48"/>
      <c r="B37" s="9" t="str">
        <f>CONCATENATE("          ","5082"," - ","PURCHASES @ COST-COMPUTER HARD")</f>
        <v xml:space="preserve">          5082 - PURCHASES @ COST-COMPUTER HARD</v>
      </c>
      <c r="C37" s="9"/>
      <c r="D37" s="3">
        <v>-29693.58</v>
      </c>
      <c r="E37" s="3"/>
      <c r="F37" s="26">
        <f t="shared" si="4"/>
        <v>-4.2997050633413997E-2</v>
      </c>
      <c r="G37" s="3"/>
      <c r="H37" s="3"/>
      <c r="I37" s="3"/>
      <c r="J37" s="26">
        <f t="shared" si="5"/>
        <v>0</v>
      </c>
      <c r="K37" s="3"/>
      <c r="L37" s="3">
        <f t="shared" si="6"/>
        <v>-29693.58</v>
      </c>
      <c r="M37" s="3"/>
      <c r="N37" s="26">
        <f t="shared" si="7"/>
        <v>0</v>
      </c>
      <c r="O37" s="9"/>
      <c r="P37" s="3">
        <v>-150076.54999999999</v>
      </c>
      <c r="Q37" s="3"/>
      <c r="R37" s="26">
        <f t="shared" si="8"/>
        <v>-1.4033306044153227E-2</v>
      </c>
      <c r="S37" s="3"/>
      <c r="T37" s="3"/>
      <c r="U37" s="3"/>
      <c r="V37" s="26">
        <f t="shared" si="9"/>
        <v>0</v>
      </c>
      <c r="W37" s="3"/>
      <c r="X37" s="3">
        <f t="shared" si="10"/>
        <v>-150076.54999999999</v>
      </c>
      <c r="Y37" s="3"/>
      <c r="Z37" s="26">
        <f t="shared" si="11"/>
        <v>0</v>
      </c>
    </row>
    <row r="38" spans="1:26" s="70" customFormat="1" ht="15" hidden="1" customHeight="1" outlineLevel="1" x14ac:dyDescent="0.3">
      <c r="A38" s="48"/>
      <c r="B38" s="9" t="str">
        <f>CONCATENATE("          ","5083"," - ","PURCHASES @ COST-COMPUTER EQUI")</f>
        <v xml:space="preserve">          5083 - PURCHASES @ COST-COMPUTER EQUI</v>
      </c>
      <c r="C38" s="9"/>
      <c r="D38" s="3"/>
      <c r="E38" s="3"/>
      <c r="F38" s="26">
        <f t="shared" si="4"/>
        <v>0</v>
      </c>
      <c r="G38" s="3"/>
      <c r="H38" s="3"/>
      <c r="I38" s="3"/>
      <c r="J38" s="26">
        <f t="shared" si="5"/>
        <v>0</v>
      </c>
      <c r="K38" s="3"/>
      <c r="L38" s="3">
        <f t="shared" si="6"/>
        <v>0</v>
      </c>
      <c r="M38" s="3"/>
      <c r="N38" s="26">
        <f t="shared" si="7"/>
        <v>0</v>
      </c>
      <c r="O38" s="9"/>
      <c r="P38" s="3">
        <v>0</v>
      </c>
      <c r="Q38" s="3"/>
      <c r="R38" s="26">
        <f t="shared" si="8"/>
        <v>0</v>
      </c>
      <c r="S38" s="3"/>
      <c r="T38" s="3"/>
      <c r="U38" s="3"/>
      <c r="V38" s="26">
        <f t="shared" si="9"/>
        <v>0</v>
      </c>
      <c r="W38" s="3"/>
      <c r="X38" s="3">
        <f t="shared" si="10"/>
        <v>0</v>
      </c>
      <c r="Y38" s="3"/>
      <c r="Z38" s="26">
        <f t="shared" si="11"/>
        <v>0</v>
      </c>
    </row>
    <row r="39" spans="1:26" s="70" customFormat="1" ht="15" hidden="1" customHeight="1" outlineLevel="1" x14ac:dyDescent="0.3">
      <c r="A39" s="48"/>
      <c r="B39" s="9" t="str">
        <f>CONCATENATE("          ","5085"," - ","PURCHASES @ COST-SOFTWARE")</f>
        <v xml:space="preserve">          5085 - PURCHASES @ COST-SOFTWARE</v>
      </c>
      <c r="C39" s="9"/>
      <c r="D39" s="3"/>
      <c r="E39" s="3"/>
      <c r="F39" s="26">
        <f t="shared" si="4"/>
        <v>0</v>
      </c>
      <c r="G39" s="3"/>
      <c r="H39" s="3"/>
      <c r="I39" s="3"/>
      <c r="J39" s="26">
        <f t="shared" si="5"/>
        <v>0</v>
      </c>
      <c r="K39" s="3"/>
      <c r="L39" s="3">
        <f t="shared" si="6"/>
        <v>0</v>
      </c>
      <c r="M39" s="3"/>
      <c r="N39" s="26">
        <f t="shared" si="7"/>
        <v>0</v>
      </c>
      <c r="O39" s="9"/>
      <c r="P39" s="3">
        <v>0</v>
      </c>
      <c r="Q39" s="3"/>
      <c r="R39" s="26">
        <f t="shared" si="8"/>
        <v>0</v>
      </c>
      <c r="S39" s="3"/>
      <c r="T39" s="3"/>
      <c r="U39" s="3"/>
      <c r="V39" s="26">
        <f t="shared" si="9"/>
        <v>0</v>
      </c>
      <c r="W39" s="3"/>
      <c r="X39" s="3">
        <f t="shared" si="10"/>
        <v>0</v>
      </c>
      <c r="Y39" s="3"/>
      <c r="Z39" s="26">
        <f t="shared" si="11"/>
        <v>0</v>
      </c>
    </row>
    <row r="40" spans="1:26" s="70" customFormat="1" ht="15" hidden="1" customHeight="1" outlineLevel="1" x14ac:dyDescent="0.3">
      <c r="A40" s="48"/>
      <c r="B40" s="9" t="str">
        <f>CONCATENATE("          ","5086"," - ","PURCHASES @ COST-COMPUTER SUPP")</f>
        <v xml:space="preserve">          5086 - PURCHASES @ COST-COMPUTER SUPP</v>
      </c>
      <c r="C40" s="9"/>
      <c r="D40" s="3"/>
      <c r="E40" s="3"/>
      <c r="F40" s="26">
        <f t="shared" si="4"/>
        <v>0</v>
      </c>
      <c r="G40" s="3"/>
      <c r="H40" s="3"/>
      <c r="I40" s="3"/>
      <c r="J40" s="26">
        <f t="shared" si="5"/>
        <v>0</v>
      </c>
      <c r="K40" s="3"/>
      <c r="L40" s="3">
        <f t="shared" si="6"/>
        <v>0</v>
      </c>
      <c r="M40" s="3"/>
      <c r="N40" s="26">
        <f t="shared" si="7"/>
        <v>0</v>
      </c>
      <c r="O40" s="9"/>
      <c r="P40" s="3">
        <v>0</v>
      </c>
      <c r="Q40" s="3"/>
      <c r="R40" s="26">
        <f t="shared" si="8"/>
        <v>0</v>
      </c>
      <c r="S40" s="3"/>
      <c r="T40" s="3"/>
      <c r="U40" s="3"/>
      <c r="V40" s="26">
        <f t="shared" si="9"/>
        <v>0</v>
      </c>
      <c r="W40" s="3"/>
      <c r="X40" s="3">
        <f t="shared" si="10"/>
        <v>0</v>
      </c>
      <c r="Y40" s="3"/>
      <c r="Z40" s="26">
        <f t="shared" si="11"/>
        <v>0</v>
      </c>
    </row>
    <row r="41" spans="1:26" s="70" customFormat="1" ht="15" hidden="1" customHeight="1" outlineLevel="1" x14ac:dyDescent="0.3">
      <c r="A41" s="48"/>
      <c r="B41" s="9" t="str">
        <f>CONCATENATE("          ","5200"," - ","PURCHASES OFFSET")</f>
        <v xml:space="preserve">          5200 - PURCHASES OFFSET</v>
      </c>
      <c r="C41" s="9"/>
      <c r="D41" s="3">
        <v>-576187.54</v>
      </c>
      <c r="E41" s="3"/>
      <c r="F41" s="26">
        <f t="shared" si="4"/>
        <v>-0.83433404903424413</v>
      </c>
      <c r="G41" s="3"/>
      <c r="H41" s="3"/>
      <c r="I41" s="3"/>
      <c r="J41" s="26">
        <f t="shared" si="5"/>
        <v>0</v>
      </c>
      <c r="K41" s="3"/>
      <c r="L41" s="3">
        <f t="shared" si="6"/>
        <v>-576187.54</v>
      </c>
      <c r="M41" s="3"/>
      <c r="N41" s="26">
        <f t="shared" si="7"/>
        <v>0</v>
      </c>
      <c r="O41" s="9"/>
      <c r="P41" s="3">
        <v>-6731645.8200000003</v>
      </c>
      <c r="Q41" s="3"/>
      <c r="R41" s="26">
        <f t="shared" si="8"/>
        <v>-0.62946040519258217</v>
      </c>
      <c r="S41" s="3"/>
      <c r="T41" s="3"/>
      <c r="U41" s="3"/>
      <c r="V41" s="26">
        <f t="shared" si="9"/>
        <v>0</v>
      </c>
      <c r="W41" s="3"/>
      <c r="X41" s="3">
        <f t="shared" si="10"/>
        <v>-6731645.8200000003</v>
      </c>
      <c r="Y41" s="3"/>
      <c r="Z41" s="26">
        <f t="shared" si="11"/>
        <v>0</v>
      </c>
    </row>
    <row r="42" spans="1:26" s="70" customFormat="1" ht="15" hidden="1" customHeight="1" outlineLevel="1" x14ac:dyDescent="0.3">
      <c r="A42" s="48"/>
      <c r="B42" s="9" t="str">
        <f>CONCATENATE("          ","5300"," - ","COG$ OFFSET")</f>
        <v xml:space="preserve">          5300 - COG$ OFFSET</v>
      </c>
      <c r="C42" s="9"/>
      <c r="D42" s="3">
        <v>530332.74</v>
      </c>
      <c r="E42" s="3"/>
      <c r="F42" s="26">
        <f t="shared" si="4"/>
        <v>0.7679351453862141</v>
      </c>
      <c r="G42" s="3"/>
      <c r="H42" s="3"/>
      <c r="I42" s="3"/>
      <c r="J42" s="26">
        <f t="shared" si="5"/>
        <v>0</v>
      </c>
      <c r="K42" s="3"/>
      <c r="L42" s="3">
        <f t="shared" si="6"/>
        <v>530332.74</v>
      </c>
      <c r="M42" s="3"/>
      <c r="N42" s="26">
        <f t="shared" si="7"/>
        <v>0</v>
      </c>
      <c r="O42" s="9"/>
      <c r="P42" s="3">
        <v>6531852.4299999997</v>
      </c>
      <c r="Q42" s="3"/>
      <c r="R42" s="26">
        <f t="shared" si="8"/>
        <v>0.61077819409785172</v>
      </c>
      <c r="S42" s="3"/>
      <c r="T42" s="3"/>
      <c r="U42" s="3"/>
      <c r="V42" s="26">
        <f t="shared" si="9"/>
        <v>0</v>
      </c>
      <c r="W42" s="3"/>
      <c r="X42" s="3">
        <f t="shared" si="10"/>
        <v>6531852.4299999997</v>
      </c>
      <c r="Y42" s="3"/>
      <c r="Z42" s="26">
        <f t="shared" si="11"/>
        <v>0</v>
      </c>
    </row>
    <row r="43" spans="1:26" s="70" customFormat="1" ht="15" hidden="1" customHeight="1" outlineLevel="1" x14ac:dyDescent="0.3">
      <c r="A43" s="48"/>
      <c r="B43" s="9" t="str">
        <f>CONCATENATE("          ","5500"," - ","FREIGHT-IN")</f>
        <v xml:space="preserve">          5500 - FREIGHT-IN</v>
      </c>
      <c r="C43" s="9"/>
      <c r="D43" s="3">
        <v>9234.56</v>
      </c>
      <c r="E43" s="3"/>
      <c r="F43" s="26">
        <f t="shared" si="4"/>
        <v>1.3371875129145745E-2</v>
      </c>
      <c r="G43" s="3"/>
      <c r="H43" s="3"/>
      <c r="I43" s="3"/>
      <c r="J43" s="26">
        <f t="shared" si="5"/>
        <v>0</v>
      </c>
      <c r="K43" s="3"/>
      <c r="L43" s="3">
        <f t="shared" si="6"/>
        <v>9234.56</v>
      </c>
      <c r="M43" s="3"/>
      <c r="N43" s="26">
        <f t="shared" si="7"/>
        <v>0</v>
      </c>
      <c r="O43" s="9"/>
      <c r="P43" s="3">
        <v>204612.84</v>
      </c>
      <c r="Q43" s="3"/>
      <c r="R43" s="26">
        <f t="shared" si="8"/>
        <v>1.9132866555656811E-2</v>
      </c>
      <c r="S43" s="3"/>
      <c r="T43" s="3"/>
      <c r="U43" s="3"/>
      <c r="V43" s="26">
        <f t="shared" si="9"/>
        <v>0</v>
      </c>
      <c r="W43" s="3"/>
      <c r="X43" s="3">
        <f t="shared" si="10"/>
        <v>204612.84</v>
      </c>
      <c r="Y43" s="3"/>
      <c r="Z43" s="26">
        <f t="shared" si="11"/>
        <v>0</v>
      </c>
    </row>
    <row r="44" spans="1:26" s="70" customFormat="1" ht="15" hidden="1" customHeight="1" outlineLevel="1" x14ac:dyDescent="0.3">
      <c r="A44" s="48"/>
      <c r="B44" s="9" t="str">
        <f>CONCATENATE("          ","5501"," - ","FREIGHT-IN-NEW TEXT")</f>
        <v xml:space="preserve">          5501 - FREIGHT-IN-NEW TEXT</v>
      </c>
      <c r="C44" s="9"/>
      <c r="D44" s="3"/>
      <c r="E44" s="3"/>
      <c r="F44" s="26">
        <f t="shared" si="4"/>
        <v>0</v>
      </c>
      <c r="G44" s="3"/>
      <c r="H44" s="3"/>
      <c r="I44" s="3"/>
      <c r="J44" s="26">
        <f t="shared" si="5"/>
        <v>0</v>
      </c>
      <c r="K44" s="3"/>
      <c r="L44" s="3">
        <f t="shared" si="6"/>
        <v>0</v>
      </c>
      <c r="M44" s="3"/>
      <c r="N44" s="26">
        <f t="shared" si="7"/>
        <v>0</v>
      </c>
      <c r="O44" s="9"/>
      <c r="P44" s="3">
        <v>0</v>
      </c>
      <c r="Q44" s="3"/>
      <c r="R44" s="26">
        <f t="shared" si="8"/>
        <v>0</v>
      </c>
      <c r="S44" s="3"/>
      <c r="T44" s="3"/>
      <c r="U44" s="3"/>
      <c r="V44" s="26">
        <f t="shared" si="9"/>
        <v>0</v>
      </c>
      <c r="W44" s="3"/>
      <c r="X44" s="3">
        <f t="shared" si="10"/>
        <v>0</v>
      </c>
      <c r="Y44" s="3"/>
      <c r="Z44" s="26">
        <f t="shared" si="11"/>
        <v>0</v>
      </c>
    </row>
    <row r="45" spans="1:26" s="70" customFormat="1" ht="15" hidden="1" customHeight="1" outlineLevel="1" x14ac:dyDescent="0.3">
      <c r="A45" s="48"/>
      <c r="B45" s="9" t="str">
        <f>CONCATENATE("          ","5502"," - ","FREIGHT-IN-USED TEXT")</f>
        <v xml:space="preserve">          5502 - FREIGHT-IN-USED TEXT</v>
      </c>
      <c r="C45" s="9"/>
      <c r="D45" s="3"/>
      <c r="E45" s="3"/>
      <c r="F45" s="26">
        <f t="shared" si="4"/>
        <v>0</v>
      </c>
      <c r="G45" s="3"/>
      <c r="H45" s="3"/>
      <c r="I45" s="3"/>
      <c r="J45" s="26">
        <f t="shared" si="5"/>
        <v>0</v>
      </c>
      <c r="K45" s="3"/>
      <c r="L45" s="3">
        <f t="shared" si="6"/>
        <v>0</v>
      </c>
      <c r="M45" s="3"/>
      <c r="N45" s="26">
        <f t="shared" si="7"/>
        <v>0</v>
      </c>
      <c r="O45" s="9"/>
      <c r="P45" s="3">
        <v>0</v>
      </c>
      <c r="Q45" s="3"/>
      <c r="R45" s="26">
        <f t="shared" si="8"/>
        <v>0</v>
      </c>
      <c r="S45" s="3"/>
      <c r="T45" s="3"/>
      <c r="U45" s="3"/>
      <c r="V45" s="26">
        <f t="shared" si="9"/>
        <v>0</v>
      </c>
      <c r="W45" s="3"/>
      <c r="X45" s="3">
        <f t="shared" si="10"/>
        <v>0</v>
      </c>
      <c r="Y45" s="3"/>
      <c r="Z45" s="26">
        <f t="shared" si="11"/>
        <v>0</v>
      </c>
    </row>
    <row r="46" spans="1:26" s="70" customFormat="1" ht="15" hidden="1" customHeight="1" outlineLevel="1" x14ac:dyDescent="0.3">
      <c r="A46" s="48"/>
      <c r="B46" s="9" t="str">
        <f>CONCATENATE("          ","5518"," - ","FREIGHT-IN-STUDY GUIDES")</f>
        <v xml:space="preserve">          5518 - FREIGHT-IN-STUDY GUIDES</v>
      </c>
      <c r="C46" s="9"/>
      <c r="D46" s="3"/>
      <c r="E46" s="3"/>
      <c r="F46" s="26">
        <f t="shared" si="4"/>
        <v>0</v>
      </c>
      <c r="G46" s="3"/>
      <c r="H46" s="3"/>
      <c r="I46" s="3"/>
      <c r="J46" s="26">
        <f t="shared" si="5"/>
        <v>0</v>
      </c>
      <c r="K46" s="3"/>
      <c r="L46" s="3">
        <f t="shared" si="6"/>
        <v>0</v>
      </c>
      <c r="M46" s="3"/>
      <c r="N46" s="26">
        <f t="shared" si="7"/>
        <v>0</v>
      </c>
      <c r="O46" s="9"/>
      <c r="P46" s="3">
        <v>0</v>
      </c>
      <c r="Q46" s="3"/>
      <c r="R46" s="26">
        <f t="shared" si="8"/>
        <v>0</v>
      </c>
      <c r="S46" s="3"/>
      <c r="T46" s="3"/>
      <c r="U46" s="3"/>
      <c r="V46" s="26">
        <f t="shared" si="9"/>
        <v>0</v>
      </c>
      <c r="W46" s="3"/>
      <c r="X46" s="3">
        <f t="shared" si="10"/>
        <v>0</v>
      </c>
      <c r="Y46" s="3"/>
      <c r="Z46" s="26">
        <f t="shared" si="11"/>
        <v>0</v>
      </c>
    </row>
    <row r="47" spans="1:26" s="70" customFormat="1" ht="15" hidden="1" customHeight="1" outlineLevel="1" x14ac:dyDescent="0.3">
      <c r="A47" s="48"/>
      <c r="B47" s="9" t="str">
        <f>CONCATENATE("          ","5527"," - ","FREIGHT-IN-SCHOOL SUPPLIES")</f>
        <v xml:space="preserve">          5527 - FREIGHT-IN-SCHOOL SUPPLIES</v>
      </c>
      <c r="C47" s="9"/>
      <c r="D47" s="3"/>
      <c r="E47" s="3"/>
      <c r="F47" s="26">
        <f t="shared" si="4"/>
        <v>0</v>
      </c>
      <c r="G47" s="3"/>
      <c r="H47" s="3"/>
      <c r="I47" s="3"/>
      <c r="J47" s="26">
        <f t="shared" si="5"/>
        <v>0</v>
      </c>
      <c r="K47" s="3"/>
      <c r="L47" s="3">
        <f t="shared" si="6"/>
        <v>0</v>
      </c>
      <c r="M47" s="3"/>
      <c r="N47" s="26">
        <f t="shared" si="7"/>
        <v>0</v>
      </c>
      <c r="O47" s="9"/>
      <c r="P47" s="3">
        <v>0</v>
      </c>
      <c r="Q47" s="3"/>
      <c r="R47" s="26">
        <f t="shared" si="8"/>
        <v>0</v>
      </c>
      <c r="S47" s="3"/>
      <c r="T47" s="3"/>
      <c r="U47" s="3"/>
      <c r="V47" s="26">
        <f t="shared" si="9"/>
        <v>0</v>
      </c>
      <c r="W47" s="3"/>
      <c r="X47" s="3">
        <f t="shared" si="10"/>
        <v>0</v>
      </c>
      <c r="Y47" s="3"/>
      <c r="Z47" s="26">
        <f t="shared" si="11"/>
        <v>0</v>
      </c>
    </row>
    <row r="48" spans="1:26" s="70" customFormat="1" ht="15" hidden="1" customHeight="1" outlineLevel="1" x14ac:dyDescent="0.3">
      <c r="A48" s="48"/>
      <c r="B48" s="9" t="str">
        <f>CONCATENATE("          ","5528"," - ","FREIGHT-IN-ART/TECH")</f>
        <v xml:space="preserve">          5528 - FREIGHT-IN-ART/TECH</v>
      </c>
      <c r="C48" s="9"/>
      <c r="D48" s="3"/>
      <c r="E48" s="3"/>
      <c r="F48" s="26">
        <f t="shared" si="4"/>
        <v>0</v>
      </c>
      <c r="G48" s="3"/>
      <c r="H48" s="3"/>
      <c r="I48" s="3"/>
      <c r="J48" s="26">
        <f t="shared" si="5"/>
        <v>0</v>
      </c>
      <c r="K48" s="3"/>
      <c r="L48" s="3">
        <f t="shared" si="6"/>
        <v>0</v>
      </c>
      <c r="M48" s="3"/>
      <c r="N48" s="26">
        <f t="shared" si="7"/>
        <v>0</v>
      </c>
      <c r="O48" s="9"/>
      <c r="P48" s="3">
        <v>0</v>
      </c>
      <c r="Q48" s="3"/>
      <c r="R48" s="26">
        <f t="shared" si="8"/>
        <v>0</v>
      </c>
      <c r="S48" s="3"/>
      <c r="T48" s="3"/>
      <c r="U48" s="3"/>
      <c r="V48" s="26">
        <f t="shared" si="9"/>
        <v>0</v>
      </c>
      <c r="W48" s="3"/>
      <c r="X48" s="3">
        <f t="shared" si="10"/>
        <v>0</v>
      </c>
      <c r="Y48" s="3"/>
      <c r="Z48" s="26">
        <f t="shared" si="11"/>
        <v>0</v>
      </c>
    </row>
    <row r="49" spans="1:26" s="70" customFormat="1" ht="15" hidden="1" customHeight="1" outlineLevel="1" x14ac:dyDescent="0.3">
      <c r="A49" s="48"/>
      <c r="B49" s="9" t="str">
        <f>CONCATENATE("          ","5540"," - ","FREIGHT-IN-LOGO CLOTHING")</f>
        <v xml:space="preserve">          5540 - FREIGHT-IN-LOGO CLOTHING</v>
      </c>
      <c r="C49" s="9"/>
      <c r="D49" s="3"/>
      <c r="E49" s="3"/>
      <c r="F49" s="26">
        <f t="shared" si="4"/>
        <v>0</v>
      </c>
      <c r="G49" s="3"/>
      <c r="H49" s="3"/>
      <c r="I49" s="3"/>
      <c r="J49" s="26">
        <f t="shared" si="5"/>
        <v>0</v>
      </c>
      <c r="K49" s="3"/>
      <c r="L49" s="3">
        <f t="shared" si="6"/>
        <v>0</v>
      </c>
      <c r="M49" s="3"/>
      <c r="N49" s="26">
        <f t="shared" si="7"/>
        <v>0</v>
      </c>
      <c r="O49" s="9"/>
      <c r="P49" s="3">
        <v>0</v>
      </c>
      <c r="Q49" s="3"/>
      <c r="R49" s="26">
        <f t="shared" si="8"/>
        <v>0</v>
      </c>
      <c r="S49" s="3"/>
      <c r="T49" s="3"/>
      <c r="U49" s="3"/>
      <c r="V49" s="26">
        <f t="shared" si="9"/>
        <v>0</v>
      </c>
      <c r="W49" s="3"/>
      <c r="X49" s="3">
        <f t="shared" si="10"/>
        <v>0</v>
      </c>
      <c r="Y49" s="3"/>
      <c r="Z49" s="26">
        <f t="shared" si="11"/>
        <v>0</v>
      </c>
    </row>
    <row r="50" spans="1:26" s="70" customFormat="1" ht="15" hidden="1" customHeight="1" outlineLevel="1" x14ac:dyDescent="0.3">
      <c r="A50" s="48"/>
      <c r="B50" s="9" t="str">
        <f>CONCATENATE("          ","5541"," - ","FREIGHT-IN-LOGO GIFTS")</f>
        <v xml:space="preserve">          5541 - FREIGHT-IN-LOGO GIFTS</v>
      </c>
      <c r="C50" s="9"/>
      <c r="D50" s="3"/>
      <c r="E50" s="3"/>
      <c r="F50" s="26">
        <f t="shared" si="4"/>
        <v>0</v>
      </c>
      <c r="G50" s="3"/>
      <c r="H50" s="3"/>
      <c r="I50" s="3"/>
      <c r="J50" s="26">
        <f t="shared" si="5"/>
        <v>0</v>
      </c>
      <c r="K50" s="3"/>
      <c r="L50" s="3">
        <f t="shared" si="6"/>
        <v>0</v>
      </c>
      <c r="M50" s="3"/>
      <c r="N50" s="26">
        <f t="shared" si="7"/>
        <v>0</v>
      </c>
      <c r="O50" s="9"/>
      <c r="P50" s="3">
        <v>0</v>
      </c>
      <c r="Q50" s="3"/>
      <c r="R50" s="26">
        <f t="shared" si="8"/>
        <v>0</v>
      </c>
      <c r="S50" s="3"/>
      <c r="T50" s="3"/>
      <c r="U50" s="3"/>
      <c r="V50" s="26">
        <f t="shared" si="9"/>
        <v>0</v>
      </c>
      <c r="W50" s="3"/>
      <c r="X50" s="3">
        <f t="shared" si="10"/>
        <v>0</v>
      </c>
      <c r="Y50" s="3"/>
      <c r="Z50" s="26">
        <f t="shared" si="11"/>
        <v>0</v>
      </c>
    </row>
    <row r="51" spans="1:26" s="70" customFormat="1" ht="15" hidden="1" customHeight="1" outlineLevel="1" x14ac:dyDescent="0.3">
      <c r="A51" s="48"/>
      <c r="B51" s="9" t="str">
        <f>CONCATENATE("          ","5542"," - ","FREIGHT-IN-EVERYDAY GIFTS")</f>
        <v xml:space="preserve">          5542 - FREIGHT-IN-EVERYDAY GIFTS</v>
      </c>
      <c r="C51" s="9"/>
      <c r="D51" s="3"/>
      <c r="E51" s="3"/>
      <c r="F51" s="26">
        <f t="shared" si="4"/>
        <v>0</v>
      </c>
      <c r="G51" s="3"/>
      <c r="H51" s="3"/>
      <c r="I51" s="3"/>
      <c r="J51" s="26">
        <f t="shared" si="5"/>
        <v>0</v>
      </c>
      <c r="K51" s="3"/>
      <c r="L51" s="3">
        <f t="shared" si="6"/>
        <v>0</v>
      </c>
      <c r="M51" s="3"/>
      <c r="N51" s="26">
        <f t="shared" si="7"/>
        <v>0</v>
      </c>
      <c r="O51" s="9"/>
      <c r="P51" s="3">
        <v>0</v>
      </c>
      <c r="Q51" s="3"/>
      <c r="R51" s="26">
        <f t="shared" si="8"/>
        <v>0</v>
      </c>
      <c r="S51" s="3"/>
      <c r="T51" s="3"/>
      <c r="U51" s="3"/>
      <c r="V51" s="26">
        <f t="shared" si="9"/>
        <v>0</v>
      </c>
      <c r="W51" s="3"/>
      <c r="X51" s="3">
        <f t="shared" si="10"/>
        <v>0</v>
      </c>
      <c r="Y51" s="3"/>
      <c r="Z51" s="26">
        <f t="shared" si="11"/>
        <v>0</v>
      </c>
    </row>
    <row r="52" spans="1:26" s="70" customFormat="1" ht="15" hidden="1" customHeight="1" outlineLevel="1" x14ac:dyDescent="0.3">
      <c r="A52" s="48"/>
      <c r="B52" s="9" t="str">
        <f>CONCATENATE("          ","5544"," - ","FREIGHT-IN-ACCESSORIES")</f>
        <v xml:space="preserve">          5544 - FREIGHT-IN-ACCESSORIES</v>
      </c>
      <c r="C52" s="9"/>
      <c r="D52" s="3"/>
      <c r="E52" s="3"/>
      <c r="F52" s="26">
        <f t="shared" si="4"/>
        <v>0</v>
      </c>
      <c r="G52" s="3"/>
      <c r="H52" s="3"/>
      <c r="I52" s="3"/>
      <c r="J52" s="26">
        <f t="shared" si="5"/>
        <v>0</v>
      </c>
      <c r="K52" s="3"/>
      <c r="L52" s="3">
        <f t="shared" si="6"/>
        <v>0</v>
      </c>
      <c r="M52" s="3"/>
      <c r="N52" s="26">
        <f t="shared" si="7"/>
        <v>0</v>
      </c>
      <c r="O52" s="9"/>
      <c r="P52" s="3">
        <v>0</v>
      </c>
      <c r="Q52" s="3"/>
      <c r="R52" s="26">
        <f t="shared" si="8"/>
        <v>0</v>
      </c>
      <c r="S52" s="3"/>
      <c r="T52" s="3"/>
      <c r="U52" s="3"/>
      <c r="V52" s="26">
        <f t="shared" si="9"/>
        <v>0</v>
      </c>
      <c r="W52" s="3"/>
      <c r="X52" s="3">
        <f t="shared" si="10"/>
        <v>0</v>
      </c>
      <c r="Y52" s="3"/>
      <c r="Z52" s="26">
        <f t="shared" si="11"/>
        <v>0</v>
      </c>
    </row>
    <row r="53" spans="1:26" s="70" customFormat="1" ht="15" hidden="1" customHeight="1" outlineLevel="1" x14ac:dyDescent="0.3">
      <c r="A53" s="48"/>
      <c r="B53" s="9" t="str">
        <f>CONCATENATE("          ","5545"," - ","FREIGHT-IN-SPECIAL ORDERS")</f>
        <v xml:space="preserve">          5545 - FREIGHT-IN-SPECIAL ORDERS</v>
      </c>
      <c r="C53" s="9"/>
      <c r="D53" s="3"/>
      <c r="E53" s="3"/>
      <c r="F53" s="26">
        <f t="shared" si="4"/>
        <v>0</v>
      </c>
      <c r="G53" s="3"/>
      <c r="H53" s="3"/>
      <c r="I53" s="3"/>
      <c r="J53" s="26">
        <f t="shared" si="5"/>
        <v>0</v>
      </c>
      <c r="K53" s="3"/>
      <c r="L53" s="3">
        <f t="shared" si="6"/>
        <v>0</v>
      </c>
      <c r="M53" s="3"/>
      <c r="N53" s="26">
        <f t="shared" si="7"/>
        <v>0</v>
      </c>
      <c r="O53" s="9"/>
      <c r="P53" s="3">
        <v>0</v>
      </c>
      <c r="Q53" s="3"/>
      <c r="R53" s="26">
        <f t="shared" si="8"/>
        <v>0</v>
      </c>
      <c r="S53" s="3"/>
      <c r="T53" s="3"/>
      <c r="U53" s="3"/>
      <c r="V53" s="26">
        <f t="shared" si="9"/>
        <v>0</v>
      </c>
      <c r="W53" s="3"/>
      <c r="X53" s="3">
        <f t="shared" si="10"/>
        <v>0</v>
      </c>
      <c r="Y53" s="3"/>
      <c r="Z53" s="26">
        <f t="shared" si="11"/>
        <v>0</v>
      </c>
    </row>
    <row r="54" spans="1:26" s="70" customFormat="1" ht="15" hidden="1" customHeight="1" outlineLevel="1" x14ac:dyDescent="0.3">
      <c r="A54" s="48"/>
      <c r="B54" s="9" t="str">
        <f>CONCATENATE("          ","5583"," - ","FREIGHT-IN-COMPUTER EQUIPMENT")</f>
        <v xml:space="preserve">          5583 - FREIGHT-IN-COMPUTER EQUIPMENT</v>
      </c>
      <c r="C54" s="9"/>
      <c r="D54" s="3"/>
      <c r="E54" s="3"/>
      <c r="F54" s="26">
        <f t="shared" si="4"/>
        <v>0</v>
      </c>
      <c r="G54" s="3"/>
      <c r="H54" s="3"/>
      <c r="I54" s="3"/>
      <c r="J54" s="26">
        <f t="shared" si="5"/>
        <v>0</v>
      </c>
      <c r="K54" s="3"/>
      <c r="L54" s="3">
        <f t="shared" si="6"/>
        <v>0</v>
      </c>
      <c r="M54" s="3"/>
      <c r="N54" s="26">
        <f t="shared" si="7"/>
        <v>0</v>
      </c>
      <c r="O54" s="9"/>
      <c r="P54" s="3">
        <v>0</v>
      </c>
      <c r="Q54" s="3"/>
      <c r="R54" s="26">
        <f t="shared" si="8"/>
        <v>0</v>
      </c>
      <c r="S54" s="3"/>
      <c r="T54" s="3"/>
      <c r="U54" s="3"/>
      <c r="V54" s="26">
        <f t="shared" si="9"/>
        <v>0</v>
      </c>
      <c r="W54" s="3"/>
      <c r="X54" s="3">
        <f t="shared" si="10"/>
        <v>0</v>
      </c>
      <c r="Y54" s="3"/>
      <c r="Z54" s="26">
        <f t="shared" si="11"/>
        <v>0</v>
      </c>
    </row>
    <row r="55" spans="1:26" ht="15" customHeight="1" x14ac:dyDescent="0.3">
      <c r="A55" s="12"/>
      <c r="B55" s="13"/>
      <c r="C55" s="13"/>
      <c r="D55" s="4"/>
      <c r="E55" s="4"/>
      <c r="F55" s="10"/>
      <c r="G55" s="4"/>
      <c r="H55" s="4"/>
      <c r="I55" s="4"/>
      <c r="J55" s="10"/>
      <c r="K55" s="4"/>
      <c r="L55" s="4"/>
      <c r="M55" s="4"/>
      <c r="N55" s="10"/>
      <c r="O55" s="13"/>
      <c r="P55" s="4"/>
      <c r="Q55" s="4"/>
      <c r="R55" s="10"/>
      <c r="S55" s="4"/>
      <c r="T55" s="4"/>
      <c r="U55" s="4"/>
      <c r="V55" s="10"/>
      <c r="W55" s="4"/>
      <c r="X55" s="4"/>
      <c r="Y55" s="4"/>
      <c r="Z55" s="10"/>
    </row>
    <row r="56" spans="1:26" s="63" customFormat="1" ht="15" customHeight="1" x14ac:dyDescent="0.3">
      <c r="A56" s="13"/>
      <c r="B56" s="27" t="s">
        <v>289</v>
      </c>
      <c r="C56" s="27"/>
      <c r="D56" s="23">
        <f>D12-D21</f>
        <v>-28366.520000000135</v>
      </c>
      <c r="E56" s="15"/>
      <c r="F56" s="22">
        <f>IF(D$12=0,0,D56/D$12)</f>
        <v>-4.1075434377860688E-2</v>
      </c>
      <c r="G56" s="15"/>
      <c r="H56" s="23">
        <f>H12-H21</f>
        <v>145123</v>
      </c>
      <c r="I56" s="15"/>
      <c r="J56" s="22">
        <f>IF(H$12=0,0,H56/H$12)</f>
        <v>0.37133806366760402</v>
      </c>
      <c r="K56" s="17"/>
      <c r="L56" s="23">
        <f>+D56-H56</f>
        <v>-173489.52000000014</v>
      </c>
      <c r="M56" s="17"/>
      <c r="N56" s="22">
        <f>IF(H56=0,0,L56/H56)</f>
        <v>-1.1954653638637578</v>
      </c>
      <c r="O56" s="28"/>
      <c r="P56" s="23">
        <f>P12-P21</f>
        <v>3792320.71</v>
      </c>
      <c r="Q56" s="15"/>
      <c r="R56" s="22">
        <f>IF(P$12=0,0,P56/P$12)</f>
        <v>0.35461101112072779</v>
      </c>
      <c r="S56" s="15"/>
      <c r="T56" s="23">
        <f>T12-T21</f>
        <v>3763803</v>
      </c>
      <c r="U56" s="15"/>
      <c r="V56" s="22">
        <f>IF(T$12=0,0,T56/T$12)</f>
        <v>0.33724092734998623</v>
      </c>
      <c r="W56" s="17"/>
      <c r="X56" s="23">
        <f>+P56-T56</f>
        <v>28517.709999999963</v>
      </c>
      <c r="Y56" s="17"/>
      <c r="Z56" s="22">
        <f>IF(T56=0,0,X56/T56)</f>
        <v>7.5768338566072563E-3</v>
      </c>
    </row>
    <row r="57" spans="1:26" ht="15" customHeight="1" x14ac:dyDescent="0.3">
      <c r="A57" s="12"/>
      <c r="B57" s="13"/>
      <c r="C57" s="12"/>
      <c r="D57" s="2"/>
      <c r="E57" s="2"/>
      <c r="F57" s="5"/>
      <c r="G57" s="2"/>
      <c r="H57" s="2"/>
      <c r="I57" s="2"/>
      <c r="J57" s="5"/>
      <c r="K57" s="2"/>
      <c r="L57" s="2"/>
      <c r="M57" s="2"/>
      <c r="N57" s="5"/>
      <c r="O57" s="36"/>
      <c r="P57" s="2"/>
      <c r="Q57" s="2"/>
      <c r="R57" s="5"/>
      <c r="S57" s="2"/>
      <c r="T57" s="2"/>
      <c r="U57" s="2"/>
      <c r="V57" s="5"/>
      <c r="W57" s="2"/>
      <c r="X57" s="2"/>
      <c r="Y57" s="2"/>
      <c r="Z57" s="5"/>
    </row>
    <row r="58" spans="1:26" s="63" customFormat="1" ht="15" customHeight="1" x14ac:dyDescent="0.3">
      <c r="A58" s="13"/>
      <c r="B58" s="28" t="s">
        <v>290</v>
      </c>
      <c r="C58" s="13"/>
      <c r="D58" s="24" cm="1">
        <f t="array" ref="D58">SUM(OSRRefD22x_0)</f>
        <v>240731.95999999996</v>
      </c>
      <c r="E58" s="24"/>
      <c r="F58" s="34">
        <f t="shared" ref="F58:F89" si="12">IF(D$12=0,0,D58/D$12)</f>
        <v>0.34858593248779668</v>
      </c>
      <c r="G58" s="24"/>
      <c r="H58" s="24" cm="1">
        <f t="array" ref="H58">SUM(OSRRefH22x_0)</f>
        <v>292398.14236607507</v>
      </c>
      <c r="I58" s="24"/>
      <c r="J58" s="34">
        <f t="shared" ref="J58:J89" si="13">IF(H$12=0,0,H58/H$12)</f>
        <v>0.7481829896448029</v>
      </c>
      <c r="K58" s="8"/>
      <c r="L58" s="24">
        <f t="shared" ref="L58:L89" si="14">+D58-H58</f>
        <v>-51666.182366075111</v>
      </c>
      <c r="M58" s="8"/>
      <c r="N58" s="34">
        <f t="shared" ref="N58:N89" si="15">IF(H58=0,0,L58/H58)</f>
        <v>-0.17669805268937161</v>
      </c>
      <c r="O58" s="13"/>
      <c r="P58" s="24" cm="1">
        <f t="array" ref="P58">SUM(OSRRefP22x_0)</f>
        <v>3949885.0500000003</v>
      </c>
      <c r="Q58" s="24"/>
      <c r="R58" s="34">
        <f t="shared" ref="R58:R89" si="16">IF(P$12=0,0,P58/P$12)</f>
        <v>0.36934448283809485</v>
      </c>
      <c r="S58" s="24"/>
      <c r="T58" s="24" cm="1">
        <f t="array" ref="T58">SUM(OSRRefT22x_0)</f>
        <v>4139629.306178418</v>
      </c>
      <c r="U58" s="24"/>
      <c r="V58" s="34">
        <f t="shared" ref="V58:V89" si="17">IF(T$12=0,0,T58/T$12)</f>
        <v>0.37091538162353072</v>
      </c>
      <c r="W58" s="8"/>
      <c r="X58" s="24">
        <f t="shared" ref="X58:X89" si="18">+P58-T58</f>
        <v>-189744.25617841771</v>
      </c>
      <c r="Y58" s="8"/>
      <c r="Z58" s="34">
        <f t="shared" ref="Z58:Z89" si="19">IF(T58=0,0,X58/T58)</f>
        <v>-4.5836050077050002E-2</v>
      </c>
    </row>
    <row r="59" spans="1:26" s="69" customFormat="1" ht="15" customHeight="1" outlineLevel="1" collapsed="1" x14ac:dyDescent="0.3">
      <c r="A59" s="20"/>
      <c r="B59" s="11" t="str">
        <f>CONCATENATE("     ","*Benefits                                         ")</f>
        <v xml:space="preserve">     *Benefits                                         </v>
      </c>
      <c r="C59" s="11"/>
      <c r="D59" s="2">
        <f>SUM(OSRRefD22_0x_0)</f>
        <v>28132.18</v>
      </c>
      <c r="E59" s="2"/>
      <c r="F59" s="5">
        <f t="shared" si="12"/>
        <v>4.073610416421046E-2</v>
      </c>
      <c r="G59" s="2"/>
      <c r="H59" s="2">
        <f>SUM(OSRRefH22_0x_0)</f>
        <v>45493.554582359786</v>
      </c>
      <c r="I59" s="2"/>
      <c r="J59" s="5">
        <f t="shared" si="13"/>
        <v>0.11640807086381853</v>
      </c>
      <c r="K59" s="2"/>
      <c r="L59" s="2">
        <f t="shared" si="14"/>
        <v>-17361.374582359786</v>
      </c>
      <c r="M59" s="2"/>
      <c r="N59" s="5">
        <f t="shared" si="15"/>
        <v>-0.38162273187357604</v>
      </c>
      <c r="O59" s="11"/>
      <c r="P59" s="2">
        <f>SUM(OSRRefP22_0x_0)</f>
        <v>575624.65</v>
      </c>
      <c r="Q59" s="2"/>
      <c r="R59" s="5">
        <f t="shared" si="16"/>
        <v>5.3825310350008627E-2</v>
      </c>
      <c r="S59" s="2"/>
      <c r="T59" s="2">
        <f>SUM(OSRRefT22_0x_0)</f>
        <v>603442.74107665743</v>
      </c>
      <c r="U59" s="2"/>
      <c r="V59" s="5">
        <f t="shared" si="17"/>
        <v>5.4069139538735045E-2</v>
      </c>
      <c r="W59" s="2"/>
      <c r="X59" s="2">
        <f t="shared" si="18"/>
        <v>-27818.091076657409</v>
      </c>
      <c r="Y59" s="2"/>
      <c r="Z59" s="5">
        <f t="shared" si="19"/>
        <v>-4.6098973743597622E-2</v>
      </c>
    </row>
    <row r="60" spans="1:26" s="70" customFormat="1" ht="15" hidden="1" customHeight="1" outlineLevel="2" x14ac:dyDescent="0.3">
      <c r="A60" s="21"/>
      <c r="B60" s="9" t="str">
        <f>CONCATENATE("          ","6111"," - ","F.I.C.A.")</f>
        <v xml:space="preserve">          6111 - F.I.C.A.</v>
      </c>
      <c r="C60" s="9"/>
      <c r="D60" s="6">
        <v>11981.97</v>
      </c>
      <c r="E60" s="3"/>
      <c r="F60" s="7">
        <f t="shared" si="12"/>
        <v>1.7350193906495864E-2</v>
      </c>
      <c r="G60" s="3"/>
      <c r="H60" s="6">
        <v>9402.3617108420804</v>
      </c>
      <c r="I60" s="3"/>
      <c r="J60" s="7">
        <f t="shared" si="13"/>
        <v>2.405859024142637E-2</v>
      </c>
      <c r="K60" s="3"/>
      <c r="L60" s="6">
        <f t="shared" si="14"/>
        <v>2579.608289157919</v>
      </c>
      <c r="M60" s="3"/>
      <c r="N60" s="7">
        <f t="shared" si="15"/>
        <v>0.27435748256561043</v>
      </c>
      <c r="O60" s="9"/>
      <c r="P60" s="6">
        <v>114776.12</v>
      </c>
      <c r="Q60" s="3"/>
      <c r="R60" s="7">
        <f t="shared" si="16"/>
        <v>1.073244566536515E-2</v>
      </c>
      <c r="S60" s="3"/>
      <c r="T60" s="6">
        <v>126563.04317063899</v>
      </c>
      <c r="U60" s="3"/>
      <c r="V60" s="7">
        <f t="shared" si="17"/>
        <v>1.1340189177569239E-2</v>
      </c>
      <c r="W60" s="3"/>
      <c r="X60" s="6">
        <f t="shared" si="18"/>
        <v>-11786.923170638998</v>
      </c>
      <c r="Y60" s="3"/>
      <c r="Z60" s="7">
        <f t="shared" si="19"/>
        <v>-9.3130845113665955E-2</v>
      </c>
    </row>
    <row r="61" spans="1:26" s="70" customFormat="1" ht="15" hidden="1" customHeight="1" outlineLevel="2" x14ac:dyDescent="0.3">
      <c r="A61" s="21"/>
      <c r="B61" s="9" t="str">
        <f>CONCATENATE("          ","6112"," - ","COMPENSATION INSURANCE")</f>
        <v xml:space="preserve">          6112 - COMPENSATION INSURANCE</v>
      </c>
      <c r="C61" s="9"/>
      <c r="D61" s="6">
        <v>-18029.48</v>
      </c>
      <c r="E61" s="3"/>
      <c r="F61" s="7">
        <f t="shared" si="12"/>
        <v>-2.610714048134731E-2</v>
      </c>
      <c r="G61" s="3"/>
      <c r="H61" s="6">
        <v>2414.6798398800001</v>
      </c>
      <c r="I61" s="3"/>
      <c r="J61" s="7">
        <f t="shared" si="13"/>
        <v>6.1786383696467093E-3</v>
      </c>
      <c r="K61" s="3"/>
      <c r="L61" s="6">
        <f t="shared" si="14"/>
        <v>-20444.159839879998</v>
      </c>
      <c r="M61" s="3"/>
      <c r="N61" s="7">
        <f t="shared" si="15"/>
        <v>-8.4666130483352156</v>
      </c>
      <c r="O61" s="9"/>
      <c r="P61" s="6">
        <v>11806.35</v>
      </c>
      <c r="Q61" s="3"/>
      <c r="R61" s="7">
        <f t="shared" si="16"/>
        <v>1.1039840855509304E-3</v>
      </c>
      <c r="S61" s="3"/>
      <c r="T61" s="6">
        <v>35314.311631440003</v>
      </c>
      <c r="U61" s="3"/>
      <c r="V61" s="7">
        <f t="shared" si="17"/>
        <v>3.1642015278996356E-3</v>
      </c>
      <c r="W61" s="3"/>
      <c r="X61" s="6">
        <f t="shared" si="18"/>
        <v>-23507.961631440005</v>
      </c>
      <c r="Y61" s="3"/>
      <c r="Z61" s="7">
        <f t="shared" si="19"/>
        <v>-0.66567803662102487</v>
      </c>
    </row>
    <row r="62" spans="1:26" s="70" customFormat="1" ht="15" hidden="1" customHeight="1" outlineLevel="2" x14ac:dyDescent="0.3">
      <c r="A62" s="21"/>
      <c r="B62" s="9" t="str">
        <f>CONCATENATE("          ","6113"," - ","GROUP INSURANCE")</f>
        <v xml:space="preserve">          6113 - GROUP INSURANCE</v>
      </c>
      <c r="C62" s="9"/>
      <c r="D62" s="6">
        <v>15041.47</v>
      </c>
      <c r="E62" s="3"/>
      <c r="F62" s="7">
        <f t="shared" si="12"/>
        <v>2.1780426852908191E-2</v>
      </c>
      <c r="G62" s="3"/>
      <c r="H62" s="6">
        <v>16659.4230769231</v>
      </c>
      <c r="I62" s="3"/>
      <c r="J62" s="7">
        <f t="shared" si="13"/>
        <v>4.2627825411575157E-2</v>
      </c>
      <c r="K62" s="3"/>
      <c r="L62" s="6">
        <f t="shared" si="14"/>
        <v>-1617.9530769231005</v>
      </c>
      <c r="M62" s="3"/>
      <c r="N62" s="7">
        <f t="shared" si="15"/>
        <v>-9.7119394198248984E-2</v>
      </c>
      <c r="O62" s="9"/>
      <c r="P62" s="6">
        <v>205294.61</v>
      </c>
      <c r="Q62" s="3"/>
      <c r="R62" s="7">
        <f t="shared" si="16"/>
        <v>1.9196617268621111E-2</v>
      </c>
      <c r="S62" s="3"/>
      <c r="T62" s="6">
        <v>209740.5</v>
      </c>
      <c r="U62" s="3"/>
      <c r="V62" s="7">
        <f t="shared" si="17"/>
        <v>1.8792981652559868E-2</v>
      </c>
      <c r="W62" s="3"/>
      <c r="X62" s="6">
        <f t="shared" si="18"/>
        <v>-4445.890000000014</v>
      </c>
      <c r="Y62" s="3"/>
      <c r="Z62" s="7">
        <f t="shared" si="19"/>
        <v>-2.1197098319113448E-2</v>
      </c>
    </row>
    <row r="63" spans="1:26" s="70" customFormat="1" ht="15" hidden="1" customHeight="1" outlineLevel="2" x14ac:dyDescent="0.3">
      <c r="A63" s="21"/>
      <c r="B63" s="9" t="str">
        <f>CONCATENATE("          ","6114"," - ","STATE UNEMPLOYMENT INSURANCE")</f>
        <v xml:space="preserve">          6114 - STATE UNEMPLOYMENT INSURANCE</v>
      </c>
      <c r="C63" s="9"/>
      <c r="D63" s="6"/>
      <c r="E63" s="3"/>
      <c r="F63" s="7">
        <f t="shared" si="12"/>
        <v>0</v>
      </c>
      <c r="G63" s="3"/>
      <c r="H63" s="6">
        <v>325.05305536846203</v>
      </c>
      <c r="I63" s="3"/>
      <c r="J63" s="7">
        <f t="shared" si="13"/>
        <v>8.3173978052936593E-4</v>
      </c>
      <c r="K63" s="3"/>
      <c r="L63" s="6">
        <f t="shared" si="14"/>
        <v>-325.05305536846203</v>
      </c>
      <c r="M63" s="3"/>
      <c r="N63" s="7">
        <f t="shared" si="15"/>
        <v>-1</v>
      </c>
      <c r="O63" s="9"/>
      <c r="P63" s="6">
        <v>5368.26</v>
      </c>
      <c r="Q63" s="3"/>
      <c r="R63" s="7">
        <f t="shared" si="16"/>
        <v>5.0197339627400825E-4</v>
      </c>
      <c r="S63" s="3"/>
      <c r="T63" s="6">
        <v>4753.84964269384</v>
      </c>
      <c r="U63" s="3"/>
      <c r="V63" s="7">
        <f t="shared" si="17"/>
        <v>4.259502056787965E-4</v>
      </c>
      <c r="W63" s="3"/>
      <c r="X63" s="6">
        <f t="shared" si="18"/>
        <v>614.41035730616022</v>
      </c>
      <c r="Y63" s="3"/>
      <c r="Z63" s="7">
        <f t="shared" si="19"/>
        <v>0.12924480231520225</v>
      </c>
    </row>
    <row r="64" spans="1:26" s="70" customFormat="1" ht="15" hidden="1" customHeight="1" outlineLevel="2" x14ac:dyDescent="0.3">
      <c r="A64" s="21"/>
      <c r="B64" s="9" t="str">
        <f>CONCATENATE("          ","6115"," - ","P.E.R.S.")</f>
        <v xml:space="preserve">          6115 - P.E.R.S.</v>
      </c>
      <c r="C64" s="9"/>
      <c r="D64" s="6">
        <v>5091.79</v>
      </c>
      <c r="E64" s="3"/>
      <c r="F64" s="7">
        <f t="shared" si="12"/>
        <v>7.3730399784974069E-3</v>
      </c>
      <c r="G64" s="3"/>
      <c r="H64" s="6">
        <v>4417.7643771846097</v>
      </c>
      <c r="I64" s="3"/>
      <c r="J64" s="7">
        <f t="shared" si="13"/>
        <v>1.1304094248075438E-2</v>
      </c>
      <c r="K64" s="3"/>
      <c r="L64" s="6">
        <f t="shared" si="14"/>
        <v>674.02562281539031</v>
      </c>
      <c r="M64" s="3"/>
      <c r="N64" s="7">
        <f t="shared" si="15"/>
        <v>0.15257165508789292</v>
      </c>
      <c r="O64" s="9"/>
      <c r="P64" s="6">
        <v>78220.05</v>
      </c>
      <c r="Q64" s="3"/>
      <c r="R64" s="7">
        <f t="shared" si="16"/>
        <v>7.3141733364670749E-3</v>
      </c>
      <c r="S64" s="3"/>
      <c r="T64" s="6">
        <v>59248.5303649384</v>
      </c>
      <c r="U64" s="3"/>
      <c r="V64" s="7">
        <f t="shared" si="17"/>
        <v>5.3087340980374487E-3</v>
      </c>
      <c r="W64" s="3"/>
      <c r="X64" s="6">
        <f t="shared" si="18"/>
        <v>18971.519635061602</v>
      </c>
      <c r="Y64" s="3"/>
      <c r="Z64" s="7">
        <f t="shared" si="19"/>
        <v>0.32020236650947226</v>
      </c>
    </row>
    <row r="65" spans="1:26" s="70" customFormat="1" ht="15" hidden="1" customHeight="1" outlineLevel="2" x14ac:dyDescent="0.3">
      <c r="A65" s="21"/>
      <c r="B65" s="9" t="str">
        <f>CONCATENATE("          ","6116"," - ","EDUCATIONAL BENEFITS")</f>
        <v xml:space="preserve">          6116 - EDUCATIONAL BENEFITS</v>
      </c>
      <c r="C65" s="9"/>
      <c r="D65" s="6"/>
      <c r="E65" s="3"/>
      <c r="F65" s="7">
        <f t="shared" si="12"/>
        <v>0</v>
      </c>
      <c r="G65" s="3"/>
      <c r="H65" s="6">
        <v>0</v>
      </c>
      <c r="I65" s="3"/>
      <c r="J65" s="7">
        <f t="shared" si="13"/>
        <v>0</v>
      </c>
      <c r="K65" s="3"/>
      <c r="L65" s="6">
        <f t="shared" si="14"/>
        <v>0</v>
      </c>
      <c r="M65" s="3"/>
      <c r="N65" s="7">
        <f t="shared" si="15"/>
        <v>0</v>
      </c>
      <c r="O65" s="9"/>
      <c r="P65" s="6"/>
      <c r="Q65" s="3"/>
      <c r="R65" s="7">
        <f t="shared" si="16"/>
        <v>0</v>
      </c>
      <c r="S65" s="3"/>
      <c r="T65" s="6">
        <v>0</v>
      </c>
      <c r="U65" s="3"/>
      <c r="V65" s="7">
        <f t="shared" si="17"/>
        <v>0</v>
      </c>
      <c r="W65" s="3"/>
      <c r="X65" s="6">
        <f t="shared" si="18"/>
        <v>0</v>
      </c>
      <c r="Y65" s="3"/>
      <c r="Z65" s="7">
        <f t="shared" si="19"/>
        <v>0</v>
      </c>
    </row>
    <row r="66" spans="1:26" s="70" customFormat="1" ht="15" hidden="1" customHeight="1" outlineLevel="2" x14ac:dyDescent="0.3">
      <c r="A66" s="21"/>
      <c r="B66" s="9" t="str">
        <f>CONCATENATE("          ","6117"," - ","RETIREMENT STAFF HOURLY")</f>
        <v xml:space="preserve">          6117 - RETIREMENT STAFF HOURLY</v>
      </c>
      <c r="C66" s="9"/>
      <c r="D66" s="6">
        <v>845.35</v>
      </c>
      <c r="E66" s="3"/>
      <c r="F66" s="7">
        <f t="shared" si="12"/>
        <v>1.2240880605489982E-3</v>
      </c>
      <c r="G66" s="3"/>
      <c r="H66" s="6"/>
      <c r="I66" s="3"/>
      <c r="J66" s="7">
        <f t="shared" si="13"/>
        <v>0</v>
      </c>
      <c r="K66" s="3"/>
      <c r="L66" s="6">
        <f t="shared" si="14"/>
        <v>845.35</v>
      </c>
      <c r="M66" s="3"/>
      <c r="N66" s="7">
        <f t="shared" si="15"/>
        <v>0</v>
      </c>
      <c r="O66" s="9"/>
      <c r="P66" s="6">
        <v>8748.06</v>
      </c>
      <c r="Q66" s="3"/>
      <c r="R66" s="7">
        <f t="shared" si="16"/>
        <v>8.1801056375972844E-4</v>
      </c>
      <c r="S66" s="3"/>
      <c r="T66" s="6"/>
      <c r="U66" s="3"/>
      <c r="V66" s="7">
        <f t="shared" si="17"/>
        <v>0</v>
      </c>
      <c r="W66" s="3"/>
      <c r="X66" s="6">
        <f t="shared" si="18"/>
        <v>8748.06</v>
      </c>
      <c r="Y66" s="3"/>
      <c r="Z66" s="7">
        <f t="shared" si="19"/>
        <v>0</v>
      </c>
    </row>
    <row r="67" spans="1:26" s="70" customFormat="1" ht="15" hidden="1" customHeight="1" outlineLevel="2" x14ac:dyDescent="0.3">
      <c r="A67" s="21"/>
      <c r="B67" s="9" t="str">
        <f>CONCATENATE("          ","6118"," - ","VACATION")</f>
        <v xml:space="preserve">          6118 - VACATION</v>
      </c>
      <c r="C67" s="9"/>
      <c r="D67" s="6">
        <v>5613.15</v>
      </c>
      <c r="E67" s="3"/>
      <c r="F67" s="7">
        <f t="shared" si="12"/>
        <v>8.1279823706992462E-3</v>
      </c>
      <c r="G67" s="3"/>
      <c r="H67" s="6">
        <v>3972.4748426692299</v>
      </c>
      <c r="I67" s="3"/>
      <c r="J67" s="7">
        <f t="shared" si="13"/>
        <v>1.0164695575787861E-2</v>
      </c>
      <c r="K67" s="3"/>
      <c r="L67" s="6">
        <f t="shared" si="14"/>
        <v>1640.6751573307697</v>
      </c>
      <c r="M67" s="3"/>
      <c r="N67" s="7">
        <f t="shared" si="15"/>
        <v>0.41301083639546698</v>
      </c>
      <c r="O67" s="9"/>
      <c r="P67" s="6">
        <v>77897.31</v>
      </c>
      <c r="Q67" s="3"/>
      <c r="R67" s="7">
        <f t="shared" si="16"/>
        <v>7.2839946763586828E-3</v>
      </c>
      <c r="S67" s="3"/>
      <c r="T67" s="6">
        <v>53755.653723930802</v>
      </c>
      <c r="U67" s="3"/>
      <c r="V67" s="7">
        <f t="shared" si="17"/>
        <v>4.8165662528466989E-3</v>
      </c>
      <c r="W67" s="3"/>
      <c r="X67" s="6">
        <f t="shared" si="18"/>
        <v>24141.656276069196</v>
      </c>
      <c r="Y67" s="3"/>
      <c r="Z67" s="7">
        <f t="shared" si="19"/>
        <v>0.44909985468787772</v>
      </c>
    </row>
    <row r="68" spans="1:26" s="70" customFormat="1" ht="15" hidden="1" customHeight="1" outlineLevel="2" x14ac:dyDescent="0.3">
      <c r="A68" s="21"/>
      <c r="B68" s="9" t="str">
        <f>CONCATENATE("          ","6119"," - ","SICK LEAVE")</f>
        <v xml:space="preserve">          6119 - SICK LEAVE</v>
      </c>
      <c r="C68" s="9"/>
      <c r="D68" s="6">
        <v>3971.55</v>
      </c>
      <c r="E68" s="3"/>
      <c r="F68" s="7">
        <f t="shared" si="12"/>
        <v>5.7509042844660482E-3</v>
      </c>
      <c r="G68" s="3"/>
      <c r="H68" s="6">
        <v>5676.7976794922997</v>
      </c>
      <c r="I68" s="3"/>
      <c r="J68" s="7">
        <f t="shared" si="13"/>
        <v>1.452568550908828E-2</v>
      </c>
      <c r="K68" s="3"/>
      <c r="L68" s="6">
        <f t="shared" si="14"/>
        <v>-1705.2476794922995</v>
      </c>
      <c r="M68" s="3"/>
      <c r="N68" s="7">
        <f t="shared" si="15"/>
        <v>-0.30038901785289751</v>
      </c>
      <c r="O68" s="9"/>
      <c r="P68" s="6">
        <v>36032.339999999997</v>
      </c>
      <c r="Q68" s="3"/>
      <c r="R68" s="7">
        <f t="shared" si="16"/>
        <v>3.369299565501633E-3</v>
      </c>
      <c r="S68" s="3"/>
      <c r="T68" s="6">
        <v>81691.852543015397</v>
      </c>
      <c r="U68" s="3"/>
      <c r="V68" s="7">
        <f t="shared" si="17"/>
        <v>7.3196806816256971E-3</v>
      </c>
      <c r="W68" s="3"/>
      <c r="X68" s="6">
        <f t="shared" si="18"/>
        <v>-45659.5125430154</v>
      </c>
      <c r="Y68" s="3"/>
      <c r="Z68" s="7">
        <f t="shared" si="19"/>
        <v>-0.55892370073224962</v>
      </c>
    </row>
    <row r="69" spans="1:26" s="70" customFormat="1" ht="15" hidden="1" customHeight="1" outlineLevel="2" x14ac:dyDescent="0.3">
      <c r="A69" s="21"/>
      <c r="B69" s="9" t="str">
        <f>CONCATENATE("          ","6156"," - ","EMPLOYEE MEALS")</f>
        <v xml:space="preserve">          6156 - EMPLOYEE MEALS</v>
      </c>
      <c r="C69" s="9"/>
      <c r="D69" s="6">
        <v>3616.38</v>
      </c>
      <c r="E69" s="3"/>
      <c r="F69" s="7">
        <f t="shared" si="12"/>
        <v>5.2366091919420193E-3</v>
      </c>
      <c r="G69" s="3"/>
      <c r="H69" s="6">
        <v>2625</v>
      </c>
      <c r="I69" s="3"/>
      <c r="J69" s="7">
        <f t="shared" si="13"/>
        <v>6.7168017276893434E-3</v>
      </c>
      <c r="K69" s="3"/>
      <c r="L69" s="6">
        <f t="shared" si="14"/>
        <v>991.38000000000011</v>
      </c>
      <c r="M69" s="3"/>
      <c r="N69" s="7">
        <f t="shared" si="15"/>
        <v>0.37766857142857146</v>
      </c>
      <c r="O69" s="9"/>
      <c r="P69" s="6">
        <v>37481.550000000003</v>
      </c>
      <c r="Q69" s="3"/>
      <c r="R69" s="7">
        <f t="shared" si="16"/>
        <v>3.5048117921103027E-3</v>
      </c>
      <c r="S69" s="3"/>
      <c r="T69" s="6">
        <v>32375</v>
      </c>
      <c r="U69" s="3"/>
      <c r="V69" s="7">
        <f t="shared" si="17"/>
        <v>2.9008359425176621E-3</v>
      </c>
      <c r="W69" s="3"/>
      <c r="X69" s="6">
        <f t="shared" si="18"/>
        <v>5106.5500000000029</v>
      </c>
      <c r="Y69" s="3"/>
      <c r="Z69" s="7">
        <f t="shared" si="19"/>
        <v>0.15773127413127422</v>
      </c>
    </row>
    <row r="70" spans="1:26" s="69" customFormat="1" ht="15" customHeight="1" outlineLevel="1" collapsed="1" x14ac:dyDescent="0.3">
      <c r="A70" s="20"/>
      <c r="B70" s="11" t="str">
        <f>CONCATENATE("     ","*Payroll                                          ")</f>
        <v xml:space="preserve">     *Payroll                                          </v>
      </c>
      <c r="C70" s="11"/>
      <c r="D70" s="2">
        <f>SUM(OSRRefD22_1x_0)</f>
        <v>145828.88999999998</v>
      </c>
      <c r="E70" s="2"/>
      <c r="F70" s="5">
        <f t="shared" si="12"/>
        <v>0.21116390031597937</v>
      </c>
      <c r="G70" s="2"/>
      <c r="H70" s="2">
        <f>SUM(OSRRefH22_1x_0)</f>
        <v>147608.58778371528</v>
      </c>
      <c r="I70" s="2"/>
      <c r="J70" s="5">
        <f t="shared" si="13"/>
        <v>0.37769813997997825</v>
      </c>
      <c r="K70" s="2"/>
      <c r="L70" s="2">
        <f t="shared" si="14"/>
        <v>-1779.6977837152954</v>
      </c>
      <c r="M70" s="2"/>
      <c r="N70" s="5">
        <f t="shared" si="15"/>
        <v>-1.2056871557656336E-2</v>
      </c>
      <c r="O70" s="11"/>
      <c r="P70" s="2">
        <f>SUM(OSRRefP22_1x_0)</f>
        <v>2111399.9900000002</v>
      </c>
      <c r="Q70" s="2"/>
      <c r="R70" s="5">
        <f t="shared" si="16"/>
        <v>0.19743205878128242</v>
      </c>
      <c r="S70" s="2"/>
      <c r="T70" s="2">
        <f>SUM(OSRRefT22_1x_0)</f>
        <v>2170012.5651017614</v>
      </c>
      <c r="U70" s="2"/>
      <c r="V70" s="5">
        <f t="shared" si="17"/>
        <v>0.19443553496717028</v>
      </c>
      <c r="W70" s="2"/>
      <c r="X70" s="2">
        <f t="shared" si="18"/>
        <v>-58612.575101761147</v>
      </c>
      <c r="Y70" s="2"/>
      <c r="Z70" s="5">
        <f t="shared" si="19"/>
        <v>-2.7010246873391975E-2</v>
      </c>
    </row>
    <row r="71" spans="1:26" s="70" customFormat="1" ht="15" hidden="1" customHeight="1" outlineLevel="2" x14ac:dyDescent="0.3">
      <c r="A71" s="21"/>
      <c r="B71" s="9" t="str">
        <f>CONCATENATE("          ","6001"," - ","ADMINISTRATIVE SALARIES")</f>
        <v xml:space="preserve">          6001 - ADMINISTRATIVE SALARIES</v>
      </c>
      <c r="C71" s="9"/>
      <c r="D71" s="6">
        <v>5124.17</v>
      </c>
      <c r="E71" s="3"/>
      <c r="F71" s="7">
        <f t="shared" si="12"/>
        <v>7.4199270328542729E-3</v>
      </c>
      <c r="G71" s="3"/>
      <c r="H71" s="6">
        <v>4139.8076923076896</v>
      </c>
      <c r="I71" s="3"/>
      <c r="J71" s="7">
        <f t="shared" si="13"/>
        <v>1.0592863794283399E-2</v>
      </c>
      <c r="K71" s="3"/>
      <c r="L71" s="6">
        <f t="shared" si="14"/>
        <v>984.36230769231042</v>
      </c>
      <c r="M71" s="3"/>
      <c r="N71" s="7">
        <f t="shared" si="15"/>
        <v>0.23777971849305604</v>
      </c>
      <c r="O71" s="9"/>
      <c r="P71" s="6">
        <v>56517.3</v>
      </c>
      <c r="Q71" s="3"/>
      <c r="R71" s="7">
        <f t="shared" si="16"/>
        <v>5.2848001082728864E-3</v>
      </c>
      <c r="S71" s="3"/>
      <c r="T71" s="6">
        <v>53817.5</v>
      </c>
      <c r="U71" s="3"/>
      <c r="V71" s="7">
        <f t="shared" si="17"/>
        <v>4.8221077478438389E-3</v>
      </c>
      <c r="W71" s="3"/>
      <c r="X71" s="6">
        <f t="shared" si="18"/>
        <v>2699.8000000000029</v>
      </c>
      <c r="Y71" s="3"/>
      <c r="Z71" s="7">
        <f t="shared" si="19"/>
        <v>5.0165838249640042E-2</v>
      </c>
    </row>
    <row r="72" spans="1:26" s="70" customFormat="1" ht="15" hidden="1" customHeight="1" outlineLevel="2" x14ac:dyDescent="0.3">
      <c r="A72" s="21"/>
      <c r="B72" s="9" t="str">
        <f>CONCATENATE("          ","6002"," - ","STAFF SALARIES")</f>
        <v xml:space="preserve">          6002 - STAFF SALARIES</v>
      </c>
      <c r="C72" s="9"/>
      <c r="D72" s="6">
        <v>37964.53</v>
      </c>
      <c r="E72" s="3"/>
      <c r="F72" s="7">
        <f t="shared" si="12"/>
        <v>5.4973594247772227E-2</v>
      </c>
      <c r="G72" s="3"/>
      <c r="H72" s="6">
        <v>42300.635173407602</v>
      </c>
      <c r="I72" s="3"/>
      <c r="J72" s="7">
        <f t="shared" si="13"/>
        <v>0.10823808739622887</v>
      </c>
      <c r="K72" s="3"/>
      <c r="L72" s="6">
        <f t="shared" si="14"/>
        <v>-4336.1051734076027</v>
      </c>
      <c r="M72" s="3"/>
      <c r="N72" s="7">
        <f t="shared" si="15"/>
        <v>-0.10250685729971037</v>
      </c>
      <c r="O72" s="9"/>
      <c r="P72" s="6">
        <v>674321.89</v>
      </c>
      <c r="Q72" s="3"/>
      <c r="R72" s="7">
        <f t="shared" si="16"/>
        <v>6.3054257674778832E-2</v>
      </c>
      <c r="S72" s="3"/>
      <c r="T72" s="6">
        <v>567872.84379276098</v>
      </c>
      <c r="U72" s="3"/>
      <c r="V72" s="7">
        <f t="shared" si="17"/>
        <v>5.0882037252625759E-2</v>
      </c>
      <c r="W72" s="3"/>
      <c r="X72" s="6">
        <f t="shared" si="18"/>
        <v>106449.04620723904</v>
      </c>
      <c r="Y72" s="3"/>
      <c r="Z72" s="7">
        <f t="shared" si="19"/>
        <v>0.1874522569106799</v>
      </c>
    </row>
    <row r="73" spans="1:26" s="70" customFormat="1" ht="15" hidden="1" customHeight="1" outlineLevel="2" x14ac:dyDescent="0.3">
      <c r="A73" s="21"/>
      <c r="B73" s="9" t="str">
        <f>CONCATENATE("          ","6003"," - ","STAFF HOURLY-9 MONTH")</f>
        <v xml:space="preserve">          6003 - STAFF HOURLY-9 MONTH</v>
      </c>
      <c r="C73" s="9"/>
      <c r="D73" s="6"/>
      <c r="E73" s="3"/>
      <c r="F73" s="7">
        <f t="shared" si="12"/>
        <v>0</v>
      </c>
      <c r="G73" s="3"/>
      <c r="H73" s="6">
        <v>0</v>
      </c>
      <c r="I73" s="3"/>
      <c r="J73" s="7">
        <f t="shared" si="13"/>
        <v>0</v>
      </c>
      <c r="K73" s="3"/>
      <c r="L73" s="6">
        <f t="shared" si="14"/>
        <v>0</v>
      </c>
      <c r="M73" s="3"/>
      <c r="N73" s="7">
        <f t="shared" si="15"/>
        <v>0</v>
      </c>
      <c r="O73" s="9"/>
      <c r="P73" s="6"/>
      <c r="Q73" s="3"/>
      <c r="R73" s="7">
        <f t="shared" si="16"/>
        <v>0</v>
      </c>
      <c r="S73" s="3"/>
      <c r="T73" s="6">
        <v>0</v>
      </c>
      <c r="U73" s="3"/>
      <c r="V73" s="7">
        <f t="shared" si="17"/>
        <v>0</v>
      </c>
      <c r="W73" s="3"/>
      <c r="X73" s="6">
        <f t="shared" si="18"/>
        <v>0</v>
      </c>
      <c r="Y73" s="3"/>
      <c r="Z73" s="7">
        <f t="shared" si="19"/>
        <v>0</v>
      </c>
    </row>
    <row r="74" spans="1:26" s="70" customFormat="1" ht="15" hidden="1" customHeight="1" outlineLevel="2" x14ac:dyDescent="0.3">
      <c r="A74" s="21"/>
      <c r="B74" s="9" t="str">
        <f>CONCATENATE("          ","6004"," - ","STAFF HOURLY")</f>
        <v xml:space="preserve">          6004 - STAFF HOURLY</v>
      </c>
      <c r="C74" s="9"/>
      <c r="D74" s="6">
        <v>29582.91</v>
      </c>
      <c r="E74" s="3"/>
      <c r="F74" s="7">
        <f t="shared" si="12"/>
        <v>4.2836797690063953E-2</v>
      </c>
      <c r="G74" s="3"/>
      <c r="H74" s="6">
        <v>38087.713567999999</v>
      </c>
      <c r="I74" s="3"/>
      <c r="J74" s="7">
        <f t="shared" si="13"/>
        <v>9.7458141065630194E-2</v>
      </c>
      <c r="K74" s="3"/>
      <c r="L74" s="6">
        <f t="shared" si="14"/>
        <v>-8504.8035679999994</v>
      </c>
      <c r="M74" s="3"/>
      <c r="N74" s="7">
        <f t="shared" si="15"/>
        <v>-0.22329519866861858</v>
      </c>
      <c r="O74" s="9"/>
      <c r="P74" s="6">
        <v>340175.43</v>
      </c>
      <c r="Q74" s="3"/>
      <c r="R74" s="7">
        <f t="shared" si="16"/>
        <v>3.1809006256416632E-2</v>
      </c>
      <c r="S74" s="3"/>
      <c r="T74" s="6">
        <v>498167.41418399999</v>
      </c>
      <c r="U74" s="3"/>
      <c r="V74" s="7">
        <f t="shared" si="17"/>
        <v>4.4636353373159236E-2</v>
      </c>
      <c r="W74" s="3"/>
      <c r="X74" s="6">
        <f t="shared" si="18"/>
        <v>-157991.984184</v>
      </c>
      <c r="Y74" s="3"/>
      <c r="Z74" s="7">
        <f t="shared" si="19"/>
        <v>-0.3171463642253507</v>
      </c>
    </row>
    <row r="75" spans="1:26" s="70" customFormat="1" ht="15" hidden="1" customHeight="1" outlineLevel="2" x14ac:dyDescent="0.3">
      <c r="A75" s="21"/>
      <c r="B75" s="9" t="str">
        <f>CONCATENATE("          ","6005"," - ","TEMPORARY WAGES-HOURLY")</f>
        <v xml:space="preserve">          6005 - TEMPORARY WAGES-HOURLY</v>
      </c>
      <c r="C75" s="9"/>
      <c r="D75" s="6">
        <v>3926.16</v>
      </c>
      <c r="E75" s="3"/>
      <c r="F75" s="7">
        <f t="shared" si="12"/>
        <v>5.6851784229077357E-3</v>
      </c>
      <c r="G75" s="3"/>
      <c r="H75" s="6">
        <v>2396.66</v>
      </c>
      <c r="I75" s="3"/>
      <c r="J75" s="7">
        <f t="shared" si="13"/>
        <v>6.1325295347367395E-3</v>
      </c>
      <c r="K75" s="3"/>
      <c r="L75" s="6">
        <f t="shared" si="14"/>
        <v>1529.5</v>
      </c>
      <c r="M75" s="3"/>
      <c r="N75" s="7">
        <f t="shared" si="15"/>
        <v>0.63817980022197562</v>
      </c>
      <c r="O75" s="9"/>
      <c r="P75" s="6">
        <v>101407.29</v>
      </c>
      <c r="Q75" s="3"/>
      <c r="R75" s="7">
        <f t="shared" si="16"/>
        <v>9.4823577412873564E-3</v>
      </c>
      <c r="S75" s="3"/>
      <c r="T75" s="6">
        <v>36028.160000000003</v>
      </c>
      <c r="U75" s="3"/>
      <c r="V75" s="7">
        <f t="shared" si="17"/>
        <v>3.2281631342324989E-3</v>
      </c>
      <c r="W75" s="3"/>
      <c r="X75" s="6">
        <f t="shared" si="18"/>
        <v>65379.12999999999</v>
      </c>
      <c r="Y75" s="3"/>
      <c r="Z75" s="7">
        <f t="shared" si="19"/>
        <v>1.8146674712225099</v>
      </c>
    </row>
    <row r="76" spans="1:26" s="70" customFormat="1" ht="15" hidden="1" customHeight="1" outlineLevel="2" x14ac:dyDescent="0.3">
      <c r="A76" s="21"/>
      <c r="B76" s="9" t="str">
        <f>CONCATENATE("          ","6006"," - ","TEMPORARY PART TIME")</f>
        <v xml:space="preserve">          6006 - TEMPORARY PART TIME</v>
      </c>
      <c r="C76" s="9"/>
      <c r="D76" s="6">
        <v>2996.89</v>
      </c>
      <c r="E76" s="3"/>
      <c r="F76" s="7">
        <f t="shared" si="12"/>
        <v>4.3395720917710854E-3</v>
      </c>
      <c r="G76" s="3"/>
      <c r="H76" s="6">
        <v>0</v>
      </c>
      <c r="I76" s="3"/>
      <c r="J76" s="7">
        <f t="shared" si="13"/>
        <v>0</v>
      </c>
      <c r="K76" s="3"/>
      <c r="L76" s="6">
        <f t="shared" si="14"/>
        <v>2996.89</v>
      </c>
      <c r="M76" s="3"/>
      <c r="N76" s="7">
        <f t="shared" si="15"/>
        <v>0</v>
      </c>
      <c r="O76" s="9"/>
      <c r="P76" s="6">
        <v>22351.83</v>
      </c>
      <c r="Q76" s="3"/>
      <c r="R76" s="7">
        <f t="shared" si="16"/>
        <v>2.0900671759637697E-3</v>
      </c>
      <c r="S76" s="3"/>
      <c r="T76" s="6">
        <v>0</v>
      </c>
      <c r="U76" s="3"/>
      <c r="V76" s="7">
        <f t="shared" si="17"/>
        <v>0</v>
      </c>
      <c r="W76" s="3"/>
      <c r="X76" s="6">
        <f t="shared" si="18"/>
        <v>22351.83</v>
      </c>
      <c r="Y76" s="3"/>
      <c r="Z76" s="7">
        <f t="shared" si="19"/>
        <v>0</v>
      </c>
    </row>
    <row r="77" spans="1:26" s="70" customFormat="1" ht="15" hidden="1" customHeight="1" outlineLevel="2" x14ac:dyDescent="0.3">
      <c r="A77" s="21"/>
      <c r="B77" s="9" t="str">
        <f>CONCATENATE("          ","6007"," - ","STUDENT HOURLY")</f>
        <v xml:space="preserve">          6007 - STUDENT HOURLY</v>
      </c>
      <c r="C77" s="9"/>
      <c r="D77" s="6">
        <v>58919.93</v>
      </c>
      <c r="E77" s="3"/>
      <c r="F77" s="7">
        <f t="shared" si="12"/>
        <v>8.5317540475995421E-2</v>
      </c>
      <c r="G77" s="3"/>
      <c r="H77" s="6">
        <v>31151.771349999999</v>
      </c>
      <c r="I77" s="3"/>
      <c r="J77" s="7">
        <f t="shared" si="13"/>
        <v>7.9710579666386047E-2</v>
      </c>
      <c r="K77" s="3"/>
      <c r="L77" s="6">
        <f t="shared" si="14"/>
        <v>27768.158650000001</v>
      </c>
      <c r="M77" s="3"/>
      <c r="N77" s="7">
        <f t="shared" si="15"/>
        <v>0.89138297588332815</v>
      </c>
      <c r="O77" s="9"/>
      <c r="P77" s="6">
        <v>786114.42</v>
      </c>
      <c r="Q77" s="3"/>
      <c r="R77" s="7">
        <f t="shared" si="16"/>
        <v>7.3507714840073346E-2</v>
      </c>
      <c r="S77" s="3"/>
      <c r="T77" s="6">
        <v>437026.73334999999</v>
      </c>
      <c r="U77" s="3"/>
      <c r="V77" s="7">
        <f t="shared" si="17"/>
        <v>3.9158080492440531E-2</v>
      </c>
      <c r="W77" s="3"/>
      <c r="X77" s="6">
        <f t="shared" si="18"/>
        <v>349087.68665000005</v>
      </c>
      <c r="Y77" s="3"/>
      <c r="Z77" s="7">
        <f t="shared" si="19"/>
        <v>0.79877879317379763</v>
      </c>
    </row>
    <row r="78" spans="1:26" s="70" customFormat="1" ht="15" hidden="1" customHeight="1" outlineLevel="2" x14ac:dyDescent="0.3">
      <c r="A78" s="21"/>
      <c r="B78" s="9" t="str">
        <f>CONCATENATE("          ","6008"," - ","STUDENT HOURLY-FICA EXEMPT")</f>
        <v xml:space="preserve">          6008 - STUDENT HOURLY-FICA EXEMPT</v>
      </c>
      <c r="C78" s="9"/>
      <c r="D78" s="6">
        <v>7314.3</v>
      </c>
      <c r="E78" s="3"/>
      <c r="F78" s="7">
        <f t="shared" si="12"/>
        <v>1.05912903546147E-2</v>
      </c>
      <c r="G78" s="3"/>
      <c r="H78" s="6">
        <v>29532</v>
      </c>
      <c r="I78" s="3"/>
      <c r="J78" s="7">
        <f t="shared" si="13"/>
        <v>7.5565938522713025E-2</v>
      </c>
      <c r="K78" s="3"/>
      <c r="L78" s="6">
        <f t="shared" si="14"/>
        <v>-22217.7</v>
      </c>
      <c r="M78" s="3"/>
      <c r="N78" s="7">
        <f t="shared" si="15"/>
        <v>-0.75232629012596508</v>
      </c>
      <c r="O78" s="9"/>
      <c r="P78" s="6">
        <v>130511.83</v>
      </c>
      <c r="Q78" s="3"/>
      <c r="R78" s="7">
        <f t="shared" si="16"/>
        <v>1.2203854984489573E-2</v>
      </c>
      <c r="S78" s="3"/>
      <c r="T78" s="6">
        <v>577099.91377500002</v>
      </c>
      <c r="U78" s="3"/>
      <c r="V78" s="7">
        <f t="shared" si="17"/>
        <v>5.170879296686838E-2</v>
      </c>
      <c r="W78" s="3"/>
      <c r="X78" s="6">
        <f t="shared" si="18"/>
        <v>-446588.08377500001</v>
      </c>
      <c r="Y78" s="3"/>
      <c r="Z78" s="7">
        <f t="shared" si="19"/>
        <v>-0.77384881389726901</v>
      </c>
    </row>
    <row r="79" spans="1:26" s="70" customFormat="1" ht="15" hidden="1" customHeight="1" outlineLevel="2" x14ac:dyDescent="0.3">
      <c r="A79" s="21"/>
      <c r="B79" s="9" t="str">
        <f>CONCATENATE("          ","6009"," - ","TEMPORARY-SEASONAL")</f>
        <v xml:space="preserve">          6009 - TEMPORARY-SEASONAL</v>
      </c>
      <c r="C79" s="9"/>
      <c r="D79" s="6"/>
      <c r="E79" s="3"/>
      <c r="F79" s="7">
        <f t="shared" si="12"/>
        <v>0</v>
      </c>
      <c r="G79" s="3"/>
      <c r="H79" s="6">
        <v>0</v>
      </c>
      <c r="I79" s="3"/>
      <c r="J79" s="7">
        <f t="shared" si="13"/>
        <v>0</v>
      </c>
      <c r="K79" s="3"/>
      <c r="L79" s="6">
        <f t="shared" si="14"/>
        <v>0</v>
      </c>
      <c r="M79" s="3"/>
      <c r="N79" s="7">
        <f t="shared" si="15"/>
        <v>0</v>
      </c>
      <c r="O79" s="9"/>
      <c r="P79" s="6"/>
      <c r="Q79" s="3"/>
      <c r="R79" s="7">
        <f t="shared" si="16"/>
        <v>0</v>
      </c>
      <c r="S79" s="3"/>
      <c r="T79" s="6">
        <v>0</v>
      </c>
      <c r="U79" s="3"/>
      <c r="V79" s="7">
        <f t="shared" si="17"/>
        <v>0</v>
      </c>
      <c r="W79" s="3"/>
      <c r="X79" s="6">
        <f t="shared" si="18"/>
        <v>0</v>
      </c>
      <c r="Y79" s="3"/>
      <c r="Z79" s="7">
        <f t="shared" si="19"/>
        <v>0</v>
      </c>
    </row>
    <row r="80" spans="1:26" s="70" customFormat="1" ht="15" hidden="1" customHeight="1" outlineLevel="2" x14ac:dyDescent="0.3">
      <c r="A80" s="21"/>
      <c r="B80" s="9" t="str">
        <f>CONCATENATE("          ","6010"," - ","GRATUITY")</f>
        <v xml:space="preserve">          6010 - GRATUITY</v>
      </c>
      <c r="C80" s="9"/>
      <c r="D80" s="6"/>
      <c r="E80" s="3"/>
      <c r="F80" s="7">
        <f t="shared" si="12"/>
        <v>0</v>
      </c>
      <c r="G80" s="3"/>
      <c r="H80" s="6">
        <v>0</v>
      </c>
      <c r="I80" s="3"/>
      <c r="J80" s="7">
        <f t="shared" si="13"/>
        <v>0</v>
      </c>
      <c r="K80" s="3"/>
      <c r="L80" s="6">
        <f t="shared" si="14"/>
        <v>0</v>
      </c>
      <c r="M80" s="3"/>
      <c r="N80" s="7">
        <f t="shared" si="15"/>
        <v>0</v>
      </c>
      <c r="O80" s="9"/>
      <c r="P80" s="6"/>
      <c r="Q80" s="3"/>
      <c r="R80" s="7">
        <f t="shared" si="16"/>
        <v>0</v>
      </c>
      <c r="S80" s="3"/>
      <c r="T80" s="6">
        <v>0</v>
      </c>
      <c r="U80" s="3"/>
      <c r="V80" s="7">
        <f t="shared" si="17"/>
        <v>0</v>
      </c>
      <c r="W80" s="3"/>
      <c r="X80" s="6">
        <f t="shared" si="18"/>
        <v>0</v>
      </c>
      <c r="Y80" s="3"/>
      <c r="Z80" s="7">
        <f t="shared" si="19"/>
        <v>0</v>
      </c>
    </row>
    <row r="81" spans="1:26" s="69" customFormat="1" ht="15" customHeight="1" outlineLevel="1" collapsed="1" x14ac:dyDescent="0.3">
      <c r="A81" s="20"/>
      <c r="B81" s="11" t="str">
        <f>CONCATENATE("     ","Advertising/Promo                                 ")</f>
        <v xml:space="preserve">     Advertising/Promo                                 </v>
      </c>
      <c r="C81" s="11"/>
      <c r="D81" s="2">
        <f>SUM(OSRRefD22_2x_0)</f>
        <v>6464.7</v>
      </c>
      <c r="E81" s="2"/>
      <c r="F81" s="5">
        <f t="shared" si="12"/>
        <v>9.3610481871782194E-3</v>
      </c>
      <c r="G81" s="2"/>
      <c r="H81" s="2">
        <f>SUM(OSRRefH22_2x_0)</f>
        <v>500</v>
      </c>
      <c r="I81" s="2"/>
      <c r="J81" s="5">
        <f t="shared" si="13"/>
        <v>1.2793908052741608E-3</v>
      </c>
      <c r="K81" s="2"/>
      <c r="L81" s="2">
        <f t="shared" si="14"/>
        <v>5964.7</v>
      </c>
      <c r="M81" s="2"/>
      <c r="N81" s="5">
        <f t="shared" si="15"/>
        <v>11.929399999999999</v>
      </c>
      <c r="O81" s="11"/>
      <c r="P81" s="2">
        <f>SUM(OSRRefP22_2x_0)</f>
        <v>20165.64</v>
      </c>
      <c r="Q81" s="2"/>
      <c r="R81" s="5">
        <f t="shared" si="16"/>
        <v>1.8856416788380203E-3</v>
      </c>
      <c r="S81" s="2"/>
      <c r="T81" s="2">
        <f>SUM(OSRRefT22_2x_0)</f>
        <v>9500</v>
      </c>
      <c r="U81" s="2"/>
      <c r="V81" s="5">
        <f t="shared" si="17"/>
        <v>8.512105468391596E-4</v>
      </c>
      <c r="W81" s="2"/>
      <c r="X81" s="2">
        <f t="shared" si="18"/>
        <v>10665.64</v>
      </c>
      <c r="Y81" s="2"/>
      <c r="Z81" s="5">
        <f t="shared" si="19"/>
        <v>1.122698947368421</v>
      </c>
    </row>
    <row r="82" spans="1:26" s="70" customFormat="1" ht="15" hidden="1" customHeight="1" outlineLevel="2" x14ac:dyDescent="0.3">
      <c r="A82" s="21"/>
      <c r="B82" s="9" t="str">
        <f>CONCATENATE("          ","6362"," - ","ADVERTISING EXPENSE")</f>
        <v xml:space="preserve">          6362 - ADVERTISING EXPENSE</v>
      </c>
      <c r="C82" s="9"/>
      <c r="D82" s="6">
        <v>6464.7</v>
      </c>
      <c r="E82" s="3"/>
      <c r="F82" s="7">
        <f t="shared" si="12"/>
        <v>9.3610481871782194E-3</v>
      </c>
      <c r="G82" s="3"/>
      <c r="H82" s="6">
        <v>500</v>
      </c>
      <c r="I82" s="3"/>
      <c r="J82" s="7">
        <f t="shared" si="13"/>
        <v>1.2793908052741608E-3</v>
      </c>
      <c r="K82" s="3"/>
      <c r="L82" s="6">
        <f t="shared" si="14"/>
        <v>5964.7</v>
      </c>
      <c r="M82" s="3"/>
      <c r="N82" s="7">
        <f t="shared" si="15"/>
        <v>11.929399999999999</v>
      </c>
      <c r="O82" s="9"/>
      <c r="P82" s="6">
        <v>20165.64</v>
      </c>
      <c r="Q82" s="3"/>
      <c r="R82" s="7">
        <f t="shared" si="16"/>
        <v>1.8856416788380203E-3</v>
      </c>
      <c r="S82" s="3"/>
      <c r="T82" s="6">
        <v>9500</v>
      </c>
      <c r="U82" s="3"/>
      <c r="V82" s="7">
        <f t="shared" si="17"/>
        <v>8.512105468391596E-4</v>
      </c>
      <c r="W82" s="3"/>
      <c r="X82" s="6">
        <f t="shared" si="18"/>
        <v>10665.64</v>
      </c>
      <c r="Y82" s="3"/>
      <c r="Z82" s="7">
        <f t="shared" si="19"/>
        <v>1.122698947368421</v>
      </c>
    </row>
    <row r="83" spans="1:26" s="69" customFormat="1" ht="15" customHeight="1" outlineLevel="1" collapsed="1" x14ac:dyDescent="0.3">
      <c r="A83" s="20"/>
      <c r="B83" s="11" t="str">
        <f>CONCATENATE("     ","Bad Debts/Over/Short                              ")</f>
        <v xml:space="preserve">     Bad Debts/Over/Short                              </v>
      </c>
      <c r="C83" s="11"/>
      <c r="D83" s="2">
        <f>SUM(OSRRefD22_3x_0)</f>
        <v>59.88</v>
      </c>
      <c r="E83" s="2"/>
      <c r="F83" s="5">
        <f t="shared" si="12"/>
        <v>8.6707745981751952E-5</v>
      </c>
      <c r="G83" s="2"/>
      <c r="H83" s="2">
        <f>SUM(OSRRefH22_3x_0)</f>
        <v>235</v>
      </c>
      <c r="I83" s="2"/>
      <c r="J83" s="5">
        <f t="shared" si="13"/>
        <v>6.0131367847885548E-4</v>
      </c>
      <c r="K83" s="2"/>
      <c r="L83" s="2">
        <f t="shared" si="14"/>
        <v>-175.12</v>
      </c>
      <c r="M83" s="2"/>
      <c r="N83" s="5">
        <f t="shared" si="15"/>
        <v>-0.7451914893617021</v>
      </c>
      <c r="O83" s="11"/>
      <c r="P83" s="2">
        <f>SUM(OSRRefP22_3x_0)</f>
        <v>90.12</v>
      </c>
      <c r="Q83" s="2"/>
      <c r="R83" s="5">
        <f t="shared" si="16"/>
        <v>8.4269097383907669E-6</v>
      </c>
      <c r="S83" s="2"/>
      <c r="T83" s="2">
        <f>SUM(OSRRefT22_3x_0)</f>
        <v>2820</v>
      </c>
      <c r="U83" s="2"/>
      <c r="V83" s="5">
        <f t="shared" si="17"/>
        <v>2.5267513074594001E-4</v>
      </c>
      <c r="W83" s="2"/>
      <c r="X83" s="2">
        <f t="shared" si="18"/>
        <v>-2729.88</v>
      </c>
      <c r="Y83" s="2"/>
      <c r="Z83" s="5">
        <f t="shared" si="19"/>
        <v>-0.96804255319148935</v>
      </c>
    </row>
    <row r="84" spans="1:26" s="70" customFormat="1" ht="15" hidden="1" customHeight="1" outlineLevel="2" x14ac:dyDescent="0.3">
      <c r="A84" s="21"/>
      <c r="B84" s="9" t="str">
        <f>CONCATENATE("          ","6272"," - ","CASH (OVER/SHORT)")</f>
        <v xml:space="preserve">          6272 - CASH (OVER/SHORT)</v>
      </c>
      <c r="C84" s="9"/>
      <c r="D84" s="6">
        <v>59.88</v>
      </c>
      <c r="E84" s="3"/>
      <c r="F84" s="7">
        <f t="shared" si="12"/>
        <v>8.6707745981751952E-5</v>
      </c>
      <c r="G84" s="3"/>
      <c r="H84" s="6">
        <v>235</v>
      </c>
      <c r="I84" s="3"/>
      <c r="J84" s="7">
        <f t="shared" si="13"/>
        <v>6.0131367847885548E-4</v>
      </c>
      <c r="K84" s="3"/>
      <c r="L84" s="6">
        <f t="shared" si="14"/>
        <v>-175.12</v>
      </c>
      <c r="M84" s="3"/>
      <c r="N84" s="7">
        <f t="shared" si="15"/>
        <v>-0.7451914893617021</v>
      </c>
      <c r="O84" s="9"/>
      <c r="P84" s="6">
        <v>90.12</v>
      </c>
      <c r="Q84" s="3"/>
      <c r="R84" s="7">
        <f t="shared" si="16"/>
        <v>8.4269097383907669E-6</v>
      </c>
      <c r="S84" s="3"/>
      <c r="T84" s="6">
        <v>2820</v>
      </c>
      <c r="U84" s="3"/>
      <c r="V84" s="7">
        <f t="shared" si="17"/>
        <v>2.5267513074594001E-4</v>
      </c>
      <c r="W84" s="3"/>
      <c r="X84" s="6">
        <f t="shared" si="18"/>
        <v>-2729.88</v>
      </c>
      <c r="Y84" s="3"/>
      <c r="Z84" s="7">
        <f t="shared" si="19"/>
        <v>-0.96804255319148935</v>
      </c>
    </row>
    <row r="85" spans="1:26" s="69" customFormat="1" ht="15" customHeight="1" outlineLevel="1" collapsed="1" x14ac:dyDescent="0.3">
      <c r="A85" s="20"/>
      <c r="B85" s="11" t="str">
        <f>CONCATENATE("     ","Bank/card Fees                                    ")</f>
        <v xml:space="preserve">     Bank/card Fees                                    </v>
      </c>
      <c r="C85" s="11"/>
      <c r="D85" s="2">
        <f>SUM(OSRRefD22_4x_0)</f>
        <v>6383.29</v>
      </c>
      <c r="E85" s="2"/>
      <c r="F85" s="5">
        <f t="shared" si="12"/>
        <v>9.2431644597170577E-3</v>
      </c>
      <c r="G85" s="2"/>
      <c r="H85" s="2">
        <f>SUM(OSRRefH22_4x_0)</f>
        <v>7144</v>
      </c>
      <c r="I85" s="2"/>
      <c r="J85" s="5">
        <f t="shared" si="13"/>
        <v>1.8279935825757206E-2</v>
      </c>
      <c r="K85" s="2"/>
      <c r="L85" s="2">
        <f t="shared" si="14"/>
        <v>-760.71</v>
      </c>
      <c r="M85" s="2"/>
      <c r="N85" s="5">
        <f t="shared" si="15"/>
        <v>-0.10648236282194849</v>
      </c>
      <c r="O85" s="11"/>
      <c r="P85" s="2">
        <f>SUM(OSRRefP22_4x_0)</f>
        <v>149253.45000000001</v>
      </c>
      <c r="Q85" s="2"/>
      <c r="R85" s="5">
        <f t="shared" si="16"/>
        <v>1.395633989451198E-2</v>
      </c>
      <c r="S85" s="2"/>
      <c r="T85" s="2">
        <f>SUM(OSRRefT22_4x_0)</f>
        <v>184132</v>
      </c>
      <c r="U85" s="2"/>
      <c r="V85" s="5">
        <f t="shared" si="17"/>
        <v>1.6498431622167173E-2</v>
      </c>
      <c r="W85" s="2"/>
      <c r="X85" s="2">
        <f t="shared" si="18"/>
        <v>-34878.549999999988</v>
      </c>
      <c r="Y85" s="2"/>
      <c r="Z85" s="5">
        <f t="shared" si="19"/>
        <v>-0.18942144765711549</v>
      </c>
    </row>
    <row r="86" spans="1:26" s="70" customFormat="1" ht="15" hidden="1" customHeight="1" outlineLevel="2" x14ac:dyDescent="0.3">
      <c r="A86" s="21"/>
      <c r="B86" s="9" t="str">
        <f>CONCATENATE("          ","6381"," - ","BANK/CREDIT CARD FEES")</f>
        <v xml:space="preserve">          6381 - BANK/CREDIT CARD FEES</v>
      </c>
      <c r="C86" s="9"/>
      <c r="D86" s="6">
        <v>6383.29</v>
      </c>
      <c r="E86" s="3"/>
      <c r="F86" s="7">
        <f t="shared" si="12"/>
        <v>9.2431644597170577E-3</v>
      </c>
      <c r="G86" s="3"/>
      <c r="H86" s="6">
        <v>7144</v>
      </c>
      <c r="I86" s="3"/>
      <c r="J86" s="7">
        <f t="shared" si="13"/>
        <v>1.8279935825757206E-2</v>
      </c>
      <c r="K86" s="3"/>
      <c r="L86" s="6">
        <f t="shared" si="14"/>
        <v>-760.71</v>
      </c>
      <c r="M86" s="3"/>
      <c r="N86" s="7">
        <f t="shared" si="15"/>
        <v>-0.10648236282194849</v>
      </c>
      <c r="O86" s="9"/>
      <c r="P86" s="6">
        <v>149253.45000000001</v>
      </c>
      <c r="Q86" s="3"/>
      <c r="R86" s="7">
        <f t="shared" si="16"/>
        <v>1.395633989451198E-2</v>
      </c>
      <c r="S86" s="3"/>
      <c r="T86" s="6">
        <v>184132</v>
      </c>
      <c r="U86" s="3"/>
      <c r="V86" s="7">
        <f t="shared" si="17"/>
        <v>1.6498431622167173E-2</v>
      </c>
      <c r="W86" s="3"/>
      <c r="X86" s="6">
        <f t="shared" si="18"/>
        <v>-34878.549999999988</v>
      </c>
      <c r="Y86" s="3"/>
      <c r="Z86" s="7">
        <f t="shared" si="19"/>
        <v>-0.18942144765711549</v>
      </c>
    </row>
    <row r="87" spans="1:26" s="69" customFormat="1" ht="15" customHeight="1" outlineLevel="1" collapsed="1" x14ac:dyDescent="0.3">
      <c r="A87" s="20"/>
      <c r="B87" s="11" t="str">
        <f>CONCATENATE("     ","Depreciation                                      ")</f>
        <v xml:space="preserve">     Depreciation                                      </v>
      </c>
      <c r="C87" s="11"/>
      <c r="D87" s="2">
        <f>SUM(OSRRefD22_5x_0)</f>
        <v>16660.3</v>
      </c>
      <c r="E87" s="2"/>
      <c r="F87" s="5">
        <f t="shared" si="12"/>
        <v>2.4124533406475981E-2</v>
      </c>
      <c r="G87" s="2"/>
      <c r="H87" s="2">
        <f>SUM(OSRRefH22_5x_0)</f>
        <v>16259</v>
      </c>
      <c r="I87" s="2"/>
      <c r="J87" s="5">
        <f t="shared" si="13"/>
        <v>4.1603230205905159E-2</v>
      </c>
      <c r="K87" s="2"/>
      <c r="L87" s="2">
        <f t="shared" si="14"/>
        <v>401.29999999999927</v>
      </c>
      <c r="M87" s="2"/>
      <c r="N87" s="5">
        <f t="shared" si="15"/>
        <v>2.4681714742604052E-2</v>
      </c>
      <c r="O87" s="11"/>
      <c r="P87" s="2">
        <f>SUM(OSRRefP22_5x_0)</f>
        <v>319941.81</v>
      </c>
      <c r="Q87" s="2"/>
      <c r="R87" s="5">
        <f t="shared" si="16"/>
        <v>2.9917007927289931E-2</v>
      </c>
      <c r="S87" s="2"/>
      <c r="T87" s="2">
        <f>SUM(OSRRefT22_5x_0)</f>
        <v>315125</v>
      </c>
      <c r="U87" s="2"/>
      <c r="V87" s="5">
        <f t="shared" si="17"/>
        <v>2.8235549849756857E-2</v>
      </c>
      <c r="W87" s="2"/>
      <c r="X87" s="2">
        <f t="shared" si="18"/>
        <v>4816.8099999999977</v>
      </c>
      <c r="Y87" s="2"/>
      <c r="Z87" s="5">
        <f t="shared" si="19"/>
        <v>1.5285394684648941E-2</v>
      </c>
    </row>
    <row r="88" spans="1:26" s="70" customFormat="1" ht="15" hidden="1" customHeight="1" outlineLevel="2" x14ac:dyDescent="0.3">
      <c r="A88" s="21"/>
      <c r="B88" s="9" t="str">
        <f>CONCATENATE("          ","6321"," - ","BUILDING DEPRECIATION")</f>
        <v xml:space="preserve">          6321 - BUILDING DEPRECIATION</v>
      </c>
      <c r="C88" s="9"/>
      <c r="D88" s="6">
        <v>13321.47</v>
      </c>
      <c r="E88" s="3"/>
      <c r="F88" s="7">
        <f t="shared" si="12"/>
        <v>1.9289823594915316E-2</v>
      </c>
      <c r="G88" s="3"/>
      <c r="H88" s="6"/>
      <c r="I88" s="3"/>
      <c r="J88" s="7">
        <f t="shared" si="13"/>
        <v>0</v>
      </c>
      <c r="K88" s="3"/>
      <c r="L88" s="6">
        <f t="shared" si="14"/>
        <v>13321.47</v>
      </c>
      <c r="M88" s="3"/>
      <c r="N88" s="7">
        <f t="shared" si="15"/>
        <v>0</v>
      </c>
      <c r="O88" s="9"/>
      <c r="P88" s="6">
        <v>179119.02</v>
      </c>
      <c r="Q88" s="3"/>
      <c r="R88" s="7">
        <f t="shared" si="16"/>
        <v>1.6748999267299274E-2</v>
      </c>
      <c r="S88" s="3"/>
      <c r="T88" s="6"/>
      <c r="U88" s="3"/>
      <c r="V88" s="7">
        <f t="shared" si="17"/>
        <v>0</v>
      </c>
      <c r="W88" s="3"/>
      <c r="X88" s="6">
        <f t="shared" si="18"/>
        <v>179119.02</v>
      </c>
      <c r="Y88" s="3"/>
      <c r="Z88" s="7">
        <f t="shared" si="19"/>
        <v>0</v>
      </c>
    </row>
    <row r="89" spans="1:26" s="70" customFormat="1" ht="15" hidden="1" customHeight="1" outlineLevel="2" x14ac:dyDescent="0.3">
      <c r="A89" s="21"/>
      <c r="B89" s="9" t="str">
        <f>CONCATENATE("          ","6322"," - ","EQUIPMENT DEPRECIATION EXPENSE")</f>
        <v xml:space="preserve">          6322 - EQUIPMENT DEPRECIATION EXPENSE</v>
      </c>
      <c r="C89" s="9"/>
      <c r="D89" s="6">
        <v>3338.83</v>
      </c>
      <c r="E89" s="3"/>
      <c r="F89" s="7">
        <f t="shared" si="12"/>
        <v>4.8347098115606689E-3</v>
      </c>
      <c r="G89" s="3"/>
      <c r="H89" s="6">
        <v>16259</v>
      </c>
      <c r="I89" s="3"/>
      <c r="J89" s="7">
        <f t="shared" si="13"/>
        <v>4.1603230205905159E-2</v>
      </c>
      <c r="K89" s="3"/>
      <c r="L89" s="6">
        <f t="shared" si="14"/>
        <v>-12920.17</v>
      </c>
      <c r="M89" s="3"/>
      <c r="N89" s="7">
        <f t="shared" si="15"/>
        <v>-0.79464727227996801</v>
      </c>
      <c r="O89" s="9"/>
      <c r="P89" s="6">
        <v>140822.79</v>
      </c>
      <c r="Q89" s="3"/>
      <c r="R89" s="7">
        <f t="shared" si="16"/>
        <v>1.3168008659990658E-2</v>
      </c>
      <c r="S89" s="3"/>
      <c r="T89" s="6">
        <v>315125</v>
      </c>
      <c r="U89" s="3"/>
      <c r="V89" s="7">
        <f t="shared" si="17"/>
        <v>2.8235549849756857E-2</v>
      </c>
      <c r="W89" s="3"/>
      <c r="X89" s="6">
        <f t="shared" si="18"/>
        <v>-174302.21</v>
      </c>
      <c r="Y89" s="3"/>
      <c r="Z89" s="7">
        <f t="shared" si="19"/>
        <v>-0.55312085680285594</v>
      </c>
    </row>
    <row r="90" spans="1:26" s="69" customFormat="1" ht="15" customHeight="1" outlineLevel="1" collapsed="1" x14ac:dyDescent="0.3">
      <c r="A90" s="20"/>
      <c r="B90" s="11" t="str">
        <f>CONCATENATE("     ","Discounts and Markdowns                           ")</f>
        <v xml:space="preserve">     Discounts and Markdowns                           </v>
      </c>
      <c r="C90" s="11"/>
      <c r="D90" s="2">
        <f>SUM(OSRRefD22_6x_0)</f>
        <v>30.17</v>
      </c>
      <c r="E90" s="2"/>
      <c r="F90" s="5">
        <f t="shared" ref="F90:F121" si="20">IF(D$12=0,0,D90/D$12)</f>
        <v>4.3686918775375023E-5</v>
      </c>
      <c r="G90" s="2"/>
      <c r="H90" s="2">
        <f>SUM(OSRRefH22_6x_0)</f>
        <v>0</v>
      </c>
      <c r="I90" s="2"/>
      <c r="J90" s="5">
        <f t="shared" ref="J90:J121" si="21">IF(H$12=0,0,H90/H$12)</f>
        <v>0</v>
      </c>
      <c r="K90" s="2"/>
      <c r="L90" s="2">
        <f t="shared" ref="L90:L121" si="22">+D90-H90</f>
        <v>30.17</v>
      </c>
      <c r="M90" s="2"/>
      <c r="N90" s="5">
        <f t="shared" ref="N90:N121" si="23">IF(H90=0,0,L90/H90)</f>
        <v>0</v>
      </c>
      <c r="O90" s="11"/>
      <c r="P90" s="2">
        <f>SUM(OSRRefP22_6x_0)</f>
        <v>2019.25</v>
      </c>
      <c r="Q90" s="2"/>
      <c r="R90" s="5">
        <f t="shared" ref="R90:R121" si="24">IF(P$12=0,0,P90/P$12)</f>
        <v>1.8881532944125119E-4</v>
      </c>
      <c r="S90" s="2"/>
      <c r="T90" s="2">
        <f>SUM(OSRRefT22_6x_0)</f>
        <v>0</v>
      </c>
      <c r="U90" s="2"/>
      <c r="V90" s="5">
        <f t="shared" ref="V90:V121" si="25">IF(T$12=0,0,T90/T$12)</f>
        <v>0</v>
      </c>
      <c r="W90" s="2"/>
      <c r="X90" s="2">
        <f t="shared" ref="X90:X121" si="26">+P90-T90</f>
        <v>2019.25</v>
      </c>
      <c r="Y90" s="2"/>
      <c r="Z90" s="5">
        <f t="shared" ref="Z90:Z121" si="27">IF(T90=0,0,X90/T90)</f>
        <v>0</v>
      </c>
    </row>
    <row r="91" spans="1:26" s="70" customFormat="1" ht="15" hidden="1" customHeight="1" outlineLevel="2" x14ac:dyDescent="0.3">
      <c r="A91" s="21"/>
      <c r="B91" s="9" t="str">
        <f>CONCATENATE("          ","6382"," - ","DISCOUNTS/MARK DOWNS")</f>
        <v xml:space="preserve">          6382 - DISCOUNTS/MARK DOWNS</v>
      </c>
      <c r="C91" s="9"/>
      <c r="D91" s="6"/>
      <c r="E91" s="3"/>
      <c r="F91" s="7">
        <f t="shared" si="20"/>
        <v>0</v>
      </c>
      <c r="G91" s="3"/>
      <c r="H91" s="6"/>
      <c r="I91" s="3"/>
      <c r="J91" s="7">
        <f t="shared" si="21"/>
        <v>0</v>
      </c>
      <c r="K91" s="3"/>
      <c r="L91" s="6">
        <f t="shared" si="22"/>
        <v>0</v>
      </c>
      <c r="M91" s="3"/>
      <c r="N91" s="7">
        <f t="shared" si="23"/>
        <v>0</v>
      </c>
      <c r="O91" s="9"/>
      <c r="P91" s="6">
        <v>2171.35</v>
      </c>
      <c r="Q91" s="3"/>
      <c r="R91" s="7">
        <f t="shared" si="24"/>
        <v>2.030378435469906E-4</v>
      </c>
      <c r="S91" s="3"/>
      <c r="T91" s="6">
        <v>0</v>
      </c>
      <c r="U91" s="3"/>
      <c r="V91" s="7">
        <f t="shared" si="25"/>
        <v>0</v>
      </c>
      <c r="W91" s="3"/>
      <c r="X91" s="6">
        <f t="shared" si="26"/>
        <v>2171.35</v>
      </c>
      <c r="Y91" s="3"/>
      <c r="Z91" s="7">
        <f t="shared" si="27"/>
        <v>0</v>
      </c>
    </row>
    <row r="92" spans="1:26" s="70" customFormat="1" ht="15" hidden="1" customHeight="1" outlineLevel="2" x14ac:dyDescent="0.3">
      <c r="A92" s="21"/>
      <c r="B92" s="9" t="str">
        <f>CONCATENATE("          ","9175"," - ","EARNED DISCOUNTS")</f>
        <v xml:space="preserve">          9175 - EARNED DISCOUNTS</v>
      </c>
      <c r="C92" s="9"/>
      <c r="D92" s="6">
        <v>30.17</v>
      </c>
      <c r="E92" s="3"/>
      <c r="F92" s="7">
        <f t="shared" si="20"/>
        <v>4.3686918775375023E-5</v>
      </c>
      <c r="G92" s="3"/>
      <c r="H92" s="6"/>
      <c r="I92" s="3"/>
      <c r="J92" s="7">
        <f t="shared" si="21"/>
        <v>0</v>
      </c>
      <c r="K92" s="3"/>
      <c r="L92" s="6">
        <f t="shared" si="22"/>
        <v>30.17</v>
      </c>
      <c r="M92" s="3"/>
      <c r="N92" s="7">
        <f t="shared" si="23"/>
        <v>0</v>
      </c>
      <c r="O92" s="9"/>
      <c r="P92" s="6">
        <v>-152.1</v>
      </c>
      <c r="Q92" s="3"/>
      <c r="R92" s="7">
        <f t="shared" si="24"/>
        <v>-1.422251410573941E-5</v>
      </c>
      <c r="S92" s="3"/>
      <c r="T92" s="6"/>
      <c r="U92" s="3"/>
      <c r="V92" s="7">
        <f t="shared" si="25"/>
        <v>0</v>
      </c>
      <c r="W92" s="3"/>
      <c r="X92" s="6">
        <f t="shared" si="26"/>
        <v>-152.1</v>
      </c>
      <c r="Y92" s="3"/>
      <c r="Z92" s="7">
        <f t="shared" si="27"/>
        <v>0</v>
      </c>
    </row>
    <row r="93" spans="1:26" s="69" customFormat="1" ht="15" customHeight="1" outlineLevel="1" collapsed="1" x14ac:dyDescent="0.3">
      <c r="A93" s="20"/>
      <c r="B93" s="11" t="str">
        <f>CONCATENATE("     ","Donations                                         ")</f>
        <v xml:space="preserve">     Donations                                         </v>
      </c>
      <c r="C93" s="11"/>
      <c r="D93" s="2">
        <f>SUM(OSRRefD22_7x_0)</f>
        <v>2379.11</v>
      </c>
      <c r="E93" s="2"/>
      <c r="F93" s="5">
        <f t="shared" si="20"/>
        <v>3.4450111146066445E-3</v>
      </c>
      <c r="G93" s="2"/>
      <c r="H93" s="2">
        <f>SUM(OSRRefH22_7x_0)</f>
        <v>1250</v>
      </c>
      <c r="I93" s="2"/>
      <c r="J93" s="5">
        <f t="shared" si="21"/>
        <v>3.1984770131854015E-3</v>
      </c>
      <c r="K93" s="2"/>
      <c r="L93" s="2">
        <f t="shared" si="22"/>
        <v>1129.1100000000001</v>
      </c>
      <c r="M93" s="2"/>
      <c r="N93" s="5">
        <f t="shared" si="23"/>
        <v>0.90328800000000009</v>
      </c>
      <c r="O93" s="11"/>
      <c r="P93" s="2">
        <f>SUM(OSRRefP22_7x_0)</f>
        <v>9817.98</v>
      </c>
      <c r="Q93" s="2"/>
      <c r="R93" s="5">
        <f t="shared" si="24"/>
        <v>9.1805627245146232E-4</v>
      </c>
      <c r="S93" s="2"/>
      <c r="T93" s="2">
        <f>SUM(OSRRefT22_7x_0)</f>
        <v>15000</v>
      </c>
      <c r="U93" s="2"/>
      <c r="V93" s="5">
        <f t="shared" si="25"/>
        <v>1.3440166529039362E-3</v>
      </c>
      <c r="W93" s="2"/>
      <c r="X93" s="2">
        <f t="shared" si="26"/>
        <v>-5182.0200000000004</v>
      </c>
      <c r="Y93" s="2"/>
      <c r="Z93" s="5">
        <f t="shared" si="27"/>
        <v>-0.34546800000000005</v>
      </c>
    </row>
    <row r="94" spans="1:26" s="70" customFormat="1" ht="15" hidden="1" customHeight="1" outlineLevel="2" x14ac:dyDescent="0.3">
      <c r="A94" s="21"/>
      <c r="B94" s="9" t="str">
        <f>CONCATENATE("          ","6399"," - ","DONATION-ON CAMPUS")</f>
        <v xml:space="preserve">          6399 - DONATION-ON CAMPUS</v>
      </c>
      <c r="C94" s="9"/>
      <c r="D94" s="6">
        <v>2379.11</v>
      </c>
      <c r="E94" s="3"/>
      <c r="F94" s="7">
        <f t="shared" si="20"/>
        <v>3.4450111146066445E-3</v>
      </c>
      <c r="G94" s="3"/>
      <c r="H94" s="6">
        <v>1250</v>
      </c>
      <c r="I94" s="3"/>
      <c r="J94" s="7">
        <f t="shared" si="21"/>
        <v>3.1984770131854015E-3</v>
      </c>
      <c r="K94" s="3"/>
      <c r="L94" s="6">
        <f t="shared" si="22"/>
        <v>1129.1100000000001</v>
      </c>
      <c r="M94" s="3"/>
      <c r="N94" s="7">
        <f t="shared" si="23"/>
        <v>0.90328800000000009</v>
      </c>
      <c r="O94" s="9"/>
      <c r="P94" s="6">
        <v>9817.98</v>
      </c>
      <c r="Q94" s="3"/>
      <c r="R94" s="7">
        <f t="shared" si="24"/>
        <v>9.1805627245146232E-4</v>
      </c>
      <c r="S94" s="3"/>
      <c r="T94" s="6">
        <v>15000</v>
      </c>
      <c r="U94" s="3"/>
      <c r="V94" s="7">
        <f t="shared" si="25"/>
        <v>1.3440166529039362E-3</v>
      </c>
      <c r="W94" s="3"/>
      <c r="X94" s="6">
        <f t="shared" si="26"/>
        <v>-5182.0200000000004</v>
      </c>
      <c r="Y94" s="3"/>
      <c r="Z94" s="7">
        <f t="shared" si="27"/>
        <v>-0.34546800000000005</v>
      </c>
    </row>
    <row r="95" spans="1:26" s="69" customFormat="1" ht="15" customHeight="1" outlineLevel="1" collapsed="1" x14ac:dyDescent="0.3">
      <c r="A95" s="20"/>
      <c r="B95" s="11" t="str">
        <f>CONCATENATE("     ","Employees' Appreciation                           ")</f>
        <v xml:space="preserve">     Employees' Appreciation                           </v>
      </c>
      <c r="C95" s="11"/>
      <c r="D95" s="2">
        <f>SUM(OSRRefD22_8x_0)</f>
        <v>1840.15</v>
      </c>
      <c r="E95" s="2"/>
      <c r="F95" s="5">
        <f t="shared" si="20"/>
        <v>2.6645834797648774E-3</v>
      </c>
      <c r="G95" s="2"/>
      <c r="H95" s="2">
        <f>SUM(OSRRefH22_8x_0)</f>
        <v>245</v>
      </c>
      <c r="I95" s="2"/>
      <c r="J95" s="5">
        <f t="shared" si="21"/>
        <v>6.2690149458433867E-4</v>
      </c>
      <c r="K95" s="2"/>
      <c r="L95" s="2">
        <f t="shared" si="22"/>
        <v>1595.15</v>
      </c>
      <c r="M95" s="2"/>
      <c r="N95" s="5">
        <f t="shared" si="23"/>
        <v>6.5108163265306125</v>
      </c>
      <c r="O95" s="11"/>
      <c r="P95" s="2">
        <f>SUM(OSRRefP22_8x_0)</f>
        <v>6181.53</v>
      </c>
      <c r="Q95" s="2"/>
      <c r="R95" s="5">
        <f t="shared" si="24"/>
        <v>5.7802036568081088E-4</v>
      </c>
      <c r="S95" s="2"/>
      <c r="T95" s="2">
        <f>SUM(OSRRefT22_8x_0)</f>
        <v>2940</v>
      </c>
      <c r="U95" s="2"/>
      <c r="V95" s="5">
        <f t="shared" si="25"/>
        <v>2.634272639691715E-4</v>
      </c>
      <c r="W95" s="2"/>
      <c r="X95" s="2">
        <f t="shared" si="26"/>
        <v>3241.5299999999997</v>
      </c>
      <c r="Y95" s="2"/>
      <c r="Z95" s="5">
        <f t="shared" si="27"/>
        <v>1.1025612244897958</v>
      </c>
    </row>
    <row r="96" spans="1:26" s="70" customFormat="1" ht="15" hidden="1" customHeight="1" outlineLevel="2" x14ac:dyDescent="0.3">
      <c r="A96" s="21"/>
      <c r="B96" s="9" t="str">
        <f>CONCATENATE("          ","6277"," - ","EMPLOYEE APPRECIATION")</f>
        <v xml:space="preserve">          6277 - EMPLOYEE APPRECIATION</v>
      </c>
      <c r="C96" s="9"/>
      <c r="D96" s="6">
        <v>1840.15</v>
      </c>
      <c r="E96" s="3"/>
      <c r="F96" s="7">
        <f t="shared" si="20"/>
        <v>2.6645834797648774E-3</v>
      </c>
      <c r="G96" s="3"/>
      <c r="H96" s="6">
        <v>245</v>
      </c>
      <c r="I96" s="3"/>
      <c r="J96" s="7">
        <f t="shared" si="21"/>
        <v>6.2690149458433867E-4</v>
      </c>
      <c r="K96" s="3"/>
      <c r="L96" s="6">
        <f t="shared" si="22"/>
        <v>1595.15</v>
      </c>
      <c r="M96" s="3"/>
      <c r="N96" s="7">
        <f t="shared" si="23"/>
        <v>6.5108163265306125</v>
      </c>
      <c r="O96" s="9"/>
      <c r="P96" s="6">
        <v>6181.53</v>
      </c>
      <c r="Q96" s="3"/>
      <c r="R96" s="7">
        <f t="shared" si="24"/>
        <v>5.7802036568081088E-4</v>
      </c>
      <c r="S96" s="3"/>
      <c r="T96" s="6">
        <v>2940</v>
      </c>
      <c r="U96" s="3"/>
      <c r="V96" s="7">
        <f t="shared" si="25"/>
        <v>2.634272639691715E-4</v>
      </c>
      <c r="W96" s="3"/>
      <c r="X96" s="6">
        <f t="shared" si="26"/>
        <v>3241.5299999999997</v>
      </c>
      <c r="Y96" s="3"/>
      <c r="Z96" s="7">
        <f t="shared" si="27"/>
        <v>1.1025612244897958</v>
      </c>
    </row>
    <row r="97" spans="1:26" s="69" customFormat="1" ht="15" customHeight="1" outlineLevel="1" collapsed="1" x14ac:dyDescent="0.3">
      <c r="A97" s="20"/>
      <c r="B97" s="11" t="str">
        <f>CONCATENATE("     ","Equipment Rental                                  ")</f>
        <v xml:space="preserve">     Equipment Rental                                  </v>
      </c>
      <c r="C97" s="11"/>
      <c r="D97" s="2">
        <f>SUM(OSRRefD22_9x_0)</f>
        <v>2900.76</v>
      </c>
      <c r="E97" s="2"/>
      <c r="F97" s="5">
        <f t="shared" si="20"/>
        <v>4.2003734341019838E-3</v>
      </c>
      <c r="G97" s="2"/>
      <c r="H97" s="2">
        <f>SUM(OSRRefH22_9x_0)</f>
        <v>1700</v>
      </c>
      <c r="I97" s="2"/>
      <c r="J97" s="5">
        <f t="shared" si="21"/>
        <v>4.3499287379321462E-3</v>
      </c>
      <c r="K97" s="2"/>
      <c r="L97" s="2">
        <f t="shared" si="22"/>
        <v>1200.7600000000002</v>
      </c>
      <c r="M97" s="2"/>
      <c r="N97" s="5">
        <f t="shared" si="23"/>
        <v>0.70632941176470598</v>
      </c>
      <c r="O97" s="11"/>
      <c r="P97" s="2">
        <f>SUM(OSRRefP22_9x_0)</f>
        <v>20411.12</v>
      </c>
      <c r="Q97" s="2"/>
      <c r="R97" s="5">
        <f t="shared" si="24"/>
        <v>1.9085959376327402E-3</v>
      </c>
      <c r="S97" s="2"/>
      <c r="T97" s="2">
        <f>SUM(OSRRefT22_9x_0)</f>
        <v>20200</v>
      </c>
      <c r="U97" s="2"/>
      <c r="V97" s="5">
        <f t="shared" si="25"/>
        <v>1.8099424259106339E-3</v>
      </c>
      <c r="W97" s="2"/>
      <c r="X97" s="2">
        <f t="shared" si="26"/>
        <v>211.11999999999898</v>
      </c>
      <c r="Y97" s="2"/>
      <c r="Z97" s="5">
        <f t="shared" si="27"/>
        <v>1.0451485148514801E-2</v>
      </c>
    </row>
    <row r="98" spans="1:26" s="70" customFormat="1" ht="15" hidden="1" customHeight="1" outlineLevel="2" x14ac:dyDescent="0.3">
      <c r="A98" s="21"/>
      <c r="B98" s="9" t="str">
        <f>CONCATENATE("          ","6351"," - ","EQUIPMENT RENTAL")</f>
        <v xml:space="preserve">          6351 - EQUIPMENT RENTAL</v>
      </c>
      <c r="C98" s="9"/>
      <c r="D98" s="6">
        <v>2900.76</v>
      </c>
      <c r="E98" s="3"/>
      <c r="F98" s="7">
        <f t="shared" si="20"/>
        <v>4.2003734341019838E-3</v>
      </c>
      <c r="G98" s="3"/>
      <c r="H98" s="6">
        <v>1700</v>
      </c>
      <c r="I98" s="3"/>
      <c r="J98" s="7">
        <f t="shared" si="21"/>
        <v>4.3499287379321462E-3</v>
      </c>
      <c r="K98" s="3"/>
      <c r="L98" s="6">
        <f t="shared" si="22"/>
        <v>1200.7600000000002</v>
      </c>
      <c r="M98" s="3"/>
      <c r="N98" s="7">
        <f t="shared" si="23"/>
        <v>0.70632941176470598</v>
      </c>
      <c r="O98" s="9"/>
      <c r="P98" s="6">
        <v>20411.12</v>
      </c>
      <c r="Q98" s="3"/>
      <c r="R98" s="7">
        <f t="shared" si="24"/>
        <v>1.9085959376327402E-3</v>
      </c>
      <c r="S98" s="3"/>
      <c r="T98" s="6">
        <v>20200</v>
      </c>
      <c r="U98" s="3"/>
      <c r="V98" s="7">
        <f t="shared" si="25"/>
        <v>1.8099424259106339E-3</v>
      </c>
      <c r="W98" s="3"/>
      <c r="X98" s="6">
        <f t="shared" si="26"/>
        <v>211.11999999999898</v>
      </c>
      <c r="Y98" s="3"/>
      <c r="Z98" s="7">
        <f t="shared" si="27"/>
        <v>1.0451485148514801E-2</v>
      </c>
    </row>
    <row r="99" spans="1:26" s="69" customFormat="1" ht="15" customHeight="1" outlineLevel="1" collapsed="1" x14ac:dyDescent="0.3">
      <c r="A99" s="20"/>
      <c r="B99" s="11" t="str">
        <f>CONCATENATE("     ","Freight out/Postage                               ")</f>
        <v xml:space="preserve">     Freight out/Postage                               </v>
      </c>
      <c r="C99" s="11"/>
      <c r="D99" s="2">
        <f>SUM(OSRRefD22_10x_0)</f>
        <v>6549</v>
      </c>
      <c r="E99" s="2"/>
      <c r="F99" s="5">
        <f t="shared" si="20"/>
        <v>9.4831167073228702E-3</v>
      </c>
      <c r="G99" s="2"/>
      <c r="H99" s="2">
        <f>SUM(OSRRefH22_10x_0)</f>
        <v>-2335</v>
      </c>
      <c r="I99" s="2"/>
      <c r="J99" s="5">
        <f t="shared" si="21"/>
        <v>-5.9747550606303306E-3</v>
      </c>
      <c r="K99" s="2"/>
      <c r="L99" s="2">
        <f t="shared" si="22"/>
        <v>8884</v>
      </c>
      <c r="M99" s="2"/>
      <c r="N99" s="5">
        <f t="shared" si="23"/>
        <v>-3.8047109207708778</v>
      </c>
      <c r="O99" s="11"/>
      <c r="P99" s="2">
        <f>SUM(OSRRefP22_10x_0)</f>
        <v>-38547.51999999999</v>
      </c>
      <c r="Q99" s="2"/>
      <c r="R99" s="5">
        <f t="shared" si="24"/>
        <v>-3.6044881455704926E-3</v>
      </c>
      <c r="S99" s="2"/>
      <c r="T99" s="2">
        <f>SUM(OSRRefT22_10x_0)</f>
        <v>-16220</v>
      </c>
      <c r="U99" s="2"/>
      <c r="V99" s="5">
        <f t="shared" si="25"/>
        <v>-1.4533300073401229E-3</v>
      </c>
      <c r="W99" s="2"/>
      <c r="X99" s="2">
        <f t="shared" si="26"/>
        <v>-22327.51999999999</v>
      </c>
      <c r="Y99" s="2"/>
      <c r="Z99" s="5">
        <f t="shared" si="27"/>
        <v>1.3765425400739821</v>
      </c>
    </row>
    <row r="100" spans="1:26" s="70" customFormat="1" ht="15" hidden="1" customHeight="1" outlineLevel="2" x14ac:dyDescent="0.3">
      <c r="A100" s="21"/>
      <c r="B100" s="9" t="str">
        <f>CONCATENATE("          ","6305"," - ","FREIGHT OUT")</f>
        <v xml:space="preserve">          6305 - FREIGHT OUT</v>
      </c>
      <c r="C100" s="9"/>
      <c r="D100" s="6">
        <v>19990.48</v>
      </c>
      <c r="E100" s="3"/>
      <c r="F100" s="7">
        <f t="shared" si="20"/>
        <v>2.8946717800489189E-2</v>
      </c>
      <c r="G100" s="3"/>
      <c r="H100" s="6">
        <v>2065</v>
      </c>
      <c r="I100" s="3"/>
      <c r="J100" s="7">
        <f t="shared" si="21"/>
        <v>5.2838840257822834E-3</v>
      </c>
      <c r="K100" s="3"/>
      <c r="L100" s="6">
        <f t="shared" si="22"/>
        <v>17925.48</v>
      </c>
      <c r="M100" s="3"/>
      <c r="N100" s="7">
        <f t="shared" si="23"/>
        <v>8.6806198547215487</v>
      </c>
      <c r="O100" s="9"/>
      <c r="P100" s="6">
        <v>154532.73000000001</v>
      </c>
      <c r="Q100" s="3"/>
      <c r="R100" s="7">
        <f t="shared" si="24"/>
        <v>1.444999297977265E-2</v>
      </c>
      <c r="S100" s="3"/>
      <c r="T100" s="6">
        <v>157080</v>
      </c>
      <c r="U100" s="3"/>
      <c r="V100" s="7">
        <f t="shared" si="25"/>
        <v>1.4074542389210019E-2</v>
      </c>
      <c r="W100" s="3"/>
      <c r="X100" s="6">
        <f t="shared" si="26"/>
        <v>-2547.2699999999895</v>
      </c>
      <c r="Y100" s="3"/>
      <c r="Z100" s="7">
        <f t="shared" si="27"/>
        <v>-1.6216386554621782E-2</v>
      </c>
    </row>
    <row r="101" spans="1:26" s="70" customFormat="1" ht="15" hidden="1" customHeight="1" outlineLevel="2" x14ac:dyDescent="0.3">
      <c r="A101" s="21"/>
      <c r="B101" s="9" t="str">
        <f>CONCATENATE("          ","6307"," - ","POSTAGE")</f>
        <v xml:space="preserve">          6307 - POSTAGE</v>
      </c>
      <c r="C101" s="9"/>
      <c r="D101" s="6">
        <v>-13441.48</v>
      </c>
      <c r="E101" s="3"/>
      <c r="F101" s="7">
        <f t="shared" si="20"/>
        <v>-1.9463601093166319E-2</v>
      </c>
      <c r="G101" s="3"/>
      <c r="H101" s="6">
        <v>-4400</v>
      </c>
      <c r="I101" s="3"/>
      <c r="J101" s="7">
        <f t="shared" si="21"/>
        <v>-1.1258639086412614E-2</v>
      </c>
      <c r="K101" s="3"/>
      <c r="L101" s="6">
        <f t="shared" si="22"/>
        <v>-9041.48</v>
      </c>
      <c r="M101" s="3"/>
      <c r="N101" s="7">
        <f t="shared" si="23"/>
        <v>2.0548818181818183</v>
      </c>
      <c r="O101" s="9"/>
      <c r="P101" s="6">
        <v>-193080.25</v>
      </c>
      <c r="Q101" s="3"/>
      <c r="R101" s="7">
        <f t="shared" si="24"/>
        <v>-1.8054481125343143E-2</v>
      </c>
      <c r="S101" s="3"/>
      <c r="T101" s="6">
        <v>-173300</v>
      </c>
      <c r="U101" s="3"/>
      <c r="V101" s="7">
        <f t="shared" si="25"/>
        <v>-1.5527872396550142E-2</v>
      </c>
      <c r="W101" s="3"/>
      <c r="X101" s="6">
        <f t="shared" si="26"/>
        <v>-19780.25</v>
      </c>
      <c r="Y101" s="3"/>
      <c r="Z101" s="7">
        <f t="shared" si="27"/>
        <v>0.11413877668782459</v>
      </c>
    </row>
    <row r="102" spans="1:26" s="69" customFormat="1" ht="15" customHeight="1" outlineLevel="1" collapsed="1" x14ac:dyDescent="0.3">
      <c r="A102" s="20"/>
      <c r="B102" s="11" t="str">
        <f>CONCATENATE("     ","General                                           ")</f>
        <v xml:space="preserve">     General                                           </v>
      </c>
      <c r="C102" s="11"/>
      <c r="D102" s="2">
        <f>SUM(OSRRefD22_11x_0)</f>
        <v>200</v>
      </c>
      <c r="E102" s="2"/>
      <c r="F102" s="5">
        <f t="shared" si="20"/>
        <v>2.8960502999917151E-4</v>
      </c>
      <c r="G102" s="2"/>
      <c r="H102" s="2">
        <f>SUM(OSRRefH22_11x_0)</f>
        <v>1230</v>
      </c>
      <c r="I102" s="2"/>
      <c r="J102" s="5">
        <f t="shared" si="21"/>
        <v>3.1473013809744351E-3</v>
      </c>
      <c r="K102" s="2"/>
      <c r="L102" s="2">
        <f t="shared" si="22"/>
        <v>-1030</v>
      </c>
      <c r="M102" s="2"/>
      <c r="N102" s="5">
        <f t="shared" si="23"/>
        <v>-0.83739837398373984</v>
      </c>
      <c r="O102" s="11"/>
      <c r="P102" s="2">
        <f>SUM(OSRRefP22_11x_0)</f>
        <v>6970.51</v>
      </c>
      <c r="Q102" s="2"/>
      <c r="R102" s="5">
        <f t="shared" si="24"/>
        <v>6.517960341827589E-4</v>
      </c>
      <c r="S102" s="2"/>
      <c r="T102" s="2">
        <f>SUM(OSRRefT22_11x_0)</f>
        <v>7760</v>
      </c>
      <c r="U102" s="2"/>
      <c r="V102" s="5">
        <f t="shared" si="25"/>
        <v>6.9530461510230296E-4</v>
      </c>
      <c r="W102" s="2"/>
      <c r="X102" s="2">
        <f t="shared" si="26"/>
        <v>-789.48999999999978</v>
      </c>
      <c r="Y102" s="2"/>
      <c r="Z102" s="5">
        <f t="shared" si="27"/>
        <v>-0.10173840206185564</v>
      </c>
    </row>
    <row r="103" spans="1:26" s="70" customFormat="1" ht="15" hidden="1" customHeight="1" outlineLevel="2" x14ac:dyDescent="0.3">
      <c r="A103" s="21"/>
      <c r="B103" s="9" t="str">
        <f>CONCATENATE("          ","6276"," - ","PROPERTY TAX")</f>
        <v xml:space="preserve">          6276 - PROPERTY TAX</v>
      </c>
      <c r="C103" s="9"/>
      <c r="D103" s="6"/>
      <c r="E103" s="3"/>
      <c r="F103" s="7">
        <f t="shared" si="20"/>
        <v>0</v>
      </c>
      <c r="G103" s="3"/>
      <c r="H103" s="6"/>
      <c r="I103" s="3"/>
      <c r="J103" s="7">
        <f t="shared" si="21"/>
        <v>0</v>
      </c>
      <c r="K103" s="3"/>
      <c r="L103" s="6">
        <f t="shared" si="22"/>
        <v>0</v>
      </c>
      <c r="M103" s="3"/>
      <c r="N103" s="7">
        <f t="shared" si="23"/>
        <v>0</v>
      </c>
      <c r="O103" s="9"/>
      <c r="P103" s="6"/>
      <c r="Q103" s="3"/>
      <c r="R103" s="7">
        <f t="shared" si="24"/>
        <v>0</v>
      </c>
      <c r="S103" s="3"/>
      <c r="T103" s="6">
        <v>1250</v>
      </c>
      <c r="U103" s="3"/>
      <c r="V103" s="7">
        <f t="shared" si="25"/>
        <v>1.1200138774199468E-4</v>
      </c>
      <c r="W103" s="3"/>
      <c r="X103" s="6">
        <f t="shared" si="26"/>
        <v>-1250</v>
      </c>
      <c r="Y103" s="3"/>
      <c r="Z103" s="7">
        <f t="shared" si="27"/>
        <v>-1</v>
      </c>
    </row>
    <row r="104" spans="1:26" s="70" customFormat="1" ht="15" hidden="1" customHeight="1" outlineLevel="2" x14ac:dyDescent="0.3">
      <c r="A104" s="21"/>
      <c r="B104" s="9" t="str">
        <f>CONCATENATE("          ","6279"," - ","GENERAL EXPENSE")</f>
        <v xml:space="preserve">          6279 - GENERAL EXPENSE</v>
      </c>
      <c r="C104" s="9"/>
      <c r="D104" s="6">
        <v>200</v>
      </c>
      <c r="E104" s="3"/>
      <c r="F104" s="7">
        <f t="shared" si="20"/>
        <v>2.8960502999917151E-4</v>
      </c>
      <c r="G104" s="3"/>
      <c r="H104" s="6">
        <v>1230</v>
      </c>
      <c r="I104" s="3"/>
      <c r="J104" s="7">
        <f t="shared" si="21"/>
        <v>3.1473013809744351E-3</v>
      </c>
      <c r="K104" s="3"/>
      <c r="L104" s="6">
        <f t="shared" si="22"/>
        <v>-1030</v>
      </c>
      <c r="M104" s="3"/>
      <c r="N104" s="7">
        <f t="shared" si="23"/>
        <v>-0.83739837398373984</v>
      </c>
      <c r="O104" s="9"/>
      <c r="P104" s="6">
        <v>6970.51</v>
      </c>
      <c r="Q104" s="3"/>
      <c r="R104" s="7">
        <f t="shared" si="24"/>
        <v>6.517960341827589E-4</v>
      </c>
      <c r="S104" s="3"/>
      <c r="T104" s="6">
        <v>6510</v>
      </c>
      <c r="U104" s="3"/>
      <c r="V104" s="7">
        <f t="shared" si="25"/>
        <v>5.8330322736030828E-4</v>
      </c>
      <c r="W104" s="3"/>
      <c r="X104" s="6">
        <f t="shared" si="26"/>
        <v>460.51000000000022</v>
      </c>
      <c r="Y104" s="3"/>
      <c r="Z104" s="7">
        <f t="shared" si="27"/>
        <v>7.0738863287250417E-2</v>
      </c>
    </row>
    <row r="105" spans="1:26" s="69" customFormat="1" ht="15" customHeight="1" outlineLevel="1" collapsed="1" x14ac:dyDescent="0.3">
      <c r="A105" s="20"/>
      <c r="B105" s="11" t="str">
        <f>CONCATENATE("     ","Insurance                                         ")</f>
        <v xml:space="preserve">     Insurance                                         </v>
      </c>
      <c r="C105" s="11"/>
      <c r="D105" s="2">
        <f>SUM(OSRRefD22_12x_0)</f>
        <v>-1699.4</v>
      </c>
      <c r="E105" s="2"/>
      <c r="F105" s="5">
        <f t="shared" si="20"/>
        <v>-2.4607739399029604E-3</v>
      </c>
      <c r="G105" s="2"/>
      <c r="H105" s="2">
        <f>SUM(OSRRefH22_12x_0)</f>
        <v>5375</v>
      </c>
      <c r="I105" s="2"/>
      <c r="J105" s="5">
        <f t="shared" si="21"/>
        <v>1.3753451156697226E-2</v>
      </c>
      <c r="K105" s="2"/>
      <c r="L105" s="2">
        <f t="shared" si="22"/>
        <v>-7074.4</v>
      </c>
      <c r="M105" s="2"/>
      <c r="N105" s="5">
        <f t="shared" si="23"/>
        <v>-1.316167441860465</v>
      </c>
      <c r="O105" s="11"/>
      <c r="P105" s="2">
        <f>SUM(OSRRefP22_12x_0)</f>
        <v>58740.87</v>
      </c>
      <c r="Q105" s="2"/>
      <c r="R105" s="5">
        <f t="shared" si="24"/>
        <v>5.4927209214885274E-3</v>
      </c>
      <c r="S105" s="2"/>
      <c r="T105" s="2">
        <f>SUM(OSRRefT22_12x_0)</f>
        <v>64500</v>
      </c>
      <c r="U105" s="2"/>
      <c r="V105" s="5">
        <f t="shared" si="25"/>
        <v>5.7792716074869252E-3</v>
      </c>
      <c r="W105" s="2"/>
      <c r="X105" s="2">
        <f t="shared" si="26"/>
        <v>-5759.1299999999974</v>
      </c>
      <c r="Y105" s="2"/>
      <c r="Z105" s="5">
        <f t="shared" si="27"/>
        <v>-8.928883720930228E-2</v>
      </c>
    </row>
    <row r="106" spans="1:26" s="70" customFormat="1" ht="15" hidden="1" customHeight="1" outlineLevel="2" x14ac:dyDescent="0.3">
      <c r="A106" s="21"/>
      <c r="B106" s="9" t="str">
        <f>CONCATENATE("          ","6314"," - ","LIABILITY INSURANCE")</f>
        <v xml:space="preserve">          6314 - LIABILITY INSURANCE</v>
      </c>
      <c r="C106" s="9"/>
      <c r="D106" s="6">
        <v>-1699.4</v>
      </c>
      <c r="E106" s="3"/>
      <c r="F106" s="7">
        <f t="shared" si="20"/>
        <v>-2.4607739399029604E-3</v>
      </c>
      <c r="G106" s="3"/>
      <c r="H106" s="6">
        <v>5375</v>
      </c>
      <c r="I106" s="3"/>
      <c r="J106" s="7">
        <f t="shared" si="21"/>
        <v>1.3753451156697226E-2</v>
      </c>
      <c r="K106" s="3"/>
      <c r="L106" s="6">
        <f t="shared" si="22"/>
        <v>-7074.4</v>
      </c>
      <c r="M106" s="3"/>
      <c r="N106" s="7">
        <f t="shared" si="23"/>
        <v>-1.316167441860465</v>
      </c>
      <c r="O106" s="9"/>
      <c r="P106" s="6">
        <v>58740.87</v>
      </c>
      <c r="Q106" s="3"/>
      <c r="R106" s="7">
        <f t="shared" si="24"/>
        <v>5.4927209214885274E-3</v>
      </c>
      <c r="S106" s="3"/>
      <c r="T106" s="6">
        <v>64500</v>
      </c>
      <c r="U106" s="3"/>
      <c r="V106" s="7">
        <f t="shared" si="25"/>
        <v>5.7792716074869252E-3</v>
      </c>
      <c r="W106" s="3"/>
      <c r="X106" s="6">
        <f t="shared" si="26"/>
        <v>-5759.1299999999974</v>
      </c>
      <c r="Y106" s="3"/>
      <c r="Z106" s="7">
        <f t="shared" si="27"/>
        <v>-8.928883720930228E-2</v>
      </c>
    </row>
    <row r="107" spans="1:26" s="69" customFormat="1" ht="15" customHeight="1" outlineLevel="1" collapsed="1" x14ac:dyDescent="0.3">
      <c r="A107" s="20"/>
      <c r="B107" s="11" t="str">
        <f>CONCATENATE("     ","Inventory Adjustment                              ")</f>
        <v xml:space="preserve">     Inventory Adjustment                              </v>
      </c>
      <c r="C107" s="11"/>
      <c r="D107" s="2">
        <f>SUM(OSRRefD22_13x_0)</f>
        <v>-70840</v>
      </c>
      <c r="E107" s="2"/>
      <c r="F107" s="5">
        <f t="shared" si="20"/>
        <v>-0.10257810162570655</v>
      </c>
      <c r="G107" s="2"/>
      <c r="H107" s="2">
        <f>SUM(OSRRefH22_13x_0)</f>
        <v>19650</v>
      </c>
      <c r="I107" s="2"/>
      <c r="J107" s="5">
        <f t="shared" si="21"/>
        <v>5.0280058647274514E-2</v>
      </c>
      <c r="K107" s="2"/>
      <c r="L107" s="2">
        <f t="shared" si="22"/>
        <v>-90490</v>
      </c>
      <c r="M107" s="2"/>
      <c r="N107" s="5">
        <f t="shared" si="23"/>
        <v>-4.6050890585241726</v>
      </c>
      <c r="O107" s="11"/>
      <c r="P107" s="2">
        <f>SUM(OSRRefP22_13x_0)</f>
        <v>0</v>
      </c>
      <c r="Q107" s="2"/>
      <c r="R107" s="5">
        <f t="shared" si="24"/>
        <v>0</v>
      </c>
      <c r="S107" s="2"/>
      <c r="T107" s="2">
        <f>SUM(OSRRefT22_13x_0)</f>
        <v>91200</v>
      </c>
      <c r="U107" s="2"/>
      <c r="V107" s="5">
        <f t="shared" si="25"/>
        <v>8.1716212496559318E-3</v>
      </c>
      <c r="W107" s="2"/>
      <c r="X107" s="2">
        <f t="shared" si="26"/>
        <v>-91200</v>
      </c>
      <c r="Y107" s="2"/>
      <c r="Z107" s="5">
        <f t="shared" si="27"/>
        <v>-1</v>
      </c>
    </row>
    <row r="108" spans="1:26" s="70" customFormat="1" ht="15" hidden="1" customHeight="1" outlineLevel="2" x14ac:dyDescent="0.3">
      <c r="A108" s="21"/>
      <c r="B108" s="9" t="str">
        <f>CONCATENATE("          ","6408"," - ","INVENTORY ADJUSTMENT")</f>
        <v xml:space="preserve">          6408 - INVENTORY ADJUSTMENT</v>
      </c>
      <c r="C108" s="9"/>
      <c r="D108" s="6">
        <v>-70840</v>
      </c>
      <c r="E108" s="3"/>
      <c r="F108" s="7">
        <f t="shared" si="20"/>
        <v>-0.10257810162570655</v>
      </c>
      <c r="G108" s="3"/>
      <c r="H108" s="6">
        <v>19650</v>
      </c>
      <c r="I108" s="3"/>
      <c r="J108" s="7">
        <f t="shared" si="21"/>
        <v>5.0280058647274514E-2</v>
      </c>
      <c r="K108" s="3"/>
      <c r="L108" s="6">
        <f t="shared" si="22"/>
        <v>-90490</v>
      </c>
      <c r="M108" s="3"/>
      <c r="N108" s="7">
        <f t="shared" si="23"/>
        <v>-4.6050890585241726</v>
      </c>
      <c r="O108" s="9"/>
      <c r="P108" s="6">
        <v>0</v>
      </c>
      <c r="Q108" s="3"/>
      <c r="R108" s="7">
        <f t="shared" si="24"/>
        <v>0</v>
      </c>
      <c r="S108" s="3"/>
      <c r="T108" s="6">
        <v>91200</v>
      </c>
      <c r="U108" s="3"/>
      <c r="V108" s="7">
        <f t="shared" si="25"/>
        <v>8.1716212496559318E-3</v>
      </c>
      <c r="W108" s="3"/>
      <c r="X108" s="6">
        <f t="shared" si="26"/>
        <v>-91200</v>
      </c>
      <c r="Y108" s="3"/>
      <c r="Z108" s="7">
        <f t="shared" si="27"/>
        <v>-1</v>
      </c>
    </row>
    <row r="109" spans="1:26" s="69" customFormat="1" ht="15" customHeight="1" outlineLevel="1" collapsed="1" x14ac:dyDescent="0.3">
      <c r="A109" s="20"/>
      <c r="B109" s="11" t="str">
        <f>CONCATENATE("     ","Professional Services                             ")</f>
        <v xml:space="preserve">     Professional Services                             </v>
      </c>
      <c r="C109" s="11"/>
      <c r="D109" s="2">
        <f>SUM(OSRRefD22_14x_0)</f>
        <v>1551.33</v>
      </c>
      <c r="E109" s="2"/>
      <c r="F109" s="5">
        <f t="shared" si="20"/>
        <v>2.2463648559430736E-3</v>
      </c>
      <c r="G109" s="2"/>
      <c r="H109" s="2">
        <f>SUM(OSRRefH22_14x_0)</f>
        <v>0</v>
      </c>
      <c r="I109" s="2"/>
      <c r="J109" s="5">
        <f t="shared" si="21"/>
        <v>0</v>
      </c>
      <c r="K109" s="2"/>
      <c r="L109" s="2">
        <f t="shared" si="22"/>
        <v>1551.33</v>
      </c>
      <c r="M109" s="2"/>
      <c r="N109" s="5">
        <f t="shared" si="23"/>
        <v>0</v>
      </c>
      <c r="O109" s="11"/>
      <c r="P109" s="2">
        <f>SUM(OSRRefP22_14x_0)</f>
        <v>11177.86</v>
      </c>
      <c r="Q109" s="2"/>
      <c r="R109" s="5">
        <f t="shared" si="24"/>
        <v>1.0452154603680496E-3</v>
      </c>
      <c r="S109" s="2"/>
      <c r="T109" s="2">
        <f>SUM(OSRRefT22_14x_0)</f>
        <v>1750</v>
      </c>
      <c r="U109" s="2"/>
      <c r="V109" s="5">
        <f t="shared" si="25"/>
        <v>1.5680194283879256E-4</v>
      </c>
      <c r="W109" s="2"/>
      <c r="X109" s="2">
        <f t="shared" si="26"/>
        <v>9427.86</v>
      </c>
      <c r="Y109" s="2"/>
      <c r="Z109" s="5">
        <f t="shared" si="27"/>
        <v>5.3873485714285714</v>
      </c>
    </row>
    <row r="110" spans="1:26" s="70" customFormat="1" ht="15" hidden="1" customHeight="1" outlineLevel="2" x14ac:dyDescent="0.3">
      <c r="A110" s="21"/>
      <c r="B110" s="9" t="str">
        <f>CONCATENATE("          ","6336"," - ","PROFESSIONAL SERVICES")</f>
        <v xml:space="preserve">          6336 - PROFESSIONAL SERVICES</v>
      </c>
      <c r="C110" s="9"/>
      <c r="D110" s="6">
        <v>1551.33</v>
      </c>
      <c r="E110" s="3"/>
      <c r="F110" s="7">
        <f t="shared" si="20"/>
        <v>2.2463648559430736E-3</v>
      </c>
      <c r="G110" s="3"/>
      <c r="H110" s="6">
        <v>0</v>
      </c>
      <c r="I110" s="3"/>
      <c r="J110" s="7">
        <f t="shared" si="21"/>
        <v>0</v>
      </c>
      <c r="K110" s="3"/>
      <c r="L110" s="6">
        <f t="shared" si="22"/>
        <v>1551.33</v>
      </c>
      <c r="M110" s="3"/>
      <c r="N110" s="7">
        <f t="shared" si="23"/>
        <v>0</v>
      </c>
      <c r="O110" s="9"/>
      <c r="P110" s="6">
        <v>11177.86</v>
      </c>
      <c r="Q110" s="3"/>
      <c r="R110" s="7">
        <f t="shared" si="24"/>
        <v>1.0452154603680496E-3</v>
      </c>
      <c r="S110" s="3"/>
      <c r="T110" s="6">
        <v>1750</v>
      </c>
      <c r="U110" s="3"/>
      <c r="V110" s="7">
        <f t="shared" si="25"/>
        <v>1.5680194283879256E-4</v>
      </c>
      <c r="W110" s="3"/>
      <c r="X110" s="6">
        <f t="shared" si="26"/>
        <v>9427.86</v>
      </c>
      <c r="Y110" s="3"/>
      <c r="Z110" s="7">
        <f t="shared" si="27"/>
        <v>5.3873485714285714</v>
      </c>
    </row>
    <row r="111" spans="1:26" s="69" customFormat="1" ht="15" customHeight="1" outlineLevel="1" collapsed="1" x14ac:dyDescent="0.3">
      <c r="A111" s="20"/>
      <c r="B111" s="11" t="str">
        <f>CONCATENATE("     ","Rent                                              ")</f>
        <v xml:space="preserve">     Rent                                              </v>
      </c>
      <c r="C111" s="11"/>
      <c r="D111" s="2">
        <f>SUM(OSRRefD22_15x_0)</f>
        <v>6900</v>
      </c>
      <c r="E111" s="2"/>
      <c r="F111" s="5">
        <f t="shared" si="20"/>
        <v>9.9913735349714157E-3</v>
      </c>
      <c r="G111" s="2"/>
      <c r="H111" s="2">
        <f>SUM(OSRRefH22_15x_0)</f>
        <v>6100</v>
      </c>
      <c r="I111" s="2"/>
      <c r="J111" s="5">
        <f t="shared" si="21"/>
        <v>1.5608567824344759E-2</v>
      </c>
      <c r="K111" s="2"/>
      <c r="L111" s="2">
        <f t="shared" si="22"/>
        <v>800</v>
      </c>
      <c r="M111" s="2"/>
      <c r="N111" s="5">
        <f t="shared" si="23"/>
        <v>0.13114754098360656</v>
      </c>
      <c r="O111" s="11"/>
      <c r="P111" s="2">
        <f>SUM(OSRRefP22_15x_0)</f>
        <v>74000</v>
      </c>
      <c r="Q111" s="2"/>
      <c r="R111" s="5">
        <f t="shared" si="24"/>
        <v>6.9195663630816336E-3</v>
      </c>
      <c r="S111" s="2"/>
      <c r="T111" s="2">
        <f>SUM(OSRRefT22_15x_0)</f>
        <v>73200</v>
      </c>
      <c r="U111" s="2"/>
      <c r="V111" s="5">
        <f t="shared" si="25"/>
        <v>6.5588012661712087E-3</v>
      </c>
      <c r="W111" s="2"/>
      <c r="X111" s="2">
        <f t="shared" si="26"/>
        <v>800</v>
      </c>
      <c r="Y111" s="2"/>
      <c r="Z111" s="5">
        <f t="shared" si="27"/>
        <v>1.092896174863388E-2</v>
      </c>
    </row>
    <row r="112" spans="1:26" s="70" customFormat="1" ht="15" hidden="1" customHeight="1" outlineLevel="2" x14ac:dyDescent="0.3">
      <c r="A112" s="21"/>
      <c r="B112" s="9" t="str">
        <f>CONCATENATE("          ","6273"," - ","RENT")</f>
        <v xml:space="preserve">          6273 - RENT</v>
      </c>
      <c r="C112" s="9"/>
      <c r="D112" s="6">
        <v>6900</v>
      </c>
      <c r="E112" s="3"/>
      <c r="F112" s="7">
        <f t="shared" si="20"/>
        <v>9.9913735349714157E-3</v>
      </c>
      <c r="G112" s="3"/>
      <c r="H112" s="6">
        <v>6100</v>
      </c>
      <c r="I112" s="3"/>
      <c r="J112" s="7">
        <f t="shared" si="21"/>
        <v>1.5608567824344759E-2</v>
      </c>
      <c r="K112" s="3"/>
      <c r="L112" s="6">
        <f t="shared" si="22"/>
        <v>800</v>
      </c>
      <c r="M112" s="3"/>
      <c r="N112" s="7">
        <f t="shared" si="23"/>
        <v>0.13114754098360656</v>
      </c>
      <c r="O112" s="9"/>
      <c r="P112" s="6">
        <v>74000</v>
      </c>
      <c r="Q112" s="3"/>
      <c r="R112" s="7">
        <f t="shared" si="24"/>
        <v>6.9195663630816336E-3</v>
      </c>
      <c r="S112" s="3"/>
      <c r="T112" s="6">
        <v>73200</v>
      </c>
      <c r="U112" s="3"/>
      <c r="V112" s="7">
        <f t="shared" si="25"/>
        <v>6.5588012661712087E-3</v>
      </c>
      <c r="W112" s="3"/>
      <c r="X112" s="6">
        <f t="shared" si="26"/>
        <v>800</v>
      </c>
      <c r="Y112" s="3"/>
      <c r="Z112" s="7">
        <f t="shared" si="27"/>
        <v>1.092896174863388E-2</v>
      </c>
    </row>
    <row r="113" spans="1:26" s="69" customFormat="1" ht="15" customHeight="1" outlineLevel="1" collapsed="1" x14ac:dyDescent="0.3">
      <c r="A113" s="20"/>
      <c r="B113" s="11" t="str">
        <f>CONCATENATE("     ","Repair and Maintenance                            ")</f>
        <v xml:space="preserve">     Repair and Maintenance                            </v>
      </c>
      <c r="C113" s="11"/>
      <c r="D113" s="2">
        <f>SUM(OSRRefD22_16x_0)</f>
        <v>29969.57</v>
      </c>
      <c r="E113" s="2"/>
      <c r="F113" s="5">
        <f t="shared" si="20"/>
        <v>4.3396691094561353E-2</v>
      </c>
      <c r="G113" s="2"/>
      <c r="H113" s="2">
        <f>SUM(OSRRefH22_16x_0)</f>
        <v>10745</v>
      </c>
      <c r="I113" s="2"/>
      <c r="J113" s="5">
        <f t="shared" si="21"/>
        <v>2.7494108405341711E-2</v>
      </c>
      <c r="K113" s="2"/>
      <c r="L113" s="2">
        <f t="shared" si="22"/>
        <v>19224.57</v>
      </c>
      <c r="M113" s="2"/>
      <c r="N113" s="5">
        <f t="shared" si="23"/>
        <v>1.78916426244765</v>
      </c>
      <c r="O113" s="11"/>
      <c r="P113" s="2">
        <f>SUM(OSRRefP22_16x_0)</f>
        <v>174089.96000000002</v>
      </c>
      <c r="Q113" s="2"/>
      <c r="R113" s="5">
        <f t="shared" si="24"/>
        <v>1.6278743667111177E-2</v>
      </c>
      <c r="S113" s="2"/>
      <c r="T113" s="2">
        <f>SUM(OSRRefT22_16x_0)</f>
        <v>179660</v>
      </c>
      <c r="U113" s="2"/>
      <c r="V113" s="5">
        <f t="shared" si="25"/>
        <v>1.6097735457381412E-2</v>
      </c>
      <c r="W113" s="2"/>
      <c r="X113" s="2">
        <f t="shared" si="26"/>
        <v>-5570.039999999979</v>
      </c>
      <c r="Y113" s="2"/>
      <c r="Z113" s="5">
        <f t="shared" si="27"/>
        <v>-3.1003228320160187E-2</v>
      </c>
    </row>
    <row r="114" spans="1:26" s="70" customFormat="1" ht="15" hidden="1" customHeight="1" outlineLevel="2" x14ac:dyDescent="0.3">
      <c r="A114" s="21"/>
      <c r="B114" s="9" t="str">
        <f>CONCATENATE("          ","6371"," - ","COMPUTER SOFTWARE MAINTENANCE")</f>
        <v xml:space="preserve">          6371 - COMPUTER SOFTWARE MAINTENANCE</v>
      </c>
      <c r="C114" s="9"/>
      <c r="D114" s="6"/>
      <c r="E114" s="3"/>
      <c r="F114" s="7">
        <f t="shared" si="20"/>
        <v>0</v>
      </c>
      <c r="G114" s="3"/>
      <c r="H114" s="6">
        <v>1000</v>
      </c>
      <c r="I114" s="3"/>
      <c r="J114" s="7">
        <f t="shared" si="21"/>
        <v>2.5587816105483215E-3</v>
      </c>
      <c r="K114" s="3"/>
      <c r="L114" s="6">
        <f t="shared" si="22"/>
        <v>-1000</v>
      </c>
      <c r="M114" s="3"/>
      <c r="N114" s="7">
        <f t="shared" si="23"/>
        <v>-1</v>
      </c>
      <c r="O114" s="9"/>
      <c r="P114" s="6">
        <v>64061</v>
      </c>
      <c r="Q114" s="3"/>
      <c r="R114" s="7">
        <f t="shared" si="24"/>
        <v>5.9901937943969254E-3</v>
      </c>
      <c r="S114" s="3"/>
      <c r="T114" s="6">
        <v>51100</v>
      </c>
      <c r="U114" s="3"/>
      <c r="V114" s="7">
        <f t="shared" si="25"/>
        <v>4.5786167308927428E-3</v>
      </c>
      <c r="W114" s="3"/>
      <c r="X114" s="6">
        <f t="shared" si="26"/>
        <v>12961</v>
      </c>
      <c r="Y114" s="3"/>
      <c r="Z114" s="7">
        <f t="shared" si="27"/>
        <v>0.25363992172211353</v>
      </c>
    </row>
    <row r="115" spans="1:26" s="70" customFormat="1" ht="15" hidden="1" customHeight="1" outlineLevel="2" x14ac:dyDescent="0.3">
      <c r="A115" s="21"/>
      <c r="B115" s="9" t="str">
        <f>CONCATENATE("          ","6372"," - ","COMPUTER HARDWARE MAINTENANCE")</f>
        <v xml:space="preserve">          6372 - COMPUTER HARDWARE MAINTENANCE</v>
      </c>
      <c r="C115" s="9"/>
      <c r="D115" s="6"/>
      <c r="E115" s="3"/>
      <c r="F115" s="7">
        <f t="shared" si="20"/>
        <v>0</v>
      </c>
      <c r="G115" s="3"/>
      <c r="H115" s="6">
        <v>3750</v>
      </c>
      <c r="I115" s="3"/>
      <c r="J115" s="7">
        <f t="shared" si="21"/>
        <v>9.5954310395562053E-3</v>
      </c>
      <c r="K115" s="3"/>
      <c r="L115" s="6">
        <f t="shared" si="22"/>
        <v>-3750</v>
      </c>
      <c r="M115" s="3"/>
      <c r="N115" s="7">
        <f t="shared" si="23"/>
        <v>-1</v>
      </c>
      <c r="O115" s="9"/>
      <c r="P115" s="6"/>
      <c r="Q115" s="3"/>
      <c r="R115" s="7">
        <f t="shared" si="24"/>
        <v>0</v>
      </c>
      <c r="S115" s="3"/>
      <c r="T115" s="6">
        <v>41620</v>
      </c>
      <c r="U115" s="3"/>
      <c r="V115" s="7">
        <f t="shared" si="25"/>
        <v>3.7291982062574547E-3</v>
      </c>
      <c r="W115" s="3"/>
      <c r="X115" s="6">
        <f t="shared" si="26"/>
        <v>-41620</v>
      </c>
      <c r="Y115" s="3"/>
      <c r="Z115" s="7">
        <f t="shared" si="27"/>
        <v>-1</v>
      </c>
    </row>
    <row r="116" spans="1:26" s="70" customFormat="1" ht="15" hidden="1" customHeight="1" outlineLevel="2" x14ac:dyDescent="0.3">
      <c r="A116" s="21"/>
      <c r="B116" s="9" t="str">
        <f>CONCATENATE("          ","6373"," - ","MAINTENANCE CONTRACTS")</f>
        <v xml:space="preserve">          6373 - MAINTENANCE CONTRACTS</v>
      </c>
      <c r="C116" s="9"/>
      <c r="D116" s="6">
        <v>4242.3999999999996</v>
      </c>
      <c r="E116" s="3"/>
      <c r="F116" s="7">
        <f t="shared" si="20"/>
        <v>6.1431018963424254E-3</v>
      </c>
      <c r="G116" s="3"/>
      <c r="H116" s="6">
        <v>5955</v>
      </c>
      <c r="I116" s="3"/>
      <c r="J116" s="7">
        <f t="shared" si="21"/>
        <v>1.5237544490815253E-2</v>
      </c>
      <c r="K116" s="3"/>
      <c r="L116" s="6">
        <f t="shared" si="22"/>
        <v>-1712.6000000000004</v>
      </c>
      <c r="M116" s="3"/>
      <c r="N116" s="7">
        <f t="shared" si="23"/>
        <v>-0.28759026028547446</v>
      </c>
      <c r="O116" s="9"/>
      <c r="P116" s="6">
        <v>28262.89</v>
      </c>
      <c r="Q116" s="3"/>
      <c r="R116" s="7">
        <f t="shared" si="24"/>
        <v>2.6427965265875169E-3</v>
      </c>
      <c r="S116" s="3"/>
      <c r="T116" s="6">
        <v>85960</v>
      </c>
      <c r="U116" s="3"/>
      <c r="V116" s="7">
        <f t="shared" si="25"/>
        <v>7.7021114322414902E-3</v>
      </c>
      <c r="W116" s="3"/>
      <c r="X116" s="6">
        <f t="shared" si="26"/>
        <v>-57697.11</v>
      </c>
      <c r="Y116" s="3"/>
      <c r="Z116" s="7">
        <f t="shared" si="27"/>
        <v>-0.67120881805490928</v>
      </c>
    </row>
    <row r="117" spans="1:26" s="70" customFormat="1" ht="15" hidden="1" customHeight="1" outlineLevel="2" x14ac:dyDescent="0.3">
      <c r="A117" s="21"/>
      <c r="B117" s="9" t="str">
        <f>CONCATENATE("          ","6375"," - ","OUTSIDE REPAIRS &amp; MAINTENANCE")</f>
        <v xml:space="preserve">          6375 - OUTSIDE REPAIRS &amp; MAINTENANCE</v>
      </c>
      <c r="C117" s="9"/>
      <c r="D117" s="6">
        <v>25727.17</v>
      </c>
      <c r="E117" s="3"/>
      <c r="F117" s="7">
        <f t="shared" si="20"/>
        <v>3.7253589198218924E-2</v>
      </c>
      <c r="G117" s="3"/>
      <c r="H117" s="6">
        <v>40</v>
      </c>
      <c r="I117" s="3"/>
      <c r="J117" s="7">
        <f t="shared" si="21"/>
        <v>1.0235126442193285E-4</v>
      </c>
      <c r="K117" s="3"/>
      <c r="L117" s="6">
        <f t="shared" si="22"/>
        <v>25687.17</v>
      </c>
      <c r="M117" s="3"/>
      <c r="N117" s="7">
        <f t="shared" si="23"/>
        <v>642.17924999999991</v>
      </c>
      <c r="O117" s="9"/>
      <c r="P117" s="6">
        <v>81766.070000000007</v>
      </c>
      <c r="Q117" s="3"/>
      <c r="R117" s="7">
        <f t="shared" si="24"/>
        <v>7.645753346126734E-3</v>
      </c>
      <c r="S117" s="3"/>
      <c r="T117" s="6">
        <v>980</v>
      </c>
      <c r="U117" s="3"/>
      <c r="V117" s="7">
        <f t="shared" si="25"/>
        <v>8.7809087989723823E-5</v>
      </c>
      <c r="W117" s="3"/>
      <c r="X117" s="6">
        <f t="shared" si="26"/>
        <v>80786.070000000007</v>
      </c>
      <c r="Y117" s="3"/>
      <c r="Z117" s="7">
        <f t="shared" si="27"/>
        <v>82.434765306122458</v>
      </c>
    </row>
    <row r="118" spans="1:26" s="69" customFormat="1" ht="15" customHeight="1" outlineLevel="1" collapsed="1" x14ac:dyDescent="0.3">
      <c r="A118" s="20"/>
      <c r="B118" s="11" t="str">
        <f>CONCATENATE("     ","Royalty &amp; Commissions                             ")</f>
        <v xml:space="preserve">     Royalty &amp; Commissions                             </v>
      </c>
      <c r="C118" s="11"/>
      <c r="D118" s="2">
        <f>SUM(OSRRefD22_17x_0)</f>
        <v>503.53</v>
      </c>
      <c r="E118" s="2"/>
      <c r="F118" s="5">
        <f t="shared" si="20"/>
        <v>7.2912410377741412E-4</v>
      </c>
      <c r="G118" s="2"/>
      <c r="H118" s="2">
        <f>SUM(OSRRefH22_17x_0)</f>
        <v>9822</v>
      </c>
      <c r="I118" s="2"/>
      <c r="J118" s="5">
        <f t="shared" si="21"/>
        <v>2.5132352978805613E-2</v>
      </c>
      <c r="K118" s="2"/>
      <c r="L118" s="2">
        <f t="shared" si="22"/>
        <v>-9318.4699999999993</v>
      </c>
      <c r="M118" s="2"/>
      <c r="N118" s="5">
        <f t="shared" si="23"/>
        <v>-0.94873447363062502</v>
      </c>
      <c r="O118" s="11"/>
      <c r="P118" s="2">
        <f>SUM(OSRRefP22_17x_0)</f>
        <v>85971</v>
      </c>
      <c r="Q118" s="2"/>
      <c r="R118" s="5">
        <f t="shared" si="24"/>
        <v>8.0389464837904209E-3</v>
      </c>
      <c r="S118" s="2"/>
      <c r="T118" s="2">
        <f>SUM(OSRRefT22_17x_0)</f>
        <v>109010</v>
      </c>
      <c r="U118" s="2"/>
      <c r="V118" s="5">
        <f t="shared" si="25"/>
        <v>9.7674170222038711E-3</v>
      </c>
      <c r="W118" s="2"/>
      <c r="X118" s="2">
        <f t="shared" si="26"/>
        <v>-23039</v>
      </c>
      <c r="Y118" s="2"/>
      <c r="Z118" s="5">
        <f t="shared" si="27"/>
        <v>-0.21134758279056967</v>
      </c>
    </row>
    <row r="119" spans="1:26" s="70" customFormat="1" ht="15" hidden="1" customHeight="1" outlineLevel="2" x14ac:dyDescent="0.3">
      <c r="A119" s="21"/>
      <c r="B119" s="9" t="str">
        <f>CONCATENATE("          ","6252"," - ","ROYALTY DUE CSTV")</f>
        <v xml:space="preserve">          6252 - ROYALTY DUE CSTV</v>
      </c>
      <c r="C119" s="9"/>
      <c r="D119" s="6"/>
      <c r="E119" s="3"/>
      <c r="F119" s="7">
        <f t="shared" si="20"/>
        <v>0</v>
      </c>
      <c r="G119" s="3"/>
      <c r="H119" s="6">
        <v>3322</v>
      </c>
      <c r="I119" s="3"/>
      <c r="J119" s="7">
        <f t="shared" si="21"/>
        <v>8.5002725102415241E-3</v>
      </c>
      <c r="K119" s="3"/>
      <c r="L119" s="6">
        <f t="shared" si="22"/>
        <v>-3322</v>
      </c>
      <c r="M119" s="3"/>
      <c r="N119" s="7">
        <f t="shared" si="23"/>
        <v>-1</v>
      </c>
      <c r="O119" s="9"/>
      <c r="P119" s="6"/>
      <c r="Q119" s="3"/>
      <c r="R119" s="7">
        <f t="shared" si="24"/>
        <v>0</v>
      </c>
      <c r="S119" s="3"/>
      <c r="T119" s="6">
        <v>19008</v>
      </c>
      <c r="U119" s="3"/>
      <c r="V119" s="7">
        <f t="shared" si="25"/>
        <v>1.703137902559868E-3</v>
      </c>
      <c r="W119" s="3"/>
      <c r="X119" s="6">
        <f t="shared" si="26"/>
        <v>-19008</v>
      </c>
      <c r="Y119" s="3"/>
      <c r="Z119" s="7">
        <f t="shared" si="27"/>
        <v>-1</v>
      </c>
    </row>
    <row r="120" spans="1:26" s="70" customFormat="1" ht="15" hidden="1" customHeight="1" outlineLevel="2" x14ac:dyDescent="0.3">
      <c r="A120" s="21"/>
      <c r="B120" s="9" t="str">
        <f>CONCATENATE("          ","6253"," - ","ROYALTY DUE ATHLETICS-LRG")</f>
        <v xml:space="preserve">          6253 - ROYALTY DUE ATHLETICS-LRG</v>
      </c>
      <c r="C120" s="9"/>
      <c r="D120" s="6"/>
      <c r="E120" s="3"/>
      <c r="F120" s="7">
        <f t="shared" si="20"/>
        <v>0</v>
      </c>
      <c r="G120" s="3"/>
      <c r="H120" s="6">
        <v>0</v>
      </c>
      <c r="I120" s="3"/>
      <c r="J120" s="7">
        <f t="shared" si="21"/>
        <v>0</v>
      </c>
      <c r="K120" s="3"/>
      <c r="L120" s="6">
        <f t="shared" si="22"/>
        <v>0</v>
      </c>
      <c r="M120" s="3"/>
      <c r="N120" s="7">
        <f t="shared" si="23"/>
        <v>0</v>
      </c>
      <c r="O120" s="9"/>
      <c r="P120" s="6">
        <v>51456.52</v>
      </c>
      <c r="Q120" s="3"/>
      <c r="R120" s="7">
        <f t="shared" si="24"/>
        <v>4.8115784453140178E-3</v>
      </c>
      <c r="S120" s="3"/>
      <c r="T120" s="6">
        <v>38502</v>
      </c>
      <c r="U120" s="3"/>
      <c r="V120" s="7">
        <f t="shared" si="25"/>
        <v>3.4498219446738232E-3</v>
      </c>
      <c r="W120" s="3"/>
      <c r="X120" s="6">
        <f t="shared" si="26"/>
        <v>12954.519999999997</v>
      </c>
      <c r="Y120" s="3"/>
      <c r="Z120" s="7">
        <f t="shared" si="27"/>
        <v>0.33646356033452801</v>
      </c>
    </row>
    <row r="121" spans="1:26" s="70" customFormat="1" ht="15" hidden="1" customHeight="1" outlineLevel="2" x14ac:dyDescent="0.3">
      <c r="A121" s="21"/>
      <c r="B121" s="9" t="str">
        <f>CONCATENATE("          ","6254"," - ","ROYALTY &amp; COMMISSIONS")</f>
        <v xml:space="preserve">          6254 - ROYALTY &amp; COMMISSIONS</v>
      </c>
      <c r="C121" s="9"/>
      <c r="D121" s="6">
        <v>108</v>
      </c>
      <c r="E121" s="3"/>
      <c r="F121" s="7">
        <f t="shared" si="20"/>
        <v>1.563867161995526E-4</v>
      </c>
      <c r="G121" s="3"/>
      <c r="H121" s="6">
        <v>0</v>
      </c>
      <c r="I121" s="3"/>
      <c r="J121" s="7">
        <f t="shared" si="21"/>
        <v>0</v>
      </c>
      <c r="K121" s="3"/>
      <c r="L121" s="6">
        <f t="shared" si="22"/>
        <v>108</v>
      </c>
      <c r="M121" s="3"/>
      <c r="N121" s="7">
        <f t="shared" si="23"/>
        <v>0</v>
      </c>
      <c r="O121" s="9"/>
      <c r="P121" s="6">
        <v>20807.490000000002</v>
      </c>
      <c r="Q121" s="3"/>
      <c r="R121" s="7">
        <f t="shared" si="24"/>
        <v>1.9456595662723981E-3</v>
      </c>
      <c r="S121" s="3"/>
      <c r="T121" s="6">
        <v>4500</v>
      </c>
      <c r="U121" s="3"/>
      <c r="V121" s="7">
        <f t="shared" si="25"/>
        <v>4.0320499587118082E-4</v>
      </c>
      <c r="W121" s="3"/>
      <c r="X121" s="6">
        <f t="shared" si="26"/>
        <v>16307.490000000002</v>
      </c>
      <c r="Y121" s="3"/>
      <c r="Z121" s="7">
        <f t="shared" si="27"/>
        <v>3.6238866666666669</v>
      </c>
    </row>
    <row r="122" spans="1:26" s="70" customFormat="1" ht="15" hidden="1" customHeight="1" outlineLevel="2" x14ac:dyDescent="0.3">
      <c r="A122" s="21"/>
      <c r="B122" s="9" t="str">
        <f>CONCATENATE("          ","6259"," - ","ROYALTY &amp; COMMISSIONS")</f>
        <v xml:space="preserve">          6259 - ROYALTY &amp; COMMISSIONS</v>
      </c>
      <c r="C122" s="9"/>
      <c r="D122" s="6">
        <v>395.53</v>
      </c>
      <c r="E122" s="3"/>
      <c r="F122" s="7">
        <f t="shared" ref="F122:F148" si="28">IF(D$12=0,0,D122/D$12)</f>
        <v>5.7273738757786144E-4</v>
      </c>
      <c r="G122" s="3"/>
      <c r="H122" s="6">
        <v>6500</v>
      </c>
      <c r="I122" s="3"/>
      <c r="J122" s="7">
        <f t="shared" ref="J122:J148" si="29">IF(H$12=0,0,H122/H$12)</f>
        <v>1.6632080468564087E-2</v>
      </c>
      <c r="K122" s="3"/>
      <c r="L122" s="6">
        <f t="shared" ref="L122:L148" si="30">+D122-H122</f>
        <v>-6104.47</v>
      </c>
      <c r="M122" s="3"/>
      <c r="N122" s="7">
        <f t="shared" ref="N122:N148" si="31">IF(H122=0,0,L122/H122)</f>
        <v>-0.93914923076923085</v>
      </c>
      <c r="O122" s="9"/>
      <c r="P122" s="6">
        <v>13706.99</v>
      </c>
      <c r="Q122" s="3"/>
      <c r="R122" s="7">
        <f t="shared" ref="R122:R148" si="32">IF(P$12=0,0,P122/P$12)</f>
        <v>1.2817084722040043E-3</v>
      </c>
      <c r="S122" s="3"/>
      <c r="T122" s="6">
        <v>47000</v>
      </c>
      <c r="U122" s="3"/>
      <c r="V122" s="7">
        <f t="shared" ref="V122:V148" si="33">IF(T$12=0,0,T122/T$12)</f>
        <v>4.2112521790989999E-3</v>
      </c>
      <c r="W122" s="3"/>
      <c r="X122" s="6">
        <f t="shared" ref="X122:X148" si="34">+P122-T122</f>
        <v>-33293.01</v>
      </c>
      <c r="Y122" s="3"/>
      <c r="Z122" s="7">
        <f t="shared" ref="Z122:Z148" si="35">IF(T122=0,0,X122/T122)</f>
        <v>-0.70836191489361711</v>
      </c>
    </row>
    <row r="123" spans="1:26" s="69" customFormat="1" ht="15" customHeight="1" outlineLevel="1" collapsed="1" x14ac:dyDescent="0.3">
      <c r="A123" s="20"/>
      <c r="B123" s="11" t="str">
        <f>CONCATENATE("     ","Services                                          ")</f>
        <v xml:space="preserve">     Services                                          </v>
      </c>
      <c r="C123" s="11"/>
      <c r="D123" s="2">
        <f>SUM(OSRRefD22_18x_0)</f>
        <v>8646.16</v>
      </c>
      <c r="E123" s="2"/>
      <c r="F123" s="5">
        <f t="shared" si="28"/>
        <v>1.2519857130888183E-2</v>
      </c>
      <c r="G123" s="2"/>
      <c r="H123" s="2">
        <f>SUM(OSRRefH22_18x_0)</f>
        <v>4420</v>
      </c>
      <c r="I123" s="2"/>
      <c r="J123" s="5">
        <f t="shared" si="29"/>
        <v>1.130981471862358E-2</v>
      </c>
      <c r="K123" s="2"/>
      <c r="L123" s="2">
        <f t="shared" si="30"/>
        <v>4226.16</v>
      </c>
      <c r="M123" s="2"/>
      <c r="N123" s="5">
        <f t="shared" si="31"/>
        <v>0.95614479638009042</v>
      </c>
      <c r="O123" s="11"/>
      <c r="P123" s="2">
        <f>SUM(OSRRefP22_18x_0)</f>
        <v>70241.070000000007</v>
      </c>
      <c r="Q123" s="2"/>
      <c r="R123" s="5">
        <f t="shared" si="32"/>
        <v>6.5680776389035467E-3</v>
      </c>
      <c r="S123" s="2"/>
      <c r="T123" s="2">
        <f>SUM(OSRRefT22_18x_0)</f>
        <v>52560</v>
      </c>
      <c r="U123" s="2"/>
      <c r="V123" s="5">
        <f t="shared" si="33"/>
        <v>4.709434351775392E-3</v>
      </c>
      <c r="W123" s="2"/>
      <c r="X123" s="2">
        <f t="shared" si="34"/>
        <v>17681.070000000007</v>
      </c>
      <c r="Y123" s="2"/>
      <c r="Z123" s="5">
        <f t="shared" si="35"/>
        <v>0.33639783105022847</v>
      </c>
    </row>
    <row r="124" spans="1:26" s="70" customFormat="1" ht="15" hidden="1" customHeight="1" outlineLevel="2" x14ac:dyDescent="0.3">
      <c r="A124" s="21"/>
      <c r="B124" s="9" t="str">
        <f>CONCATENATE("          ","6282"," - ","JANITORIAL/EXTERMINATOR EXPENS")</f>
        <v xml:space="preserve">          6282 - JANITORIAL/EXTERMINATOR EXPENS</v>
      </c>
      <c r="C124" s="9"/>
      <c r="D124" s="6">
        <v>350.3</v>
      </c>
      <c r="E124" s="3"/>
      <c r="F124" s="7">
        <f t="shared" si="28"/>
        <v>5.0724321004354885E-4</v>
      </c>
      <c r="G124" s="3"/>
      <c r="H124" s="6">
        <v>4300</v>
      </c>
      <c r="I124" s="3"/>
      <c r="J124" s="7">
        <f t="shared" si="29"/>
        <v>1.1002760925357782E-2</v>
      </c>
      <c r="K124" s="3"/>
      <c r="L124" s="6">
        <f t="shared" si="30"/>
        <v>-3949.7</v>
      </c>
      <c r="M124" s="3"/>
      <c r="N124" s="7">
        <f t="shared" si="31"/>
        <v>-0.91853488372093017</v>
      </c>
      <c r="O124" s="9"/>
      <c r="P124" s="6">
        <v>3549.63</v>
      </c>
      <c r="Q124" s="3"/>
      <c r="R124" s="7">
        <f t="shared" si="32"/>
        <v>3.3191757228899266E-4</v>
      </c>
      <c r="S124" s="3"/>
      <c r="T124" s="6">
        <v>51600</v>
      </c>
      <c r="U124" s="3"/>
      <c r="V124" s="7">
        <f t="shared" si="33"/>
        <v>4.6234172859895405E-3</v>
      </c>
      <c r="W124" s="3"/>
      <c r="X124" s="6">
        <f t="shared" si="34"/>
        <v>-48050.37</v>
      </c>
      <c r="Y124" s="3"/>
      <c r="Z124" s="7">
        <f t="shared" si="35"/>
        <v>-0.93120872093023266</v>
      </c>
    </row>
    <row r="125" spans="1:26" s="70" customFormat="1" ht="15" hidden="1" customHeight="1" outlineLevel="2" x14ac:dyDescent="0.3">
      <c r="A125" s="21"/>
      <c r="B125" s="9" t="str">
        <f>CONCATENATE("          ","6284"," - ","TRASH REMOVAL EXPENSE")</f>
        <v xml:space="preserve">          6284 - TRASH REMOVAL EXPENSE</v>
      </c>
      <c r="C125" s="9"/>
      <c r="D125" s="6">
        <v>149.69999999999999</v>
      </c>
      <c r="E125" s="3"/>
      <c r="F125" s="7">
        <f t="shared" si="28"/>
        <v>2.1676936495437985E-4</v>
      </c>
      <c r="G125" s="3"/>
      <c r="H125" s="6">
        <v>120</v>
      </c>
      <c r="I125" s="3"/>
      <c r="J125" s="7">
        <f t="shared" si="29"/>
        <v>3.0705379326579854E-4</v>
      </c>
      <c r="K125" s="3"/>
      <c r="L125" s="6">
        <f t="shared" si="30"/>
        <v>29.699999999999989</v>
      </c>
      <c r="M125" s="3"/>
      <c r="N125" s="7">
        <f t="shared" si="31"/>
        <v>0.24749999999999991</v>
      </c>
      <c r="O125" s="9"/>
      <c r="P125" s="6">
        <v>1639.57</v>
      </c>
      <c r="Q125" s="3"/>
      <c r="R125" s="7">
        <f t="shared" si="32"/>
        <v>1.5331234353942909E-4</v>
      </c>
      <c r="S125" s="3"/>
      <c r="T125" s="6">
        <v>960</v>
      </c>
      <c r="U125" s="3"/>
      <c r="V125" s="7">
        <f t="shared" si="33"/>
        <v>8.6017065785851918E-5</v>
      </c>
      <c r="W125" s="3"/>
      <c r="X125" s="6">
        <f t="shared" si="34"/>
        <v>679.56999999999994</v>
      </c>
      <c r="Y125" s="3"/>
      <c r="Z125" s="7">
        <f t="shared" si="35"/>
        <v>0.7078854166666666</v>
      </c>
    </row>
    <row r="126" spans="1:26" s="70" customFormat="1" ht="15" hidden="1" customHeight="1" outlineLevel="2" x14ac:dyDescent="0.3">
      <c r="A126" s="21"/>
      <c r="B126" s="9" t="str">
        <f>CONCATENATE("          ","6285"," - ","JANITORIAL SERVICES")</f>
        <v xml:space="preserve">          6285 - JANITORIAL SERVICES</v>
      </c>
      <c r="C126" s="9"/>
      <c r="D126" s="6">
        <v>8146.16</v>
      </c>
      <c r="E126" s="3"/>
      <c r="F126" s="7">
        <f t="shared" si="28"/>
        <v>1.1795844555890254E-2</v>
      </c>
      <c r="G126" s="3"/>
      <c r="H126" s="6"/>
      <c r="I126" s="3"/>
      <c r="J126" s="7">
        <f t="shared" si="29"/>
        <v>0</v>
      </c>
      <c r="K126" s="3"/>
      <c r="L126" s="6">
        <f t="shared" si="30"/>
        <v>8146.16</v>
      </c>
      <c r="M126" s="3"/>
      <c r="N126" s="7">
        <f t="shared" si="31"/>
        <v>0</v>
      </c>
      <c r="O126" s="9"/>
      <c r="P126" s="6">
        <v>65051.87</v>
      </c>
      <c r="Q126" s="3"/>
      <c r="R126" s="7">
        <f t="shared" si="32"/>
        <v>6.0828477230751247E-3</v>
      </c>
      <c r="S126" s="3"/>
      <c r="T126" s="6"/>
      <c r="U126" s="3"/>
      <c r="V126" s="7">
        <f t="shared" si="33"/>
        <v>0</v>
      </c>
      <c r="W126" s="3"/>
      <c r="X126" s="6">
        <f t="shared" si="34"/>
        <v>65051.87</v>
      </c>
      <c r="Y126" s="3"/>
      <c r="Z126" s="7">
        <f t="shared" si="35"/>
        <v>0</v>
      </c>
    </row>
    <row r="127" spans="1:26" s="69" customFormat="1" ht="15" customHeight="1" outlineLevel="1" collapsed="1" x14ac:dyDescent="0.3">
      <c r="A127" s="20"/>
      <c r="B127" s="11" t="str">
        <f>CONCATENATE("     ","Subscriptions &amp; Dues                              ")</f>
        <v xml:space="preserve">     Subscriptions &amp; Dues                              </v>
      </c>
      <c r="C127" s="11"/>
      <c r="D127" s="2">
        <f>SUM(OSRRefD22_19x_0)</f>
        <v>272.35000000000002</v>
      </c>
      <c r="E127" s="2"/>
      <c r="F127" s="5">
        <f t="shared" si="28"/>
        <v>3.9436964960137182E-4</v>
      </c>
      <c r="G127" s="2"/>
      <c r="H127" s="2">
        <f>SUM(OSRRefH22_19x_0)</f>
        <v>661</v>
      </c>
      <c r="I127" s="2"/>
      <c r="J127" s="5">
        <f t="shared" si="29"/>
        <v>1.6913546445724403E-3</v>
      </c>
      <c r="K127" s="2"/>
      <c r="L127" s="2">
        <f t="shared" si="30"/>
        <v>-388.65</v>
      </c>
      <c r="M127" s="2"/>
      <c r="N127" s="5">
        <f t="shared" si="31"/>
        <v>-0.58797276853252645</v>
      </c>
      <c r="O127" s="11"/>
      <c r="P127" s="2">
        <f>SUM(OSRRefP22_19x_0)</f>
        <v>7455.8799999999992</v>
      </c>
      <c r="Q127" s="2"/>
      <c r="R127" s="5">
        <f t="shared" si="32"/>
        <v>6.9718184398882539E-4</v>
      </c>
      <c r="S127" s="2"/>
      <c r="T127" s="2">
        <f>SUM(OSRRefT22_19x_0)</f>
        <v>13547</v>
      </c>
      <c r="U127" s="2"/>
      <c r="V127" s="5">
        <f t="shared" si="33"/>
        <v>1.2138262397926416E-3</v>
      </c>
      <c r="W127" s="2"/>
      <c r="X127" s="2">
        <f t="shared" si="34"/>
        <v>-6091.1200000000008</v>
      </c>
      <c r="Y127" s="2"/>
      <c r="Z127" s="5">
        <f t="shared" si="35"/>
        <v>-0.44962870008119887</v>
      </c>
    </row>
    <row r="128" spans="1:26" s="70" customFormat="1" ht="15" hidden="1" customHeight="1" outlineLevel="2" x14ac:dyDescent="0.3">
      <c r="A128" s="21"/>
      <c r="B128" s="9" t="str">
        <f>CONCATENATE("          ","6258"," - ","MEMBERSHIP DUES")</f>
        <v xml:space="preserve">          6258 - MEMBERSHIP DUES</v>
      </c>
      <c r="C128" s="9"/>
      <c r="D128" s="6">
        <v>272.35000000000002</v>
      </c>
      <c r="E128" s="3"/>
      <c r="F128" s="7">
        <f t="shared" si="28"/>
        <v>3.9436964960137182E-4</v>
      </c>
      <c r="G128" s="3"/>
      <c r="H128" s="6">
        <v>500</v>
      </c>
      <c r="I128" s="3"/>
      <c r="J128" s="7">
        <f t="shared" si="29"/>
        <v>1.2793908052741608E-3</v>
      </c>
      <c r="K128" s="3"/>
      <c r="L128" s="6">
        <f t="shared" si="30"/>
        <v>-227.64999999999998</v>
      </c>
      <c r="M128" s="3"/>
      <c r="N128" s="7">
        <f t="shared" si="31"/>
        <v>-0.45529999999999993</v>
      </c>
      <c r="O128" s="9"/>
      <c r="P128" s="6">
        <v>4104.49</v>
      </c>
      <c r="Q128" s="3"/>
      <c r="R128" s="7">
        <f t="shared" si="32"/>
        <v>3.8380122894060716E-4</v>
      </c>
      <c r="S128" s="3"/>
      <c r="T128" s="6">
        <v>10195</v>
      </c>
      <c r="U128" s="3"/>
      <c r="V128" s="7">
        <f t="shared" si="33"/>
        <v>9.1348331842370861E-4</v>
      </c>
      <c r="W128" s="3"/>
      <c r="X128" s="6">
        <f t="shared" si="34"/>
        <v>-6090.51</v>
      </c>
      <c r="Y128" s="3"/>
      <c r="Z128" s="7">
        <f t="shared" si="35"/>
        <v>-0.59740166748406087</v>
      </c>
    </row>
    <row r="129" spans="1:26" s="70" customFormat="1" ht="15" hidden="1" customHeight="1" outlineLevel="2" x14ac:dyDescent="0.3">
      <c r="A129" s="21"/>
      <c r="B129" s="9" t="str">
        <f>CONCATENATE("          ","6275"," - ","SUBSCRIPTIONS")</f>
        <v xml:space="preserve">          6275 - SUBSCRIPTIONS</v>
      </c>
      <c r="C129" s="9"/>
      <c r="D129" s="6"/>
      <c r="E129" s="3"/>
      <c r="F129" s="7">
        <f t="shared" si="28"/>
        <v>0</v>
      </c>
      <c r="G129" s="3"/>
      <c r="H129" s="6">
        <v>161</v>
      </c>
      <c r="I129" s="3"/>
      <c r="J129" s="7">
        <f t="shared" si="29"/>
        <v>4.1196383929827975E-4</v>
      </c>
      <c r="K129" s="3"/>
      <c r="L129" s="6">
        <f t="shared" si="30"/>
        <v>-161</v>
      </c>
      <c r="M129" s="3"/>
      <c r="N129" s="7">
        <f t="shared" si="31"/>
        <v>-1</v>
      </c>
      <c r="O129" s="9"/>
      <c r="P129" s="6">
        <v>3351.39</v>
      </c>
      <c r="Q129" s="3"/>
      <c r="R129" s="7">
        <f t="shared" si="32"/>
        <v>3.1338061504821829E-4</v>
      </c>
      <c r="S129" s="3"/>
      <c r="T129" s="6">
        <v>3352</v>
      </c>
      <c r="U129" s="3"/>
      <c r="V129" s="7">
        <f t="shared" si="33"/>
        <v>3.0034292136893291E-4</v>
      </c>
      <c r="W129" s="3"/>
      <c r="X129" s="6">
        <f t="shared" si="34"/>
        <v>-0.61000000000012733</v>
      </c>
      <c r="Y129" s="3"/>
      <c r="Z129" s="7">
        <f t="shared" si="35"/>
        <v>-1.8198090692127903E-4</v>
      </c>
    </row>
    <row r="130" spans="1:26" s="69" customFormat="1" ht="15" customHeight="1" outlineLevel="1" collapsed="1" x14ac:dyDescent="0.3">
      <c r="A130" s="20"/>
      <c r="B130" s="11" t="str">
        <f>CONCATENATE("     ","Supplies                                          ")</f>
        <v xml:space="preserve">     Supplies                                          </v>
      </c>
      <c r="C130" s="11"/>
      <c r="D130" s="2">
        <f>SUM(OSRRefD22_20x_0)</f>
        <v>38290.67</v>
      </c>
      <c r="E130" s="2"/>
      <c r="F130" s="5">
        <f t="shared" si="28"/>
        <v>5.5445853170191878E-2</v>
      </c>
      <c r="G130" s="2"/>
      <c r="H130" s="2">
        <f>SUM(OSRRefH22_20x_0)</f>
        <v>7940</v>
      </c>
      <c r="I130" s="2"/>
      <c r="J130" s="5">
        <f t="shared" si="29"/>
        <v>2.0316725987753671E-2</v>
      </c>
      <c r="K130" s="2"/>
      <c r="L130" s="2">
        <f t="shared" si="30"/>
        <v>30350.67</v>
      </c>
      <c r="M130" s="2"/>
      <c r="N130" s="5">
        <f t="shared" si="31"/>
        <v>3.8225025188916875</v>
      </c>
      <c r="O130" s="11"/>
      <c r="P130" s="2">
        <f>SUM(OSRRefP22_20x_0)</f>
        <v>159479.71</v>
      </c>
      <c r="Q130" s="2"/>
      <c r="R130" s="5">
        <f t="shared" si="32"/>
        <v>1.4912573471756939E-2</v>
      </c>
      <c r="S130" s="2"/>
      <c r="T130" s="2">
        <f>SUM(OSRRefT22_20x_0)</f>
        <v>133700</v>
      </c>
      <c r="U130" s="2"/>
      <c r="V130" s="5">
        <f t="shared" si="33"/>
        <v>1.197966843288375E-2</v>
      </c>
      <c r="W130" s="2"/>
      <c r="X130" s="2">
        <f t="shared" si="34"/>
        <v>25779.709999999992</v>
      </c>
      <c r="Y130" s="2"/>
      <c r="Z130" s="5">
        <f t="shared" si="35"/>
        <v>0.19281757666417346</v>
      </c>
    </row>
    <row r="131" spans="1:26" s="70" customFormat="1" ht="15" hidden="1" customHeight="1" outlineLevel="2" x14ac:dyDescent="0.3">
      <c r="A131" s="21"/>
      <c r="B131" s="9" t="str">
        <f>CONCATENATE("          ","6234"," - ","EXPENDABLE SUPPLIES &amp; EQUIPMEN")</f>
        <v xml:space="preserve">          6234 - EXPENDABLE SUPPLIES &amp; EQUIPMEN</v>
      </c>
      <c r="C131" s="9"/>
      <c r="D131" s="6"/>
      <c r="E131" s="3"/>
      <c r="F131" s="7">
        <f t="shared" si="28"/>
        <v>0</v>
      </c>
      <c r="G131" s="3"/>
      <c r="H131" s="6">
        <v>300</v>
      </c>
      <c r="I131" s="3"/>
      <c r="J131" s="7">
        <f t="shared" si="29"/>
        <v>7.6763448316449637E-4</v>
      </c>
      <c r="K131" s="3"/>
      <c r="L131" s="6">
        <f t="shared" si="30"/>
        <v>-300</v>
      </c>
      <c r="M131" s="3"/>
      <c r="N131" s="7">
        <f t="shared" si="31"/>
        <v>-1</v>
      </c>
      <c r="O131" s="9"/>
      <c r="P131" s="6">
        <v>10282.879999999999</v>
      </c>
      <c r="Q131" s="3"/>
      <c r="R131" s="7">
        <f t="shared" si="32"/>
        <v>9.6152798058925487E-4</v>
      </c>
      <c r="S131" s="3"/>
      <c r="T131" s="6">
        <v>3000</v>
      </c>
      <c r="U131" s="3"/>
      <c r="V131" s="7">
        <f t="shared" si="33"/>
        <v>2.6880333058078721E-4</v>
      </c>
      <c r="W131" s="3"/>
      <c r="X131" s="6">
        <f t="shared" si="34"/>
        <v>7282.8799999999992</v>
      </c>
      <c r="Y131" s="3"/>
      <c r="Z131" s="7">
        <f t="shared" si="35"/>
        <v>2.4276266666666664</v>
      </c>
    </row>
    <row r="132" spans="1:26" s="70" customFormat="1" ht="15" hidden="1" customHeight="1" outlineLevel="2" x14ac:dyDescent="0.3">
      <c r="A132" s="21"/>
      <c r="B132" s="9" t="str">
        <f>CONCATENATE("          ","6235"," - ","COVID-19 EXPENSES")</f>
        <v xml:space="preserve">          6235 - COVID-19 EXPENSES</v>
      </c>
      <c r="C132" s="9"/>
      <c r="D132" s="6"/>
      <c r="E132" s="3"/>
      <c r="F132" s="7">
        <f t="shared" si="28"/>
        <v>0</v>
      </c>
      <c r="G132" s="3"/>
      <c r="H132" s="6">
        <v>125</v>
      </c>
      <c r="I132" s="3"/>
      <c r="J132" s="7">
        <f t="shared" si="29"/>
        <v>3.1984770131854019E-4</v>
      </c>
      <c r="K132" s="3"/>
      <c r="L132" s="6">
        <f t="shared" si="30"/>
        <v>-125</v>
      </c>
      <c r="M132" s="3"/>
      <c r="N132" s="7">
        <f t="shared" si="31"/>
        <v>-1</v>
      </c>
      <c r="O132" s="9"/>
      <c r="P132" s="6">
        <v>3586.32</v>
      </c>
      <c r="Q132" s="3"/>
      <c r="R132" s="7">
        <f t="shared" si="32"/>
        <v>3.3534836809793138E-4</v>
      </c>
      <c r="S132" s="3"/>
      <c r="T132" s="6">
        <v>1500</v>
      </c>
      <c r="U132" s="3"/>
      <c r="V132" s="7">
        <f t="shared" si="33"/>
        <v>1.3440166529039361E-4</v>
      </c>
      <c r="W132" s="3"/>
      <c r="X132" s="6">
        <f t="shared" si="34"/>
        <v>2086.3200000000002</v>
      </c>
      <c r="Y132" s="3"/>
      <c r="Z132" s="7">
        <f t="shared" si="35"/>
        <v>1.3908800000000001</v>
      </c>
    </row>
    <row r="133" spans="1:26" s="70" customFormat="1" ht="15" hidden="1" customHeight="1" outlineLevel="2" x14ac:dyDescent="0.3">
      <c r="A133" s="21"/>
      <c r="B133" s="9" t="str">
        <f>CONCATENATE("          ","6237"," - ","JANITORIAL SUPPLIES")</f>
        <v xml:space="preserve">          6237 - JANITORIAL SUPPLIES</v>
      </c>
      <c r="C133" s="9"/>
      <c r="D133" s="6">
        <v>1431.01</v>
      </c>
      <c r="E133" s="3"/>
      <c r="F133" s="7">
        <f t="shared" si="28"/>
        <v>2.072138469895572E-3</v>
      </c>
      <c r="G133" s="3"/>
      <c r="H133" s="6">
        <v>10</v>
      </c>
      <c r="I133" s="3"/>
      <c r="J133" s="7">
        <f t="shared" si="29"/>
        <v>2.5587816105483211E-5</v>
      </c>
      <c r="K133" s="3"/>
      <c r="L133" s="6">
        <f t="shared" si="30"/>
        <v>1421.01</v>
      </c>
      <c r="M133" s="3"/>
      <c r="N133" s="7">
        <f t="shared" si="31"/>
        <v>142.101</v>
      </c>
      <c r="O133" s="9"/>
      <c r="P133" s="6">
        <v>8079.26</v>
      </c>
      <c r="Q133" s="3"/>
      <c r="R133" s="7">
        <f t="shared" si="32"/>
        <v>7.5547264506203946E-4</v>
      </c>
      <c r="S133" s="3"/>
      <c r="T133" s="6">
        <v>240</v>
      </c>
      <c r="U133" s="3"/>
      <c r="V133" s="7">
        <f t="shared" si="33"/>
        <v>2.1504266446462979E-5</v>
      </c>
      <c r="W133" s="3"/>
      <c r="X133" s="6">
        <f t="shared" si="34"/>
        <v>7839.26</v>
      </c>
      <c r="Y133" s="3"/>
      <c r="Z133" s="7">
        <f t="shared" si="35"/>
        <v>32.663583333333335</v>
      </c>
    </row>
    <row r="134" spans="1:26" s="70" customFormat="1" ht="15" hidden="1" customHeight="1" outlineLevel="2" x14ac:dyDescent="0.3">
      <c r="A134" s="21"/>
      <c r="B134" s="9" t="str">
        <f>CONCATENATE("          ","6241"," - ","OFFICE EXPENSE")</f>
        <v xml:space="preserve">          6241 - OFFICE EXPENSE</v>
      </c>
      <c r="C134" s="9"/>
      <c r="D134" s="6">
        <v>4537.0200000000004</v>
      </c>
      <c r="E134" s="3"/>
      <c r="F134" s="7">
        <f t="shared" si="28"/>
        <v>6.5697190660342058E-3</v>
      </c>
      <c r="G134" s="3"/>
      <c r="H134" s="6">
        <v>530</v>
      </c>
      <c r="I134" s="3"/>
      <c r="J134" s="7">
        <f t="shared" si="29"/>
        <v>1.3561542535906104E-3</v>
      </c>
      <c r="K134" s="3"/>
      <c r="L134" s="6">
        <f t="shared" si="30"/>
        <v>4007.0200000000004</v>
      </c>
      <c r="M134" s="3"/>
      <c r="N134" s="7">
        <f t="shared" si="31"/>
        <v>7.5604150943396231</v>
      </c>
      <c r="O134" s="9"/>
      <c r="P134" s="6">
        <v>24392.47</v>
      </c>
      <c r="Q134" s="3"/>
      <c r="R134" s="7">
        <f t="shared" si="32"/>
        <v>2.2808826341145657E-3</v>
      </c>
      <c r="S134" s="3"/>
      <c r="T134" s="6">
        <v>8160</v>
      </c>
      <c r="U134" s="3"/>
      <c r="V134" s="7">
        <f t="shared" si="33"/>
        <v>7.3114505917974129E-4</v>
      </c>
      <c r="W134" s="3"/>
      <c r="X134" s="6">
        <f t="shared" si="34"/>
        <v>16232.470000000001</v>
      </c>
      <c r="Y134" s="3"/>
      <c r="Z134" s="7">
        <f t="shared" si="35"/>
        <v>1.9892732843137257</v>
      </c>
    </row>
    <row r="135" spans="1:26" s="70" customFormat="1" ht="15" hidden="1" customHeight="1" outlineLevel="2" x14ac:dyDescent="0.3">
      <c r="A135" s="21"/>
      <c r="B135" s="9" t="str">
        <f>CONCATENATE("          ","6243"," - ","PAPER SUPPLIES")</f>
        <v xml:space="preserve">          6243 - PAPER SUPPLIES</v>
      </c>
      <c r="C135" s="9"/>
      <c r="D135" s="6">
        <v>742</v>
      </c>
      <c r="E135" s="3"/>
      <c r="F135" s="7">
        <f t="shared" si="28"/>
        <v>1.0744346612969263E-3</v>
      </c>
      <c r="G135" s="3"/>
      <c r="H135" s="6">
        <v>1250</v>
      </c>
      <c r="I135" s="3"/>
      <c r="J135" s="7">
        <f t="shared" si="29"/>
        <v>3.1984770131854015E-3</v>
      </c>
      <c r="K135" s="3"/>
      <c r="L135" s="6">
        <f t="shared" si="30"/>
        <v>-508</v>
      </c>
      <c r="M135" s="3"/>
      <c r="N135" s="7">
        <f t="shared" si="31"/>
        <v>-0.40639999999999998</v>
      </c>
      <c r="O135" s="9"/>
      <c r="P135" s="6">
        <v>10832.94</v>
      </c>
      <c r="Q135" s="3"/>
      <c r="R135" s="7">
        <f t="shared" si="32"/>
        <v>1.0129628005038048E-3</v>
      </c>
      <c r="S135" s="3"/>
      <c r="T135" s="6">
        <v>38600</v>
      </c>
      <c r="U135" s="3"/>
      <c r="V135" s="7">
        <f t="shared" si="33"/>
        <v>3.4586028534727958E-3</v>
      </c>
      <c r="W135" s="3"/>
      <c r="X135" s="6">
        <f t="shared" si="34"/>
        <v>-27767.059999999998</v>
      </c>
      <c r="Y135" s="3"/>
      <c r="Z135" s="7">
        <f t="shared" si="35"/>
        <v>-0.71935388601036265</v>
      </c>
    </row>
    <row r="136" spans="1:26" s="70" customFormat="1" ht="15" hidden="1" customHeight="1" outlineLevel="2" x14ac:dyDescent="0.3">
      <c r="A136" s="21"/>
      <c r="B136" s="9" t="str">
        <f>CONCATENATE("          ","6245"," - ","PRINTING")</f>
        <v xml:space="preserve">          6245 - PRINTING</v>
      </c>
      <c r="C136" s="9"/>
      <c r="D136" s="6">
        <v>4642.3999999999996</v>
      </c>
      <c r="E136" s="3"/>
      <c r="F136" s="7">
        <f t="shared" si="28"/>
        <v>6.7223119563407678E-3</v>
      </c>
      <c r="G136" s="3"/>
      <c r="H136" s="6">
        <v>50</v>
      </c>
      <c r="I136" s="3"/>
      <c r="J136" s="7">
        <f t="shared" si="29"/>
        <v>1.2793908052741607E-4</v>
      </c>
      <c r="K136" s="3"/>
      <c r="L136" s="6">
        <f t="shared" si="30"/>
        <v>4592.3999999999996</v>
      </c>
      <c r="M136" s="3"/>
      <c r="N136" s="7">
        <f t="shared" si="31"/>
        <v>91.847999999999999</v>
      </c>
      <c r="O136" s="9"/>
      <c r="P136" s="6">
        <v>16345.8</v>
      </c>
      <c r="Q136" s="3"/>
      <c r="R136" s="7">
        <f t="shared" si="32"/>
        <v>1.5284574034818885E-3</v>
      </c>
      <c r="S136" s="3"/>
      <c r="T136" s="6">
        <v>10395</v>
      </c>
      <c r="U136" s="3"/>
      <c r="V136" s="7">
        <f t="shared" si="33"/>
        <v>9.3140354046242777E-4</v>
      </c>
      <c r="W136" s="3"/>
      <c r="X136" s="6">
        <f t="shared" si="34"/>
        <v>5950.7999999999993</v>
      </c>
      <c r="Y136" s="3"/>
      <c r="Z136" s="7">
        <f t="shared" si="35"/>
        <v>0.57246753246753235</v>
      </c>
    </row>
    <row r="137" spans="1:26" s="70" customFormat="1" ht="15" hidden="1" customHeight="1" outlineLevel="2" x14ac:dyDescent="0.3">
      <c r="A137" s="21"/>
      <c r="B137" s="9" t="str">
        <f>CONCATENATE("          ","6247"," - ","STORE SUPPLIES")</f>
        <v xml:space="preserve">          6247 - STORE SUPPLIES</v>
      </c>
      <c r="C137" s="9"/>
      <c r="D137" s="6">
        <v>26938.240000000002</v>
      </c>
      <c r="E137" s="3"/>
      <c r="F137" s="7">
        <f t="shared" si="28"/>
        <v>3.9007249016624411E-2</v>
      </c>
      <c r="G137" s="3"/>
      <c r="H137" s="6">
        <v>5675</v>
      </c>
      <c r="I137" s="3"/>
      <c r="J137" s="7">
        <f t="shared" si="29"/>
        <v>1.4521085639861724E-2</v>
      </c>
      <c r="K137" s="3"/>
      <c r="L137" s="6">
        <f t="shared" si="30"/>
        <v>21263.24</v>
      </c>
      <c r="M137" s="3"/>
      <c r="N137" s="7">
        <f t="shared" si="31"/>
        <v>3.7468264317180617</v>
      </c>
      <c r="O137" s="9"/>
      <c r="P137" s="6">
        <v>85960.04</v>
      </c>
      <c r="Q137" s="3"/>
      <c r="R137" s="7">
        <f t="shared" si="32"/>
        <v>8.0379216399074551E-3</v>
      </c>
      <c r="S137" s="3"/>
      <c r="T137" s="6">
        <v>71805</v>
      </c>
      <c r="U137" s="3"/>
      <c r="V137" s="7">
        <f t="shared" si="33"/>
        <v>6.4338077174511425E-3</v>
      </c>
      <c r="W137" s="3"/>
      <c r="X137" s="6">
        <f t="shared" si="34"/>
        <v>14155.039999999994</v>
      </c>
      <c r="Y137" s="3"/>
      <c r="Z137" s="7">
        <f t="shared" si="35"/>
        <v>0.19713167606712614</v>
      </c>
    </row>
    <row r="138" spans="1:26" s="69" customFormat="1" ht="15" customHeight="1" outlineLevel="1" collapsed="1" x14ac:dyDescent="0.3">
      <c r="A138" s="20"/>
      <c r="B138" s="11" t="str">
        <f>CONCATENATE("     ","Telephone/Data Lines                              ")</f>
        <v xml:space="preserve">     Telephone/Data Lines                              </v>
      </c>
      <c r="C138" s="11"/>
      <c r="D138" s="2">
        <f>SUM(OSRRefD22_21x_0)</f>
        <v>1335.18</v>
      </c>
      <c r="E138" s="2"/>
      <c r="F138" s="5">
        <f t="shared" si="28"/>
        <v>1.9333742197714691E-3</v>
      </c>
      <c r="G138" s="2"/>
      <c r="H138" s="2">
        <f>SUM(OSRRefH22_21x_0)</f>
        <v>2060</v>
      </c>
      <c r="I138" s="2"/>
      <c r="J138" s="5">
        <f t="shared" si="29"/>
        <v>5.2710901177295422E-3</v>
      </c>
      <c r="K138" s="2"/>
      <c r="L138" s="2">
        <f t="shared" si="30"/>
        <v>-724.81999999999994</v>
      </c>
      <c r="M138" s="2"/>
      <c r="N138" s="5">
        <f t="shared" si="31"/>
        <v>-0.35185436893203881</v>
      </c>
      <c r="O138" s="11"/>
      <c r="P138" s="2">
        <f>SUM(OSRRefP22_21x_0)</f>
        <v>23498.89</v>
      </c>
      <c r="Q138" s="2"/>
      <c r="R138" s="5">
        <f t="shared" si="32"/>
        <v>2.1973260650507481E-3</v>
      </c>
      <c r="S138" s="2"/>
      <c r="T138" s="2">
        <f>SUM(OSRRefT22_21x_0)</f>
        <v>25320</v>
      </c>
      <c r="U138" s="2"/>
      <c r="V138" s="5">
        <f t="shared" si="33"/>
        <v>2.2687001101018441E-3</v>
      </c>
      <c r="W138" s="2"/>
      <c r="X138" s="2">
        <f t="shared" si="34"/>
        <v>-1821.1100000000006</v>
      </c>
      <c r="Y138" s="2"/>
      <c r="Z138" s="5">
        <f t="shared" si="35"/>
        <v>-7.1923775671406023E-2</v>
      </c>
    </row>
    <row r="139" spans="1:26" s="70" customFormat="1" ht="15" hidden="1" customHeight="1" outlineLevel="2" x14ac:dyDescent="0.3">
      <c r="A139" s="21"/>
      <c r="B139" s="9" t="str">
        <f>CONCATENATE("          ","6303"," - ","DATA PHONE LINES")</f>
        <v xml:space="preserve">          6303 - DATA PHONE LINES</v>
      </c>
      <c r="C139" s="9"/>
      <c r="D139" s="6"/>
      <c r="E139" s="3"/>
      <c r="F139" s="7">
        <f t="shared" si="28"/>
        <v>0</v>
      </c>
      <c r="G139" s="3"/>
      <c r="H139" s="6">
        <v>0</v>
      </c>
      <c r="I139" s="3"/>
      <c r="J139" s="7">
        <f t="shared" si="29"/>
        <v>0</v>
      </c>
      <c r="K139" s="3"/>
      <c r="L139" s="6">
        <f t="shared" si="30"/>
        <v>0</v>
      </c>
      <c r="M139" s="3"/>
      <c r="N139" s="7">
        <f t="shared" si="31"/>
        <v>0</v>
      </c>
      <c r="O139" s="9"/>
      <c r="P139" s="6">
        <v>295</v>
      </c>
      <c r="Q139" s="3"/>
      <c r="R139" s="7">
        <f t="shared" si="32"/>
        <v>2.7584757798771374E-5</v>
      </c>
      <c r="S139" s="3"/>
      <c r="T139" s="6">
        <v>0</v>
      </c>
      <c r="U139" s="3"/>
      <c r="V139" s="7">
        <f t="shared" si="33"/>
        <v>0</v>
      </c>
      <c r="W139" s="3"/>
      <c r="X139" s="6">
        <f t="shared" si="34"/>
        <v>295</v>
      </c>
      <c r="Y139" s="3"/>
      <c r="Z139" s="7">
        <f t="shared" si="35"/>
        <v>0</v>
      </c>
    </row>
    <row r="140" spans="1:26" s="70" customFormat="1" ht="15" hidden="1" customHeight="1" outlineLevel="2" x14ac:dyDescent="0.3">
      <c r="A140" s="21"/>
      <c r="B140" s="9" t="str">
        <f>CONCATENATE("          ","6309"," - ","TELEPHONE")</f>
        <v xml:space="preserve">          6309 - TELEPHONE</v>
      </c>
      <c r="C140" s="9"/>
      <c r="D140" s="6">
        <v>1335.18</v>
      </c>
      <c r="E140" s="3"/>
      <c r="F140" s="7">
        <f t="shared" si="28"/>
        <v>1.9333742197714691E-3</v>
      </c>
      <c r="G140" s="3"/>
      <c r="H140" s="6">
        <v>2060</v>
      </c>
      <c r="I140" s="3"/>
      <c r="J140" s="7">
        <f t="shared" si="29"/>
        <v>5.2710901177295422E-3</v>
      </c>
      <c r="K140" s="3"/>
      <c r="L140" s="6">
        <f t="shared" si="30"/>
        <v>-724.81999999999994</v>
      </c>
      <c r="M140" s="3"/>
      <c r="N140" s="7">
        <f t="shared" si="31"/>
        <v>-0.35185436893203881</v>
      </c>
      <c r="O140" s="9"/>
      <c r="P140" s="6">
        <v>23203.89</v>
      </c>
      <c r="Q140" s="3"/>
      <c r="R140" s="7">
        <f t="shared" si="32"/>
        <v>2.1697413072519767E-3</v>
      </c>
      <c r="S140" s="3"/>
      <c r="T140" s="6">
        <v>25320</v>
      </c>
      <c r="U140" s="3"/>
      <c r="V140" s="7">
        <f t="shared" si="33"/>
        <v>2.2687001101018441E-3</v>
      </c>
      <c r="W140" s="3"/>
      <c r="X140" s="6">
        <f t="shared" si="34"/>
        <v>-2116.1100000000006</v>
      </c>
      <c r="Y140" s="3"/>
      <c r="Z140" s="7">
        <f t="shared" si="35"/>
        <v>-8.3574644549763058E-2</v>
      </c>
    </row>
    <row r="141" spans="1:26" s="69" customFormat="1" ht="15" customHeight="1" outlineLevel="1" collapsed="1" x14ac:dyDescent="0.3">
      <c r="A141" s="20"/>
      <c r="B141" s="11" t="str">
        <f>CONCATENATE("     ","Training                                          ")</f>
        <v xml:space="preserve">     Training                                          </v>
      </c>
      <c r="C141" s="11"/>
      <c r="D141" s="2">
        <f>SUM(OSRRefD22_22x_0)</f>
        <v>0</v>
      </c>
      <c r="E141" s="2"/>
      <c r="F141" s="5">
        <f t="shared" si="28"/>
        <v>0</v>
      </c>
      <c r="G141" s="2"/>
      <c r="H141" s="2">
        <f>SUM(OSRRefH22_22x_0)</f>
        <v>0</v>
      </c>
      <c r="I141" s="2"/>
      <c r="J141" s="5">
        <f t="shared" si="29"/>
        <v>0</v>
      </c>
      <c r="K141" s="2"/>
      <c r="L141" s="2">
        <f t="shared" si="30"/>
        <v>0</v>
      </c>
      <c r="M141" s="2"/>
      <c r="N141" s="5">
        <f t="shared" si="31"/>
        <v>0</v>
      </c>
      <c r="O141" s="11"/>
      <c r="P141" s="2">
        <f>SUM(OSRRefP22_22x_0)</f>
        <v>6919</v>
      </c>
      <c r="Q141" s="2"/>
      <c r="R141" s="5">
        <f t="shared" si="32"/>
        <v>6.4697945494813266E-4</v>
      </c>
      <c r="S141" s="2"/>
      <c r="T141" s="2">
        <f>SUM(OSRRefT22_22x_0)</f>
        <v>2000</v>
      </c>
      <c r="U141" s="2"/>
      <c r="V141" s="5">
        <f t="shared" si="33"/>
        <v>1.7920222038719148E-4</v>
      </c>
      <c r="W141" s="2"/>
      <c r="X141" s="2">
        <f t="shared" si="34"/>
        <v>4919</v>
      </c>
      <c r="Y141" s="2"/>
      <c r="Z141" s="5">
        <f t="shared" si="35"/>
        <v>2.4594999999999998</v>
      </c>
    </row>
    <row r="142" spans="1:26" s="70" customFormat="1" ht="15" hidden="1" customHeight="1" outlineLevel="2" x14ac:dyDescent="0.3">
      <c r="A142" s="21"/>
      <c r="B142" s="9" t="str">
        <f>CONCATENATE("          ","6376"," - ","TRAINING")</f>
        <v xml:space="preserve">          6376 - TRAINING</v>
      </c>
      <c r="C142" s="9"/>
      <c r="D142" s="6"/>
      <c r="E142" s="3"/>
      <c r="F142" s="7">
        <f t="shared" si="28"/>
        <v>0</v>
      </c>
      <c r="G142" s="3"/>
      <c r="H142" s="6"/>
      <c r="I142" s="3"/>
      <c r="J142" s="7">
        <f t="shared" si="29"/>
        <v>0</v>
      </c>
      <c r="K142" s="3"/>
      <c r="L142" s="6">
        <f t="shared" si="30"/>
        <v>0</v>
      </c>
      <c r="M142" s="3"/>
      <c r="N142" s="7">
        <f t="shared" si="31"/>
        <v>0</v>
      </c>
      <c r="O142" s="9"/>
      <c r="P142" s="6">
        <v>6919</v>
      </c>
      <c r="Q142" s="3"/>
      <c r="R142" s="7">
        <f t="shared" si="32"/>
        <v>6.4697945494813266E-4</v>
      </c>
      <c r="S142" s="3"/>
      <c r="T142" s="6">
        <v>2000</v>
      </c>
      <c r="U142" s="3"/>
      <c r="V142" s="7">
        <f t="shared" si="33"/>
        <v>1.7920222038719148E-4</v>
      </c>
      <c r="W142" s="3"/>
      <c r="X142" s="6">
        <f t="shared" si="34"/>
        <v>4919</v>
      </c>
      <c r="Y142" s="3"/>
      <c r="Z142" s="7">
        <f t="shared" si="35"/>
        <v>2.4594999999999998</v>
      </c>
    </row>
    <row r="143" spans="1:26" s="69" customFormat="1" ht="15" customHeight="1" outlineLevel="1" collapsed="1" x14ac:dyDescent="0.3">
      <c r="A143" s="20"/>
      <c r="B143" s="11" t="str">
        <f>CONCATENATE("     ","Travel                                            ")</f>
        <v xml:space="preserve">     Travel                                            </v>
      </c>
      <c r="C143" s="11"/>
      <c r="D143" s="2">
        <f>SUM(OSRRefD22_23x_0)</f>
        <v>1117.6500000000001</v>
      </c>
      <c r="E143" s="2"/>
      <c r="F143" s="5">
        <f t="shared" si="28"/>
        <v>1.6183853088928702E-3</v>
      </c>
      <c r="G143" s="2"/>
      <c r="H143" s="2">
        <f>SUM(OSRRefH22_23x_0)</f>
        <v>175</v>
      </c>
      <c r="I143" s="2"/>
      <c r="J143" s="5">
        <f t="shared" si="29"/>
        <v>4.4778678184595623E-4</v>
      </c>
      <c r="K143" s="2"/>
      <c r="L143" s="2">
        <f t="shared" si="30"/>
        <v>942.65000000000009</v>
      </c>
      <c r="M143" s="2"/>
      <c r="N143" s="5">
        <f t="shared" si="31"/>
        <v>5.386571428571429</v>
      </c>
      <c r="O143" s="11"/>
      <c r="P143" s="2">
        <f>SUM(OSRRefP22_23x_0)</f>
        <v>2722.9</v>
      </c>
      <c r="Q143" s="2"/>
      <c r="R143" s="5">
        <f t="shared" si="32"/>
        <v>2.5461198986533756E-4</v>
      </c>
      <c r="S143" s="2"/>
      <c r="T143" s="2">
        <f>SUM(OSRRefT22_23x_0)</f>
        <v>2350</v>
      </c>
      <c r="U143" s="2"/>
      <c r="V143" s="5">
        <f t="shared" si="33"/>
        <v>2.1056260895494999E-4</v>
      </c>
      <c r="W143" s="2"/>
      <c r="X143" s="2">
        <f t="shared" si="34"/>
        <v>372.90000000000009</v>
      </c>
      <c r="Y143" s="2"/>
      <c r="Z143" s="5">
        <f t="shared" si="35"/>
        <v>0.15868085106382981</v>
      </c>
    </row>
    <row r="144" spans="1:26" s="70" customFormat="1" ht="15" hidden="1" customHeight="1" outlineLevel="2" x14ac:dyDescent="0.3">
      <c r="A144" s="21"/>
      <c r="B144" s="9" t="str">
        <f>CONCATENATE("          ","6292"," - ","TRAVEL/CONFERENCE")</f>
        <v xml:space="preserve">          6292 - TRAVEL/CONFERENCE</v>
      </c>
      <c r="C144" s="9"/>
      <c r="D144" s="6"/>
      <c r="E144" s="3"/>
      <c r="F144" s="7">
        <f t="shared" si="28"/>
        <v>0</v>
      </c>
      <c r="G144" s="3"/>
      <c r="H144" s="6">
        <v>125</v>
      </c>
      <c r="I144" s="3"/>
      <c r="J144" s="7">
        <f t="shared" si="29"/>
        <v>3.1984770131854019E-4</v>
      </c>
      <c r="K144" s="3"/>
      <c r="L144" s="6">
        <f t="shared" si="30"/>
        <v>-125</v>
      </c>
      <c r="M144" s="3"/>
      <c r="N144" s="7">
        <f t="shared" si="31"/>
        <v>-1</v>
      </c>
      <c r="O144" s="9"/>
      <c r="P144" s="6">
        <v>495</v>
      </c>
      <c r="Q144" s="3"/>
      <c r="R144" s="7">
        <f t="shared" si="32"/>
        <v>4.6286288509802817E-5</v>
      </c>
      <c r="S144" s="3"/>
      <c r="T144" s="6">
        <v>1500</v>
      </c>
      <c r="U144" s="3"/>
      <c r="V144" s="7">
        <f t="shared" si="33"/>
        <v>1.3440166529039361E-4</v>
      </c>
      <c r="W144" s="3"/>
      <c r="X144" s="6">
        <f t="shared" si="34"/>
        <v>-1005</v>
      </c>
      <c r="Y144" s="3"/>
      <c r="Z144" s="7">
        <f t="shared" si="35"/>
        <v>-0.67</v>
      </c>
    </row>
    <row r="145" spans="1:26" s="70" customFormat="1" ht="15" hidden="1" customHeight="1" outlineLevel="2" x14ac:dyDescent="0.3">
      <c r="A145" s="21"/>
      <c r="B145" s="9" t="str">
        <f>CONCATENATE("          ","6294"," - ","TRAVEL OPERATIONAL")</f>
        <v xml:space="preserve">          6294 - TRAVEL OPERATIONAL</v>
      </c>
      <c r="C145" s="9"/>
      <c r="D145" s="6">
        <v>1017.65</v>
      </c>
      <c r="E145" s="3"/>
      <c r="F145" s="7">
        <f t="shared" si="28"/>
        <v>1.4735827938932844E-3</v>
      </c>
      <c r="G145" s="3"/>
      <c r="H145" s="6">
        <v>25</v>
      </c>
      <c r="I145" s="3"/>
      <c r="J145" s="7">
        <f t="shared" si="29"/>
        <v>6.3969540263708035E-5</v>
      </c>
      <c r="K145" s="3"/>
      <c r="L145" s="6">
        <f t="shared" si="30"/>
        <v>992.65</v>
      </c>
      <c r="M145" s="3"/>
      <c r="N145" s="7">
        <f t="shared" si="31"/>
        <v>39.705999999999996</v>
      </c>
      <c r="O145" s="9"/>
      <c r="P145" s="6">
        <v>1628.52</v>
      </c>
      <c r="Q145" s="3"/>
      <c r="R145" s="7">
        <f t="shared" si="32"/>
        <v>1.5227908396764462E-4</v>
      </c>
      <c r="S145" s="3"/>
      <c r="T145" s="6">
        <v>300</v>
      </c>
      <c r="U145" s="3"/>
      <c r="V145" s="7">
        <f t="shared" si="33"/>
        <v>2.6880333058078723E-5</v>
      </c>
      <c r="W145" s="3"/>
      <c r="X145" s="6">
        <f t="shared" si="34"/>
        <v>1328.52</v>
      </c>
      <c r="Y145" s="3"/>
      <c r="Z145" s="7">
        <f t="shared" si="35"/>
        <v>4.4283999999999999</v>
      </c>
    </row>
    <row r="146" spans="1:26" s="70" customFormat="1" ht="15" hidden="1" customHeight="1" outlineLevel="2" x14ac:dyDescent="0.3">
      <c r="A146" s="21"/>
      <c r="B146" s="9" t="str">
        <f>CONCATENATE("          ","6298"," - ","VEHICLE MILEAGE")</f>
        <v xml:space="preserve">          6298 - VEHICLE MILEAGE</v>
      </c>
      <c r="C146" s="9"/>
      <c r="D146" s="6">
        <v>100</v>
      </c>
      <c r="E146" s="3"/>
      <c r="F146" s="7">
        <f t="shared" si="28"/>
        <v>1.4480251499958576E-4</v>
      </c>
      <c r="G146" s="3"/>
      <c r="H146" s="6">
        <v>25</v>
      </c>
      <c r="I146" s="3"/>
      <c r="J146" s="7">
        <f t="shared" si="29"/>
        <v>6.3969540263708035E-5</v>
      </c>
      <c r="K146" s="3"/>
      <c r="L146" s="6">
        <f t="shared" si="30"/>
        <v>75</v>
      </c>
      <c r="M146" s="3"/>
      <c r="N146" s="7">
        <f t="shared" si="31"/>
        <v>3</v>
      </c>
      <c r="O146" s="9"/>
      <c r="P146" s="6">
        <v>599.38</v>
      </c>
      <c r="Q146" s="3"/>
      <c r="R146" s="7">
        <f t="shared" si="32"/>
        <v>5.6046617387890125E-5</v>
      </c>
      <c r="S146" s="3"/>
      <c r="T146" s="6">
        <v>550</v>
      </c>
      <c r="U146" s="3"/>
      <c r="V146" s="7">
        <f t="shared" si="33"/>
        <v>4.9280610606477662E-5</v>
      </c>
      <c r="W146" s="3"/>
      <c r="X146" s="6">
        <f t="shared" si="34"/>
        <v>49.379999999999995</v>
      </c>
      <c r="Y146" s="3"/>
      <c r="Z146" s="7">
        <f t="shared" si="35"/>
        <v>8.9781818181818171E-2</v>
      </c>
    </row>
    <row r="147" spans="1:26" s="69" customFormat="1" ht="15" customHeight="1" outlineLevel="1" collapsed="1" x14ac:dyDescent="0.3">
      <c r="A147" s="20"/>
      <c r="B147" s="11" t="str">
        <f>CONCATENATE("     ","Utilities                                         ")</f>
        <v xml:space="preserve">     Utilities                                         </v>
      </c>
      <c r="C147" s="11"/>
      <c r="D147" s="2">
        <f>SUM(OSRRefD22_24x_0)</f>
        <v>7256.49</v>
      </c>
      <c r="E147" s="2"/>
      <c r="F147" s="5">
        <f t="shared" si="28"/>
        <v>1.0507580020693439E-2</v>
      </c>
      <c r="G147" s="2"/>
      <c r="H147" s="2">
        <f>SUM(OSRRefH22_24x_0)</f>
        <v>6120</v>
      </c>
      <c r="I147" s="2"/>
      <c r="J147" s="5">
        <f t="shared" si="29"/>
        <v>1.5659743456555728E-2</v>
      </c>
      <c r="K147" s="2"/>
      <c r="L147" s="2">
        <f t="shared" si="30"/>
        <v>1136.4899999999998</v>
      </c>
      <c r="M147" s="2"/>
      <c r="N147" s="5">
        <f t="shared" si="31"/>
        <v>0.18570098039215682</v>
      </c>
      <c r="O147" s="11"/>
      <c r="P147" s="2">
        <f>SUM(OSRRefP22_24x_0)</f>
        <v>92259.38</v>
      </c>
      <c r="Q147" s="2"/>
      <c r="R147" s="5">
        <f t="shared" si="32"/>
        <v>8.6269581422536001E-3</v>
      </c>
      <c r="S147" s="2"/>
      <c r="T147" s="2">
        <f>SUM(OSRRefT22_24x_0)</f>
        <v>76120</v>
      </c>
      <c r="U147" s="2"/>
      <c r="V147" s="5">
        <f t="shared" si="33"/>
        <v>6.820436507936508E-3</v>
      </c>
      <c r="W147" s="2"/>
      <c r="X147" s="2">
        <f t="shared" si="34"/>
        <v>16139.380000000005</v>
      </c>
      <c r="Y147" s="2"/>
      <c r="Z147" s="5">
        <f t="shared" si="35"/>
        <v>0.21202548607461907</v>
      </c>
    </row>
    <row r="148" spans="1:26" s="70" customFormat="1" ht="15" hidden="1" customHeight="1" outlineLevel="2" x14ac:dyDescent="0.3">
      <c r="A148" s="21"/>
      <c r="B148" s="9" t="str">
        <f>CONCATENATE("          ","6274"," - ","UTILITIES")</f>
        <v xml:space="preserve">          6274 - UTILITIES</v>
      </c>
      <c r="C148" s="9"/>
      <c r="D148" s="6">
        <v>7256.49</v>
      </c>
      <c r="E148" s="3"/>
      <c r="F148" s="7">
        <f t="shared" si="28"/>
        <v>1.0507580020693439E-2</v>
      </c>
      <c r="G148" s="3"/>
      <c r="H148" s="6">
        <v>6120</v>
      </c>
      <c r="I148" s="3"/>
      <c r="J148" s="7">
        <f t="shared" si="29"/>
        <v>1.5659743456555728E-2</v>
      </c>
      <c r="K148" s="3"/>
      <c r="L148" s="6">
        <f t="shared" si="30"/>
        <v>1136.4899999999998</v>
      </c>
      <c r="M148" s="3"/>
      <c r="N148" s="7">
        <f t="shared" si="31"/>
        <v>0.18570098039215682</v>
      </c>
      <c r="O148" s="9"/>
      <c r="P148" s="6">
        <v>92259.38</v>
      </c>
      <c r="Q148" s="3"/>
      <c r="R148" s="7">
        <f t="shared" si="32"/>
        <v>8.6269581422536001E-3</v>
      </c>
      <c r="S148" s="3"/>
      <c r="T148" s="6">
        <v>76120</v>
      </c>
      <c r="U148" s="3"/>
      <c r="V148" s="7">
        <f t="shared" si="33"/>
        <v>6.820436507936508E-3</v>
      </c>
      <c r="W148" s="3"/>
      <c r="X148" s="6">
        <f t="shared" si="34"/>
        <v>16139.380000000005</v>
      </c>
      <c r="Y148" s="3"/>
      <c r="Z148" s="7">
        <f t="shared" si="35"/>
        <v>0.21202548607461907</v>
      </c>
    </row>
    <row r="149" spans="1:26" s="65" customFormat="1" ht="15" customHeight="1" x14ac:dyDescent="0.3">
      <c r="A149" s="36"/>
      <c r="B149" s="36"/>
      <c r="C149" s="36"/>
      <c r="D149" s="2"/>
      <c r="E149" s="2"/>
      <c r="F149" s="5"/>
      <c r="G149" s="2"/>
      <c r="H149" s="2"/>
      <c r="I149" s="2"/>
      <c r="J149" s="5"/>
      <c r="K149" s="2"/>
      <c r="L149" s="2"/>
      <c r="M149" s="2"/>
      <c r="N149" s="5"/>
      <c r="O149" s="36"/>
      <c r="P149" s="2"/>
      <c r="Q149" s="2"/>
      <c r="R149" s="5"/>
      <c r="S149" s="2"/>
      <c r="T149" s="2"/>
      <c r="U149" s="2"/>
      <c r="V149" s="5"/>
      <c r="W149" s="2"/>
      <c r="X149" s="2"/>
      <c r="Y149" s="2"/>
      <c r="Z149" s="5"/>
    </row>
    <row r="150" spans="1:26" s="63" customFormat="1" ht="15" customHeight="1" collapsed="1" x14ac:dyDescent="0.3">
      <c r="A150" s="13"/>
      <c r="B150" s="28" t="s">
        <v>291</v>
      </c>
      <c r="C150" s="13"/>
      <c r="D150" s="8">
        <f>SUM(OSRRefD25x_0)</f>
        <v>28176.75</v>
      </c>
      <c r="E150" s="8"/>
      <c r="F150" s="14">
        <f t="shared" ref="F150:F157" si="36">IF(D$12=0,0,D150/D$12)</f>
        <v>4.0800642645145775E-2</v>
      </c>
      <c r="G150" s="8"/>
      <c r="H150" s="8">
        <f>SUM(OSRRefH25x_0)</f>
        <v>222100</v>
      </c>
      <c r="I150" s="8"/>
      <c r="J150" s="14">
        <f t="shared" ref="J150:J157" si="37">IF(H$12=0,0,H150/H$12)</f>
        <v>0.56830539570278216</v>
      </c>
      <c r="K150" s="8"/>
      <c r="L150" s="8">
        <f t="shared" ref="L150:L157" si="38">+D150-H150</f>
        <v>-193923.25</v>
      </c>
      <c r="M150" s="8"/>
      <c r="N150" s="14">
        <f t="shared" ref="N150:N157" si="39">IF(H150=0,0,L150/H150)</f>
        <v>-0.87313484916704187</v>
      </c>
      <c r="O150" s="13"/>
      <c r="P150" s="8">
        <f>SUM(OSRRefP25x_0)</f>
        <v>1438242.13</v>
      </c>
      <c r="Q150" s="8"/>
      <c r="R150" s="14">
        <f t="shared" ref="R150:R157" si="40">IF(P$12=0,0,P150/P$12)</f>
        <v>0.13448664682047137</v>
      </c>
      <c r="S150" s="8"/>
      <c r="T150" s="8">
        <f>SUM(OSRRefT25x_0)</f>
        <v>1279728.23</v>
      </c>
      <c r="U150" s="8"/>
      <c r="V150" s="14">
        <f t="shared" ref="V150:V157" si="41">IF(T$12=0,0,T150/T$12)</f>
        <v>0.11466507015408524</v>
      </c>
      <c r="W150" s="8"/>
      <c r="X150" s="8">
        <f t="shared" ref="X150:X157" si="42">+P150-T150</f>
        <v>158513.89999999991</v>
      </c>
      <c r="Y150" s="8"/>
      <c r="Z150" s="14">
        <f t="shared" ref="Z150:Z157" si="43">IF(T150=0,0,X150/T150)</f>
        <v>0.12386528349069857</v>
      </c>
    </row>
    <row r="151" spans="1:26" s="70" customFormat="1" ht="15" hidden="1" customHeight="1" outlineLevel="1" x14ac:dyDescent="0.3">
      <c r="A151" s="48"/>
      <c r="B151" s="9" t="str">
        <f>CONCATENATE("          ","4187"," - ","NON-TAXABLE SALES-COMPUTER REP")</f>
        <v xml:space="preserve">          4187 - NON-TAXABLE SALES-COMPUTER REP</v>
      </c>
      <c r="C151" s="9"/>
      <c r="D151" s="3">
        <f>0</f>
        <v>0</v>
      </c>
      <c r="E151" s="3"/>
      <c r="F151" s="26">
        <f t="shared" si="36"/>
        <v>0</v>
      </c>
      <c r="G151" s="3"/>
      <c r="H151" s="3"/>
      <c r="I151" s="3"/>
      <c r="J151" s="26">
        <f t="shared" si="37"/>
        <v>0</v>
      </c>
      <c r="K151" s="3"/>
      <c r="L151" s="3">
        <f t="shared" si="38"/>
        <v>0</v>
      </c>
      <c r="M151" s="3"/>
      <c r="N151" s="26">
        <f t="shared" si="39"/>
        <v>0</v>
      </c>
      <c r="O151" s="9"/>
      <c r="P151" s="3">
        <f>0</f>
        <v>0</v>
      </c>
      <c r="Q151" s="3"/>
      <c r="R151" s="26">
        <f t="shared" si="40"/>
        <v>0</v>
      </c>
      <c r="S151" s="3"/>
      <c r="T151" s="3"/>
      <c r="U151" s="3"/>
      <c r="V151" s="26">
        <f t="shared" si="41"/>
        <v>0</v>
      </c>
      <c r="W151" s="3"/>
      <c r="X151" s="3">
        <f t="shared" si="42"/>
        <v>0</v>
      </c>
      <c r="Y151" s="3"/>
      <c r="Z151" s="26">
        <f t="shared" si="43"/>
        <v>0</v>
      </c>
    </row>
    <row r="152" spans="1:26" s="70" customFormat="1" ht="15" hidden="1" customHeight="1" outlineLevel="1" x14ac:dyDescent="0.3">
      <c r="A152" s="48"/>
      <c r="B152" s="9" t="str">
        <f>CONCATENATE("          ","9087"," - ","")</f>
        <v xml:space="preserve">          9087 - </v>
      </c>
      <c r="C152" s="9"/>
      <c r="D152" s="3">
        <f>-711.04</f>
        <v>-711.04</v>
      </c>
      <c r="E152" s="3"/>
      <c r="F152" s="26">
        <f t="shared" si="36"/>
        <v>-1.0296038026530545E-3</v>
      </c>
      <c r="G152" s="3"/>
      <c r="H152" s="3"/>
      <c r="I152" s="3"/>
      <c r="J152" s="26">
        <f t="shared" si="37"/>
        <v>0</v>
      </c>
      <c r="K152" s="3"/>
      <c r="L152" s="3">
        <f t="shared" si="38"/>
        <v>-711.04</v>
      </c>
      <c r="M152" s="3"/>
      <c r="N152" s="26">
        <f t="shared" si="39"/>
        <v>0</v>
      </c>
      <c r="O152" s="9"/>
      <c r="P152" s="3">
        <f>-5.4</f>
        <v>-5.4</v>
      </c>
      <c r="Q152" s="3"/>
      <c r="R152" s="26">
        <f t="shared" si="40"/>
        <v>-5.0494132919784892E-7</v>
      </c>
      <c r="S152" s="3"/>
      <c r="T152" s="3"/>
      <c r="U152" s="3"/>
      <c r="V152" s="26">
        <f t="shared" si="41"/>
        <v>0</v>
      </c>
      <c r="W152" s="3"/>
      <c r="X152" s="3">
        <f t="shared" si="42"/>
        <v>-5.4</v>
      </c>
      <c r="Y152" s="3"/>
      <c r="Z152" s="26">
        <f t="shared" si="43"/>
        <v>0</v>
      </c>
    </row>
    <row r="153" spans="1:26" s="70" customFormat="1" ht="15" hidden="1" customHeight="1" outlineLevel="1" x14ac:dyDescent="0.3">
      <c r="A153" s="48"/>
      <c r="B153" s="9" t="str">
        <f>CONCATENATE("          ","9150"," - ","MISC. INCOME")</f>
        <v xml:space="preserve">          9150 - MISC. INCOME</v>
      </c>
      <c r="C153" s="9"/>
      <c r="D153" s="3">
        <f>--6569.71</f>
        <v>6569.71</v>
      </c>
      <c r="E153" s="3"/>
      <c r="F153" s="26">
        <f t="shared" si="36"/>
        <v>9.513105308179285E-3</v>
      </c>
      <c r="G153" s="3"/>
      <c r="H153" s="3">
        <v>8649</v>
      </c>
      <c r="I153" s="3"/>
      <c r="J153" s="26">
        <f t="shared" si="37"/>
        <v>2.2130902149632432E-2</v>
      </c>
      <c r="K153" s="3"/>
      <c r="L153" s="3">
        <f t="shared" si="38"/>
        <v>-2079.29</v>
      </c>
      <c r="M153" s="3"/>
      <c r="N153" s="26">
        <f t="shared" si="39"/>
        <v>-0.24040813966932592</v>
      </c>
      <c r="O153" s="9"/>
      <c r="P153" s="3">
        <f>--444824.9</f>
        <v>444824.9</v>
      </c>
      <c r="Q153" s="3"/>
      <c r="R153" s="26">
        <f t="shared" si="40"/>
        <v>4.1594532641907447E-2</v>
      </c>
      <c r="S153" s="3"/>
      <c r="T153" s="3">
        <v>199749</v>
      </c>
      <c r="U153" s="3"/>
      <c r="V153" s="26">
        <f t="shared" si="41"/>
        <v>1.7897732160060555E-2</v>
      </c>
      <c r="W153" s="3"/>
      <c r="X153" s="3">
        <f t="shared" si="42"/>
        <v>245075.90000000002</v>
      </c>
      <c r="Y153" s="3"/>
      <c r="Z153" s="26">
        <f t="shared" si="43"/>
        <v>1.226919283701045</v>
      </c>
    </row>
    <row r="154" spans="1:26" s="70" customFormat="1" ht="15" hidden="1" customHeight="1" outlineLevel="1" x14ac:dyDescent="0.3">
      <c r="A154" s="48"/>
      <c r="B154" s="9" t="str">
        <f>CONCATENATE("          ","9151"," - ","MISC. INCOME")</f>
        <v xml:space="preserve">          9151 - MISC. INCOME</v>
      </c>
      <c r="C154" s="9"/>
      <c r="D154" s="3">
        <f>--4094.51</f>
        <v>4094.51</v>
      </c>
      <c r="E154" s="3"/>
      <c r="F154" s="26">
        <f t="shared" si="36"/>
        <v>5.9289534569095387E-3</v>
      </c>
      <c r="G154" s="3"/>
      <c r="H154" s="3">
        <v>155117</v>
      </c>
      <c r="I154" s="3"/>
      <c r="J154" s="26">
        <f t="shared" si="37"/>
        <v>0.39691052708342395</v>
      </c>
      <c r="K154" s="3"/>
      <c r="L154" s="3">
        <f t="shared" si="38"/>
        <v>-151022.49</v>
      </c>
      <c r="M154" s="3"/>
      <c r="N154" s="26">
        <f t="shared" si="39"/>
        <v>-0.97360373137696055</v>
      </c>
      <c r="O154" s="9"/>
      <c r="P154" s="3">
        <f>--328482.25</f>
        <v>328482.25</v>
      </c>
      <c r="Q154" s="3"/>
      <c r="R154" s="26">
        <f t="shared" si="40"/>
        <v>3.071560443201854E-2</v>
      </c>
      <c r="S154" s="3"/>
      <c r="T154" s="3">
        <v>904979.23</v>
      </c>
      <c r="U154" s="3"/>
      <c r="V154" s="26">
        <f t="shared" si="41"/>
        <v>8.1087143710145429E-2</v>
      </c>
      <c r="W154" s="3"/>
      <c r="X154" s="3">
        <f t="shared" si="42"/>
        <v>-576496.98</v>
      </c>
      <c r="Y154" s="3"/>
      <c r="Z154" s="26">
        <f t="shared" si="43"/>
        <v>-0.63702785753436575</v>
      </c>
    </row>
    <row r="155" spans="1:26" s="70" customFormat="1" ht="15" hidden="1" customHeight="1" outlineLevel="1" x14ac:dyDescent="0.3">
      <c r="A155" s="48"/>
      <c r="B155" s="9" t="str">
        <f>CONCATENATE("          ","9152"," - ","MISC. INCOME")</f>
        <v xml:space="preserve">          9152 - MISC. INCOME</v>
      </c>
      <c r="C155" s="9"/>
      <c r="D155" s="3">
        <f>--221.07</f>
        <v>221.07</v>
      </c>
      <c r="E155" s="3"/>
      <c r="F155" s="26">
        <f t="shared" si="36"/>
        <v>3.2011491990958419E-4</v>
      </c>
      <c r="G155" s="3"/>
      <c r="H155" s="3"/>
      <c r="I155" s="3"/>
      <c r="J155" s="26">
        <f t="shared" si="37"/>
        <v>0</v>
      </c>
      <c r="K155" s="3"/>
      <c r="L155" s="3">
        <f t="shared" si="38"/>
        <v>221.07</v>
      </c>
      <c r="M155" s="3"/>
      <c r="N155" s="26">
        <f t="shared" si="39"/>
        <v>0</v>
      </c>
      <c r="O155" s="9"/>
      <c r="P155" s="3">
        <f>--5468.18</f>
        <v>5468.18</v>
      </c>
      <c r="Q155" s="3"/>
      <c r="R155" s="26">
        <f t="shared" si="40"/>
        <v>5.113166810172395E-4</v>
      </c>
      <c r="S155" s="3"/>
      <c r="T155" s="3"/>
      <c r="U155" s="3"/>
      <c r="V155" s="26">
        <f t="shared" si="41"/>
        <v>0</v>
      </c>
      <c r="W155" s="3"/>
      <c r="X155" s="3">
        <f t="shared" si="42"/>
        <v>5468.18</v>
      </c>
      <c r="Y155" s="3"/>
      <c r="Z155" s="26">
        <f t="shared" si="43"/>
        <v>0</v>
      </c>
    </row>
    <row r="156" spans="1:26" s="70" customFormat="1" ht="15" hidden="1" customHeight="1" outlineLevel="1" x14ac:dyDescent="0.3">
      <c r="A156" s="48"/>
      <c r="B156" s="9" t="str">
        <f>CONCATENATE("          ","9160"," - ","MISC. INCOME")</f>
        <v xml:space="preserve">          9160 - MISC. INCOME</v>
      </c>
      <c r="C156" s="9"/>
      <c r="D156" s="3">
        <f>0</f>
        <v>0</v>
      </c>
      <c r="E156" s="3"/>
      <c r="F156" s="26">
        <f t="shared" si="36"/>
        <v>0</v>
      </c>
      <c r="G156" s="3"/>
      <c r="H156" s="3">
        <v>58334</v>
      </c>
      <c r="I156" s="3"/>
      <c r="J156" s="26">
        <f t="shared" si="37"/>
        <v>0.14926396646972578</v>
      </c>
      <c r="K156" s="3"/>
      <c r="L156" s="3">
        <f t="shared" si="38"/>
        <v>-58334</v>
      </c>
      <c r="M156" s="3"/>
      <c r="N156" s="26">
        <f t="shared" si="39"/>
        <v>-1</v>
      </c>
      <c r="O156" s="9"/>
      <c r="P156" s="3">
        <f>0</f>
        <v>0</v>
      </c>
      <c r="Q156" s="3"/>
      <c r="R156" s="26">
        <f t="shared" si="40"/>
        <v>0</v>
      </c>
      <c r="S156" s="3"/>
      <c r="T156" s="3">
        <v>175000</v>
      </c>
      <c r="U156" s="3"/>
      <c r="V156" s="26">
        <f t="shared" si="41"/>
        <v>1.5680194283879255E-2</v>
      </c>
      <c r="W156" s="3"/>
      <c r="X156" s="3">
        <f t="shared" si="42"/>
        <v>-175000</v>
      </c>
      <c r="Y156" s="3"/>
      <c r="Z156" s="26">
        <f t="shared" si="43"/>
        <v>-1</v>
      </c>
    </row>
    <row r="157" spans="1:26" s="70" customFormat="1" ht="15" hidden="1" customHeight="1" outlineLevel="1" x14ac:dyDescent="0.3">
      <c r="A157" s="48"/>
      <c r="B157" s="9" t="str">
        <f>CONCATENATE("          ","9163"," - ","MISC. INCOME")</f>
        <v xml:space="preserve">          9163 - MISC. INCOME</v>
      </c>
      <c r="C157" s="9"/>
      <c r="D157" s="3">
        <f>--18002.5</f>
        <v>18002.5</v>
      </c>
      <c r="E157" s="3"/>
      <c r="F157" s="26">
        <f t="shared" si="36"/>
        <v>2.6068072762800425E-2</v>
      </c>
      <c r="G157" s="3"/>
      <c r="H157" s="3"/>
      <c r="I157" s="3"/>
      <c r="J157" s="26">
        <f t="shared" si="37"/>
        <v>0</v>
      </c>
      <c r="K157" s="3"/>
      <c r="L157" s="3">
        <f t="shared" si="38"/>
        <v>18002.5</v>
      </c>
      <c r="M157" s="3"/>
      <c r="N157" s="26">
        <f t="shared" si="39"/>
        <v>0</v>
      </c>
      <c r="O157" s="9"/>
      <c r="P157" s="3">
        <f>--659472.2</f>
        <v>659472.19999999995</v>
      </c>
      <c r="Q157" s="3"/>
      <c r="R157" s="26">
        <f t="shared" si="40"/>
        <v>6.1665698006857339E-2</v>
      </c>
      <c r="S157" s="3"/>
      <c r="T157" s="3"/>
      <c r="U157" s="3"/>
      <c r="V157" s="26">
        <f t="shared" si="41"/>
        <v>0</v>
      </c>
      <c r="W157" s="3"/>
      <c r="X157" s="3">
        <f t="shared" si="42"/>
        <v>659472.19999999995</v>
      </c>
      <c r="Y157" s="3"/>
      <c r="Z157" s="26">
        <f t="shared" si="43"/>
        <v>0</v>
      </c>
    </row>
    <row r="158" spans="1:26" ht="15" customHeight="1" x14ac:dyDescent="0.3">
      <c r="A158" s="12"/>
      <c r="B158" s="13"/>
      <c r="C158" s="13"/>
      <c r="D158" s="4"/>
      <c r="E158" s="4"/>
      <c r="F158" s="10"/>
      <c r="G158" s="4"/>
      <c r="H158" s="4"/>
      <c r="I158" s="4"/>
      <c r="J158" s="10"/>
      <c r="K158" s="4"/>
      <c r="L158" s="4"/>
      <c r="M158" s="4"/>
      <c r="N158" s="10"/>
      <c r="O158" s="13"/>
      <c r="P158" s="4"/>
      <c r="Q158" s="4"/>
      <c r="R158" s="10"/>
      <c r="S158" s="4"/>
      <c r="T158" s="4"/>
      <c r="U158" s="4"/>
      <c r="V158" s="10"/>
      <c r="W158" s="4"/>
      <c r="X158" s="4"/>
      <c r="Y158" s="4"/>
      <c r="Z158" s="10"/>
    </row>
    <row r="159" spans="1:26" s="63" customFormat="1" ht="15" customHeight="1" x14ac:dyDescent="0.3">
      <c r="A159" s="13"/>
      <c r="B159" s="27" t="s">
        <v>292</v>
      </c>
      <c r="C159" s="27"/>
      <c r="D159" s="23">
        <f>+D56-D58+D150</f>
        <v>-240921.7300000001</v>
      </c>
      <c r="E159" s="15"/>
      <c r="F159" s="22">
        <f>IF(D$12=0,0,D159/D$12)</f>
        <v>-0.34886072422051162</v>
      </c>
      <c r="G159" s="15"/>
      <c r="H159" s="23">
        <f>+H56-H58+H150</f>
        <v>74824.857633924927</v>
      </c>
      <c r="I159" s="15"/>
      <c r="J159" s="22">
        <f>IF(H$12=0,0,H159/H$12)</f>
        <v>0.19146046972558328</v>
      </c>
      <c r="K159" s="17"/>
      <c r="L159" s="23">
        <f>+D159-H159</f>
        <v>-315746.58763392502</v>
      </c>
      <c r="M159" s="17"/>
      <c r="N159" s="22">
        <f>IF(H159=0,0,L159/H159)</f>
        <v>-4.2198087322623694</v>
      </c>
      <c r="O159" s="28"/>
      <c r="P159" s="23">
        <f>+P56-P58+P150</f>
        <v>1280677.7899999996</v>
      </c>
      <c r="Q159" s="15"/>
      <c r="R159" s="22">
        <f>IF(P$12=0,0,P159/P$12)</f>
        <v>0.11975317510310433</v>
      </c>
      <c r="S159" s="15"/>
      <c r="T159" s="23">
        <f>+T56-T58+T150</f>
        <v>903901.92382158199</v>
      </c>
      <c r="U159" s="15"/>
      <c r="V159" s="22">
        <f>IF(T$12=0,0,T159/T$12)</f>
        <v>8.0990615880540753E-2</v>
      </c>
      <c r="W159" s="17"/>
      <c r="X159" s="23">
        <f>+P159-T159</f>
        <v>376775.86617841758</v>
      </c>
      <c r="Y159" s="17"/>
      <c r="Z159" s="22">
        <f>IF(T159=0,0,X159/T159)</f>
        <v>0.41683268532658641</v>
      </c>
    </row>
    <row r="160" spans="1:26" ht="15" customHeight="1" x14ac:dyDescent="0.3">
      <c r="A160" s="12"/>
      <c r="B160" s="13"/>
      <c r="C160" s="12"/>
      <c r="D160" s="4"/>
      <c r="E160" s="4"/>
      <c r="F160" s="10"/>
      <c r="G160" s="4"/>
      <c r="H160" s="4"/>
      <c r="I160" s="4"/>
      <c r="J160" s="10"/>
      <c r="K160" s="4"/>
      <c r="L160" s="4"/>
      <c r="M160" s="4"/>
      <c r="N160" s="10"/>
      <c r="P160" s="4"/>
      <c r="Q160" s="4"/>
      <c r="R160" s="10"/>
      <c r="S160" s="4"/>
      <c r="T160" s="4"/>
      <c r="U160" s="4"/>
      <c r="V160" s="10"/>
      <c r="W160" s="4"/>
      <c r="X160" s="4"/>
      <c r="Y160" s="4"/>
      <c r="Z160" s="10"/>
    </row>
    <row r="161" spans="1:26" s="63" customFormat="1" ht="15" customHeight="1" x14ac:dyDescent="0.3">
      <c r="A161" s="49"/>
      <c r="B161" s="13" t="s">
        <v>293</v>
      </c>
      <c r="C161" s="13"/>
      <c r="D161" s="8">
        <v>-2357604.91</v>
      </c>
      <c r="E161" s="8"/>
      <c r="F161" s="14">
        <f>IF(D$12=0,0,D161/D$12)</f>
        <v>-3.4138712034337204</v>
      </c>
      <c r="G161" s="8"/>
      <c r="H161" s="8">
        <v>-69503</v>
      </c>
      <c r="I161" s="8"/>
      <c r="J161" s="14">
        <f>IF(H$12=0,0,H161/H$12)</f>
        <v>-0.17784299827793998</v>
      </c>
      <c r="K161" s="8"/>
      <c r="L161" s="8">
        <f>+D161-H161</f>
        <v>-2288101.91</v>
      </c>
      <c r="M161" s="8"/>
      <c r="N161" s="14">
        <f>IF(H161=0,0,L161/H161)</f>
        <v>32.920908593873648</v>
      </c>
      <c r="O161" s="13"/>
      <c r="P161" s="8">
        <v>-1232933.5900000001</v>
      </c>
      <c r="Q161" s="8"/>
      <c r="R161" s="14">
        <f>IF(P$12=0,0,P161/P$12)</f>
        <v>-0.11528872699023625</v>
      </c>
      <c r="S161" s="8"/>
      <c r="T161" s="8">
        <v>1265544</v>
      </c>
      <c r="U161" s="8"/>
      <c r="V161" s="14">
        <f>IF(T$12=0,0,T161/T$12)</f>
        <v>0.11339414739884393</v>
      </c>
      <c r="W161" s="8"/>
      <c r="X161" s="8">
        <f>+P161-T161</f>
        <v>-2498477.59</v>
      </c>
      <c r="Y161" s="8"/>
      <c r="Z161" s="14">
        <f>IF(T161=0,0,X161/T161)</f>
        <v>-1.9742321009779193</v>
      </c>
    </row>
    <row r="162" spans="1:26" ht="15" customHeight="1" x14ac:dyDescent="0.3">
      <c r="A162" s="12"/>
      <c r="B162" s="13"/>
      <c r="C162" s="13"/>
      <c r="D162" s="4"/>
      <c r="E162" s="4"/>
      <c r="F162" s="10"/>
      <c r="G162" s="4"/>
      <c r="H162" s="4"/>
      <c r="I162" s="4"/>
      <c r="J162" s="10"/>
      <c r="K162" s="4"/>
      <c r="L162" s="4"/>
      <c r="M162" s="4"/>
      <c r="N162" s="10"/>
      <c r="O162" s="13"/>
      <c r="P162" s="4"/>
      <c r="Q162" s="4"/>
      <c r="R162" s="10"/>
      <c r="S162" s="4"/>
      <c r="T162" s="4"/>
      <c r="U162" s="4"/>
      <c r="V162" s="10"/>
      <c r="W162" s="4"/>
      <c r="X162" s="4"/>
      <c r="Y162" s="4"/>
      <c r="Z162" s="10"/>
    </row>
    <row r="163" spans="1:26" s="63" customFormat="1" ht="15" customHeight="1" x14ac:dyDescent="0.3">
      <c r="A163" s="13"/>
      <c r="B163" s="27" t="s">
        <v>294</v>
      </c>
      <c r="C163" s="27"/>
      <c r="D163" s="30">
        <f>+D159-D161</f>
        <v>2116683.1800000002</v>
      </c>
      <c r="E163" s="15"/>
      <c r="F163" s="35">
        <f>IF(D$12=0,0,D163/D$12)</f>
        <v>3.0650104792132087</v>
      </c>
      <c r="G163" s="15"/>
      <c r="H163" s="30">
        <f>+H159-H161</f>
        <v>144327.85763392493</v>
      </c>
      <c r="I163" s="15"/>
      <c r="J163" s="35">
        <f>IF(H$12=0,0,H163/H$12)</f>
        <v>0.36930346800352326</v>
      </c>
      <c r="K163" s="17"/>
      <c r="L163" s="30">
        <f>D163-H163</f>
        <v>1972355.3223660751</v>
      </c>
      <c r="M163" s="17"/>
      <c r="N163" s="35">
        <f>IF(H163=0,0,L163/H163)</f>
        <v>13.6657978210193</v>
      </c>
      <c r="O163" s="28"/>
      <c r="P163" s="30">
        <f>+P159-P161</f>
        <v>2513611.38</v>
      </c>
      <c r="Q163" s="15"/>
      <c r="R163" s="35">
        <f>IF(P$12=0,0,P163/P$12)</f>
        <v>0.23504190209334061</v>
      </c>
      <c r="S163" s="15"/>
      <c r="T163" s="30">
        <f>+T159-T161</f>
        <v>-361642.07617841801</v>
      </c>
      <c r="U163" s="15"/>
      <c r="V163" s="35">
        <f>IF(T$12=0,0,T163/T$12)</f>
        <v>-3.2403531518303177E-2</v>
      </c>
      <c r="W163" s="17"/>
      <c r="X163" s="30">
        <f>P163-T163</f>
        <v>2875253.4561784179</v>
      </c>
      <c r="Y163" s="17"/>
      <c r="Z163" s="35">
        <f>IF(T163=0,0,X163/T163)</f>
        <v>-7.9505501311188596</v>
      </c>
    </row>
    <row r="164" spans="1:26" ht="15" customHeight="1" x14ac:dyDescent="0.3">
      <c r="A164" s="12"/>
      <c r="B164" s="12"/>
      <c r="C164" s="12"/>
      <c r="D164" s="4"/>
      <c r="E164" s="4"/>
      <c r="F164" s="10"/>
      <c r="G164" s="4"/>
      <c r="H164" s="4"/>
      <c r="I164" s="4"/>
      <c r="J164" s="10"/>
      <c r="K164" s="4"/>
      <c r="L164" s="4"/>
      <c r="M164" s="4"/>
      <c r="N164" s="10"/>
      <c r="P164" s="4"/>
      <c r="Q164" s="4"/>
      <c r="R164" s="10"/>
      <c r="S164" s="4"/>
      <c r="T164" s="4"/>
      <c r="U164" s="4"/>
      <c r="V164" s="10"/>
      <c r="W164" s="4"/>
      <c r="X164" s="4"/>
      <c r="Y164" s="4"/>
      <c r="Z164" s="10"/>
    </row>
    <row r="165" spans="1:26" ht="15" customHeight="1" x14ac:dyDescent="0.3">
      <c r="A165" s="12"/>
      <c r="B165" s="12"/>
      <c r="C165" s="12"/>
      <c r="D165" s="4"/>
      <c r="E165" s="4"/>
      <c r="F165" s="10"/>
      <c r="G165" s="4"/>
      <c r="H165" s="4"/>
      <c r="I165" s="4"/>
      <c r="J165" s="10"/>
      <c r="K165" s="4"/>
      <c r="L165" s="4"/>
      <c r="M165" s="4"/>
      <c r="N165" s="10"/>
      <c r="P165" s="4"/>
      <c r="Q165" s="4"/>
      <c r="R165" s="10"/>
      <c r="S165" s="4"/>
      <c r="T165" s="4"/>
      <c r="U165" s="4"/>
      <c r="V165" s="10"/>
      <c r="W165" s="4"/>
      <c r="X165" s="4"/>
      <c r="Y165" s="4"/>
      <c r="Z165" s="10"/>
    </row>
    <row r="166" spans="1:26" s="63" customFormat="1" ht="15" customHeight="1" x14ac:dyDescent="0.3">
      <c r="A166" s="13"/>
      <c r="B166" s="27" t="s">
        <v>297</v>
      </c>
      <c r="C166" s="27"/>
      <c r="D166" s="33">
        <f>SUM(D163:D165)</f>
        <v>2116683.1800000002</v>
      </c>
      <c r="E166" s="15"/>
      <c r="F166" s="31">
        <f>IF(D$12=0,0,D166/D$12)</f>
        <v>3.0650104792132087</v>
      </c>
      <c r="G166" s="15"/>
      <c r="H166" s="33">
        <f>SUM(H163:H165)</f>
        <v>144327.85763392493</v>
      </c>
      <c r="I166" s="15"/>
      <c r="J166" s="31">
        <f>IF(H$12=0,0,H166/H$12)</f>
        <v>0.36930346800352326</v>
      </c>
      <c r="K166" s="17"/>
      <c r="L166" s="33">
        <f>+D166-H166</f>
        <v>1972355.3223660751</v>
      </c>
      <c r="M166" s="17"/>
      <c r="N166" s="31">
        <f>IF(H166=0,0,L166/H166)</f>
        <v>13.6657978210193</v>
      </c>
      <c r="O166" s="28"/>
      <c r="P166" s="33">
        <f>SUM(P163:P165)</f>
        <v>2513611.38</v>
      </c>
      <c r="Q166" s="15"/>
      <c r="R166" s="31">
        <f>IF(P$12=0,0,P166/P$12)</f>
        <v>0.23504190209334061</v>
      </c>
      <c r="S166" s="15"/>
      <c r="T166" s="33">
        <f>SUM(T163:T165)</f>
        <v>-361642.07617841801</v>
      </c>
      <c r="U166" s="15"/>
      <c r="V166" s="31">
        <f>IF(T$12=0,0,T166/T$12)</f>
        <v>-3.2403531518303177E-2</v>
      </c>
      <c r="W166" s="17"/>
      <c r="X166" s="33">
        <f>+P166-T166</f>
        <v>2875253.4561784179</v>
      </c>
      <c r="Y166" s="17"/>
      <c r="Z166" s="31">
        <f>IF(T166=0,0,X166/T166)</f>
        <v>-7.9505501311188596</v>
      </c>
    </row>
    <row r="167" spans="1:26" ht="15" customHeight="1" x14ac:dyDescent="0.3">
      <c r="A167" s="12"/>
      <c r="C167" s="12"/>
      <c r="D167" s="19"/>
      <c r="E167" s="19"/>
      <c r="G167" s="19"/>
      <c r="H167" s="19"/>
      <c r="I167" s="19"/>
      <c r="J167" s="41"/>
      <c r="K167" s="19"/>
      <c r="L167" s="19"/>
      <c r="M167" s="19"/>
      <c r="P167" s="19"/>
      <c r="Q167" s="19"/>
      <c r="R167" s="41"/>
      <c r="S167" s="19"/>
      <c r="T167" s="19"/>
      <c r="U167" s="19"/>
      <c r="V167" s="41"/>
      <c r="W167" s="19"/>
      <c r="X167" s="19"/>
    </row>
    <row r="168" spans="1:26" ht="15" customHeight="1" x14ac:dyDescent="0.3">
      <c r="A168" s="12"/>
      <c r="B168" s="50">
        <v>44767.799535914353</v>
      </c>
      <c r="D168" s="19"/>
      <c r="E168" s="19"/>
      <c r="G168" s="19"/>
      <c r="H168" s="19"/>
      <c r="I168" s="19"/>
      <c r="J168" s="41"/>
      <c r="K168" s="19"/>
      <c r="L168" s="19"/>
      <c r="M168" s="19"/>
      <c r="P168" s="19"/>
      <c r="Q168" s="19"/>
      <c r="R168" s="41"/>
      <c r="S168" s="19"/>
      <c r="T168" s="19"/>
      <c r="U168" s="19"/>
      <c r="V168" s="41"/>
      <c r="W168" s="19"/>
      <c r="X168" s="19"/>
    </row>
    <row r="169" spans="1:26" ht="15" customHeight="1" x14ac:dyDescent="0.3">
      <c r="A169" s="12"/>
      <c r="B169" s="57" t="s">
        <v>298</v>
      </c>
      <c r="D169" s="19"/>
      <c r="E169" s="19"/>
      <c r="G169" s="19"/>
      <c r="H169" s="19"/>
      <c r="I169" s="19"/>
      <c r="J169" s="41"/>
      <c r="K169" s="19"/>
      <c r="L169" s="19"/>
      <c r="M169" s="19"/>
      <c r="P169" s="19"/>
      <c r="Q169" s="19"/>
      <c r="R169" s="41"/>
      <c r="S169" s="19"/>
      <c r="T169" s="19"/>
      <c r="U169" s="19"/>
      <c r="V169" s="41"/>
      <c r="W169" s="19"/>
      <c r="X169" s="19"/>
    </row>
    <row r="170" spans="1:26" ht="15" customHeight="1" x14ac:dyDescent="0.3">
      <c r="A170" s="12"/>
      <c r="B170" s="51"/>
      <c r="D170" s="19"/>
      <c r="E170" s="19"/>
      <c r="G170" s="19"/>
      <c r="H170" s="19"/>
      <c r="I170" s="19"/>
      <c r="J170" s="41"/>
      <c r="K170" s="19"/>
      <c r="L170" s="19"/>
      <c r="M170" s="19"/>
      <c r="P170" s="19"/>
      <c r="Q170" s="19"/>
      <c r="R170" s="41"/>
      <c r="S170" s="19"/>
      <c r="T170" s="19"/>
      <c r="U170" s="19"/>
      <c r="V170" s="41"/>
      <c r="W170" s="19"/>
      <c r="X170" s="19"/>
    </row>
    <row r="171" spans="1:26" ht="15" customHeight="1" x14ac:dyDescent="0.3">
      <c r="D171" s="19"/>
      <c r="E171" s="19"/>
      <c r="G171" s="19"/>
      <c r="H171" s="19"/>
      <c r="I171" s="19"/>
      <c r="J171" s="41"/>
      <c r="K171" s="19"/>
      <c r="L171" s="19"/>
      <c r="M171" s="19"/>
      <c r="P171" s="19"/>
      <c r="Q171" s="19"/>
      <c r="R171" s="41"/>
      <c r="S171" s="19"/>
      <c r="T171" s="19"/>
      <c r="U171" s="19"/>
      <c r="V171" s="41"/>
      <c r="W171" s="19"/>
      <c r="X171" s="19"/>
    </row>
  </sheetData>
  <pageMargins left="0.25" right="0.25" top="0.75" bottom="0.75" header="0.3" footer="0.3"/>
  <pageSetup scale="55" orientation="landscape" r:id="rId1"/>
  <headerFooter>
    <oddHeader>&amp;RPre-Audit</oddHeader>
    <oddFooter>&amp;L&amp;C&amp;R</oddFooter>
    <evenHeader>&amp;L&amp;C&amp;R</evenHeader>
    <evenFooter>&amp;L&amp;C&amp;R</even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18A094-9244-66E7-66FE-0B8E2AE9A241}">
  <sheetPr>
    <tabColor rgb="FF92D050"/>
    <outlinePr summaryBelow="0" summaryRight="0"/>
  </sheetPr>
  <dimension ref="A2:Z114"/>
  <sheetViews>
    <sheetView showGridLines="0" defaultGridColor="0" colorId="8" zoomScale="80" workbookViewId="0">
      <pane xSplit="3" ySplit="10" topLeftCell="D11" activePane="bottomRight" state="frozen"/>
      <selection activeCell="D78" sqref="D78"/>
      <selection pane="topRight" activeCell="D78" sqref="D78"/>
      <selection pane="bottomLeft" activeCell="D78" sqref="D78"/>
      <selection pane="bottomRight" activeCell="D78" sqref="D78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3" t="s">
        <v>276</v>
      </c>
    </row>
    <row r="3" spans="1:26" ht="15" customHeight="1" x14ac:dyDescent="0.3">
      <c r="D3" s="53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3" t="str">
        <f>CONCATENATE("Period ",RIGHT(202212,2),", ",2022)</f>
        <v>Period 12,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5"/>
      <c r="D5" s="60">
        <v>44742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5"/>
      <c r="B6" s="47"/>
      <c r="C6" s="47"/>
      <c r="D6" s="25" t="str">
        <f>CONCATENATE("Department ","301"," - ","Bookstore Operations")</f>
        <v>Department 301 - Bookstore Operations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4"/>
    </row>
    <row r="8" spans="1:26" ht="15" customHeight="1" x14ac:dyDescent="0.3">
      <c r="B8" s="54"/>
    </row>
    <row r="9" spans="1:26" ht="15" customHeight="1" x14ac:dyDescent="0.3">
      <c r="B9" s="12"/>
      <c r="C9" s="12"/>
      <c r="D9" s="16" t="s">
        <v>279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280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ht="15" customHeight="1" x14ac:dyDescent="0.3">
      <c r="A10" s="13"/>
      <c r="B10" s="52"/>
      <c r="C10" s="13"/>
      <c r="D10" s="40" t="s">
        <v>281</v>
      </c>
      <c r="E10" s="32"/>
      <c r="F10" s="39" t="s">
        <v>282</v>
      </c>
      <c r="G10" s="32"/>
      <c r="H10" s="45" t="s">
        <v>283</v>
      </c>
      <c r="I10" s="32"/>
      <c r="J10" s="42" t="s">
        <v>284</v>
      </c>
      <c r="K10" s="13"/>
      <c r="L10" s="40" t="s">
        <v>285</v>
      </c>
      <c r="M10" s="13"/>
      <c r="N10" s="39" t="s">
        <v>286</v>
      </c>
      <c r="O10" s="13"/>
      <c r="P10" s="55" t="s">
        <v>281</v>
      </c>
      <c r="Q10" s="32"/>
      <c r="R10" s="39" t="s">
        <v>282</v>
      </c>
      <c r="S10" s="32"/>
      <c r="T10" s="45" t="s">
        <v>283</v>
      </c>
      <c r="U10" s="32"/>
      <c r="V10" s="42" t="s">
        <v>284</v>
      </c>
      <c r="W10" s="13"/>
      <c r="X10" s="40" t="s">
        <v>285</v>
      </c>
      <c r="Y10" s="13"/>
      <c r="Z10" s="39" t="s">
        <v>286</v>
      </c>
    </row>
    <row r="11" spans="1:26" ht="16.5" customHeight="1" x14ac:dyDescent="0.3">
      <c r="A11" s="12"/>
      <c r="B11" s="58"/>
      <c r="C11" s="12"/>
      <c r="D11" s="12"/>
      <c r="E11" s="12"/>
      <c r="F11" s="10"/>
      <c r="G11" s="12"/>
      <c r="H11" s="12"/>
      <c r="I11" s="12"/>
      <c r="J11" s="43"/>
      <c r="K11" s="12"/>
      <c r="L11" s="12"/>
      <c r="M11" s="12"/>
      <c r="N11" s="10"/>
      <c r="P11" s="12"/>
      <c r="Q11" s="12"/>
      <c r="R11" s="10"/>
      <c r="S11" s="12"/>
      <c r="T11" s="12"/>
      <c r="U11" s="12"/>
      <c r="V11" s="43"/>
      <c r="W11" s="12"/>
      <c r="X11" s="12"/>
      <c r="Y11" s="12"/>
      <c r="Z11" s="10"/>
    </row>
    <row r="12" spans="1:26" s="63" customFormat="1" ht="15" customHeight="1" x14ac:dyDescent="0.3">
      <c r="A12" s="13"/>
      <c r="B12" s="28" t="s">
        <v>287</v>
      </c>
      <c r="C12" s="13"/>
      <c r="D12" s="8">
        <f>SUM(0)</f>
        <v>0</v>
      </c>
      <c r="E12" s="8"/>
      <c r="F12" s="14"/>
      <c r="G12" s="8"/>
      <c r="H12" s="8">
        <f>SUM(0)</f>
        <v>0</v>
      </c>
      <c r="I12" s="8"/>
      <c r="J12" s="14"/>
      <c r="K12" s="8"/>
      <c r="L12" s="8">
        <f>+D12-H12</f>
        <v>0</v>
      </c>
      <c r="M12" s="8"/>
      <c r="N12" s="14">
        <f>IF(H12=0,0,L12/H12)</f>
        <v>0</v>
      </c>
      <c r="O12" s="13"/>
      <c r="P12" s="8">
        <f>SUM(0)</f>
        <v>0</v>
      </c>
      <c r="Q12" s="8"/>
      <c r="R12" s="14"/>
      <c r="S12" s="8"/>
      <c r="T12" s="8">
        <f>SUM(0)</f>
        <v>0</v>
      </c>
      <c r="U12" s="8"/>
      <c r="V12" s="14"/>
      <c r="W12" s="8"/>
      <c r="X12" s="8">
        <f>+P12-T12</f>
        <v>0</v>
      </c>
      <c r="Y12" s="8"/>
      <c r="Z12" s="14">
        <f>IF(T12=0,0,X12/T12)</f>
        <v>0</v>
      </c>
    </row>
    <row r="13" spans="1:26" ht="15" customHeight="1" x14ac:dyDescent="0.3">
      <c r="A13" s="12"/>
      <c r="B13" s="13"/>
      <c r="C13" s="12"/>
      <c r="D13" s="4"/>
      <c r="E13" s="4"/>
      <c r="F13" s="10"/>
      <c r="G13" s="4"/>
      <c r="H13" s="4"/>
      <c r="I13" s="4"/>
      <c r="J13" s="10"/>
      <c r="K13" s="4"/>
      <c r="L13" s="4"/>
      <c r="M13" s="4"/>
      <c r="N13" s="10"/>
      <c r="P13" s="4"/>
      <c r="Q13" s="4"/>
      <c r="R13" s="10"/>
      <c r="S13" s="4"/>
      <c r="T13" s="4"/>
      <c r="U13" s="4"/>
      <c r="V13" s="10"/>
      <c r="W13" s="4"/>
      <c r="X13" s="4"/>
      <c r="Y13" s="4"/>
      <c r="Z13" s="10"/>
    </row>
    <row r="14" spans="1:26" s="63" customFormat="1" ht="15" customHeight="1" collapsed="1" x14ac:dyDescent="0.3">
      <c r="A14" s="13"/>
      <c r="B14" s="28" t="s">
        <v>288</v>
      </c>
      <c r="C14" s="13"/>
      <c r="D14" s="8">
        <f>SUM(OSRRefD16x_0)</f>
        <v>0</v>
      </c>
      <c r="E14" s="8"/>
      <c r="F14" s="14">
        <f>IF(D$12=0,0,D14/D$12)</f>
        <v>0</v>
      </c>
      <c r="G14" s="8"/>
      <c r="H14" s="8">
        <f>SUM(OSRRefH16x_0)</f>
        <v>0</v>
      </c>
      <c r="I14" s="8"/>
      <c r="J14" s="14">
        <f>IF(H$12=0,0,H14/H$12)</f>
        <v>0</v>
      </c>
      <c r="K14" s="8"/>
      <c r="L14" s="8">
        <f>+D14-H14</f>
        <v>0</v>
      </c>
      <c r="M14" s="8"/>
      <c r="N14" s="14">
        <f>IF(H14=0,0,L14/H14)</f>
        <v>0</v>
      </c>
      <c r="O14" s="13"/>
      <c r="P14" s="8">
        <f>SUM(OSRRefP16x_0)</f>
        <v>0</v>
      </c>
      <c r="Q14" s="8"/>
      <c r="R14" s="14">
        <f>IF(P$12=0,0,P14/P$12)</f>
        <v>0</v>
      </c>
      <c r="S14" s="8"/>
      <c r="T14" s="8">
        <f>SUM(OSRRefT16x_0)</f>
        <v>0</v>
      </c>
      <c r="U14" s="8"/>
      <c r="V14" s="14">
        <f>IF(T$12=0,0,T14/T$12)</f>
        <v>0</v>
      </c>
      <c r="W14" s="8"/>
      <c r="X14" s="8">
        <f>+P14-T14</f>
        <v>0</v>
      </c>
      <c r="Y14" s="8"/>
      <c r="Z14" s="14">
        <f>IF(T14=0,0,X14/T14)</f>
        <v>0</v>
      </c>
    </row>
    <row r="15" spans="1:26" s="70" customFormat="1" ht="15" hidden="1" customHeight="1" outlineLevel="1" x14ac:dyDescent="0.3">
      <c r="A15" s="48"/>
      <c r="B15" s="9" t="str">
        <f>CONCATENATE("          ","5000"," - ","PURCHASES @ COST")</f>
        <v xml:space="preserve">          5000 - PURCHASES @ COST</v>
      </c>
      <c r="C15" s="9"/>
      <c r="D15" s="3"/>
      <c r="E15" s="3"/>
      <c r="F15" s="26">
        <f>IF(D$12=0,0,D15/D$12)</f>
        <v>0</v>
      </c>
      <c r="G15" s="3"/>
      <c r="H15" s="3"/>
      <c r="I15" s="3"/>
      <c r="J15" s="26">
        <f>IF(H$12=0,0,H15/H$12)</f>
        <v>0</v>
      </c>
      <c r="K15" s="3"/>
      <c r="L15" s="3">
        <f>+D15-H15</f>
        <v>0</v>
      </c>
      <c r="M15" s="3"/>
      <c r="N15" s="26">
        <f>IF(H15=0,0,L15/H15)</f>
        <v>0</v>
      </c>
      <c r="O15" s="9"/>
      <c r="P15" s="3">
        <v>0</v>
      </c>
      <c r="Q15" s="3"/>
      <c r="R15" s="26">
        <f>IF(P$12=0,0,P15/P$12)</f>
        <v>0</v>
      </c>
      <c r="S15" s="3"/>
      <c r="T15" s="3"/>
      <c r="U15" s="3"/>
      <c r="V15" s="26">
        <f>IF(T$12=0,0,T15/T$12)</f>
        <v>0</v>
      </c>
      <c r="W15" s="3"/>
      <c r="X15" s="3">
        <f>+P15-T15</f>
        <v>0</v>
      </c>
      <c r="Y15" s="3"/>
      <c r="Z15" s="26">
        <f>IF(T15=0,0,X15/T15)</f>
        <v>0</v>
      </c>
    </row>
    <row r="16" spans="1:26" ht="15" customHeight="1" x14ac:dyDescent="0.3">
      <c r="A16" s="12"/>
      <c r="B16" s="13"/>
      <c r="C16" s="13"/>
      <c r="D16" s="4"/>
      <c r="E16" s="4"/>
      <c r="F16" s="10"/>
      <c r="G16" s="4"/>
      <c r="H16" s="4"/>
      <c r="I16" s="4"/>
      <c r="J16" s="10"/>
      <c r="K16" s="4"/>
      <c r="L16" s="4"/>
      <c r="M16" s="4"/>
      <c r="N16" s="10"/>
      <c r="O16" s="13"/>
      <c r="P16" s="4"/>
      <c r="Q16" s="4"/>
      <c r="R16" s="10"/>
      <c r="S16" s="4"/>
      <c r="T16" s="4"/>
      <c r="U16" s="4"/>
      <c r="V16" s="10"/>
      <c r="W16" s="4"/>
      <c r="X16" s="4"/>
      <c r="Y16" s="4"/>
      <c r="Z16" s="10"/>
    </row>
    <row r="17" spans="1:26" s="63" customFormat="1" ht="15" customHeight="1" x14ac:dyDescent="0.3">
      <c r="A17" s="13"/>
      <c r="B17" s="27" t="s">
        <v>289</v>
      </c>
      <c r="C17" s="27"/>
      <c r="D17" s="23">
        <f>D12-D14</f>
        <v>0</v>
      </c>
      <c r="E17" s="15"/>
      <c r="F17" s="22">
        <f>IF(D$12=0,0,D17/D$12)</f>
        <v>0</v>
      </c>
      <c r="G17" s="15"/>
      <c r="H17" s="23">
        <f>H12-H14</f>
        <v>0</v>
      </c>
      <c r="I17" s="15"/>
      <c r="J17" s="22">
        <f>IF(H$12=0,0,H17/H$12)</f>
        <v>0</v>
      </c>
      <c r="K17" s="17"/>
      <c r="L17" s="23">
        <f>+D17-H17</f>
        <v>0</v>
      </c>
      <c r="M17" s="17"/>
      <c r="N17" s="22">
        <f>IF(H17=0,0,L17/H17)</f>
        <v>0</v>
      </c>
      <c r="O17" s="28"/>
      <c r="P17" s="23">
        <f>P12-P14</f>
        <v>0</v>
      </c>
      <c r="Q17" s="15"/>
      <c r="R17" s="22">
        <f>IF(P$12=0,0,P17/P$12)</f>
        <v>0</v>
      </c>
      <c r="S17" s="15"/>
      <c r="T17" s="23">
        <f>T12-T14</f>
        <v>0</v>
      </c>
      <c r="U17" s="15"/>
      <c r="V17" s="22">
        <f>IF(T$12=0,0,T17/T$12)</f>
        <v>0</v>
      </c>
      <c r="W17" s="17"/>
      <c r="X17" s="23">
        <f>+P17-T17</f>
        <v>0</v>
      </c>
      <c r="Y17" s="17"/>
      <c r="Z17" s="22">
        <f>IF(T17=0,0,X17/T17)</f>
        <v>0</v>
      </c>
    </row>
    <row r="18" spans="1:26" ht="15" customHeight="1" x14ac:dyDescent="0.3">
      <c r="A18" s="12"/>
      <c r="B18" s="13"/>
      <c r="C18" s="12"/>
      <c r="D18" s="2"/>
      <c r="E18" s="2"/>
      <c r="F18" s="5"/>
      <c r="G18" s="2"/>
      <c r="H18" s="2"/>
      <c r="I18" s="2"/>
      <c r="J18" s="5"/>
      <c r="K18" s="2"/>
      <c r="L18" s="2"/>
      <c r="M18" s="2"/>
      <c r="N18" s="5"/>
      <c r="O18" s="36"/>
      <c r="P18" s="2"/>
      <c r="Q18" s="2"/>
      <c r="R18" s="5"/>
      <c r="S18" s="2"/>
      <c r="T18" s="2"/>
      <c r="U18" s="2"/>
      <c r="V18" s="5"/>
      <c r="W18" s="2"/>
      <c r="X18" s="2"/>
      <c r="Y18" s="2"/>
      <c r="Z18" s="5"/>
    </row>
    <row r="19" spans="1:26" s="63" customFormat="1" ht="15" customHeight="1" x14ac:dyDescent="0.3">
      <c r="A19" s="13"/>
      <c r="B19" s="28" t="s">
        <v>290</v>
      </c>
      <c r="C19" s="13"/>
      <c r="D19" s="24" cm="1">
        <f t="array" ref="D19">SUM(OSRRefD22x_0)</f>
        <v>131379.96</v>
      </c>
      <c r="E19" s="24"/>
      <c r="F19" s="34">
        <f t="shared" ref="F19:F50" si="0">IF(D$12=0,0,D19/D$12)</f>
        <v>0</v>
      </c>
      <c r="G19" s="24"/>
      <c r="H19" s="24" cm="1">
        <f t="array" ref="H19">SUM(OSRRefH22x_0)</f>
        <v>84563.498496557688</v>
      </c>
      <c r="I19" s="24"/>
      <c r="J19" s="34">
        <f t="shared" ref="J19:J50" si="1">IF(H$12=0,0,H19/H$12)</f>
        <v>0</v>
      </c>
      <c r="K19" s="8"/>
      <c r="L19" s="24">
        <f t="shared" ref="L19:L50" si="2">+D19-H19</f>
        <v>46816.461503442304</v>
      </c>
      <c r="M19" s="8"/>
      <c r="N19" s="34">
        <f t="shared" ref="N19:N50" si="3">IF(H19=0,0,L19/H19)</f>
        <v>0.55362493671365853</v>
      </c>
      <c r="O19" s="13"/>
      <c r="P19" s="24" cm="1">
        <f t="array" ref="P19">SUM(OSRRefP22x_0)</f>
        <v>1695484.3599999996</v>
      </c>
      <c r="Q19" s="24"/>
      <c r="R19" s="34">
        <f t="shared" ref="R19:R50" si="4">IF(P$12=0,0,P19/P$12)</f>
        <v>0</v>
      </c>
      <c r="S19" s="24"/>
      <c r="T19" s="24" cm="1">
        <f t="array" ref="T19">SUM(OSRRefT22x_0)</f>
        <v>1498625.2569776</v>
      </c>
      <c r="U19" s="24"/>
      <c r="V19" s="34">
        <f t="shared" ref="V19:V50" si="5">IF(T$12=0,0,T19/T$12)</f>
        <v>0</v>
      </c>
      <c r="W19" s="8"/>
      <c r="X19" s="24">
        <f t="shared" ref="X19:X50" si="6">+P19-T19</f>
        <v>196859.10302239959</v>
      </c>
      <c r="Y19" s="8"/>
      <c r="Z19" s="34">
        <f t="shared" ref="Z19:Z50" si="7">IF(T19=0,0,X19/T19)</f>
        <v>0.13135979265384959</v>
      </c>
    </row>
    <row r="20" spans="1:26" s="69" customFormat="1" ht="15" customHeight="1" outlineLevel="1" collapsed="1" x14ac:dyDescent="0.3">
      <c r="A20" s="20"/>
      <c r="B20" s="11" t="str">
        <f>CONCATENATE("     ","*Benefits                                         ")</f>
        <v xml:space="preserve">     *Benefits                                         </v>
      </c>
      <c r="C20" s="11"/>
      <c r="D20" s="2">
        <f>SUM(OSRRefD22_0x_0)</f>
        <v>9187.4</v>
      </c>
      <c r="E20" s="2"/>
      <c r="F20" s="5">
        <f t="shared" si="0"/>
        <v>0</v>
      </c>
      <c r="G20" s="2"/>
      <c r="H20" s="2">
        <f>SUM(OSRRefH22_0x_0)</f>
        <v>5486.4016542499958</v>
      </c>
      <c r="I20" s="2"/>
      <c r="J20" s="5">
        <f t="shared" si="1"/>
        <v>0</v>
      </c>
      <c r="K20" s="2"/>
      <c r="L20" s="2">
        <f t="shared" si="2"/>
        <v>3700.9983457500039</v>
      </c>
      <c r="M20" s="2"/>
      <c r="N20" s="5">
        <f t="shared" si="3"/>
        <v>0.67457663127581191</v>
      </c>
      <c r="O20" s="11"/>
      <c r="P20" s="2">
        <f>SUM(OSRRefP22_0x_0)</f>
        <v>168437</v>
      </c>
      <c r="Q20" s="2"/>
      <c r="R20" s="5">
        <f t="shared" si="4"/>
        <v>0</v>
      </c>
      <c r="S20" s="2"/>
      <c r="T20" s="2">
        <f>SUM(OSRRefT22_0x_0)</f>
        <v>68587.050652599995</v>
      </c>
      <c r="U20" s="2"/>
      <c r="V20" s="5">
        <f t="shared" si="5"/>
        <v>0</v>
      </c>
      <c r="W20" s="2"/>
      <c r="X20" s="2">
        <f t="shared" si="6"/>
        <v>99849.949347400005</v>
      </c>
      <c r="Y20" s="2"/>
      <c r="Z20" s="5">
        <f t="shared" si="7"/>
        <v>1.4558134282978517</v>
      </c>
    </row>
    <row r="21" spans="1:26" s="70" customFormat="1" ht="15" hidden="1" customHeight="1" outlineLevel="2" x14ac:dyDescent="0.3">
      <c r="A21" s="21"/>
      <c r="B21" s="9" t="str">
        <f>CONCATENATE("          ","6111"," - ","F.I.C.A.")</f>
        <v xml:space="preserve">          6111 - F.I.C.A.</v>
      </c>
      <c r="C21" s="9"/>
      <c r="D21" s="6">
        <v>3468.62</v>
      </c>
      <c r="E21" s="3"/>
      <c r="F21" s="7">
        <f t="shared" si="0"/>
        <v>0</v>
      </c>
      <c r="G21" s="3"/>
      <c r="H21" s="6">
        <v>2243.8341390576902</v>
      </c>
      <c r="I21" s="3"/>
      <c r="J21" s="7">
        <f t="shared" si="1"/>
        <v>0</v>
      </c>
      <c r="K21" s="3"/>
      <c r="L21" s="6">
        <f t="shared" si="2"/>
        <v>1224.7858609423097</v>
      </c>
      <c r="M21" s="3"/>
      <c r="N21" s="7">
        <f t="shared" si="3"/>
        <v>0.54584509595556152</v>
      </c>
      <c r="O21" s="9"/>
      <c r="P21" s="6">
        <v>32182.43</v>
      </c>
      <c r="Q21" s="3"/>
      <c r="R21" s="7">
        <f t="shared" si="4"/>
        <v>0</v>
      </c>
      <c r="S21" s="3"/>
      <c r="T21" s="6">
        <v>18659.95747935</v>
      </c>
      <c r="U21" s="3"/>
      <c r="V21" s="7">
        <f t="shared" si="5"/>
        <v>0</v>
      </c>
      <c r="W21" s="3"/>
      <c r="X21" s="6">
        <f t="shared" si="6"/>
        <v>13522.472520650001</v>
      </c>
      <c r="Y21" s="3"/>
      <c r="Z21" s="7">
        <f t="shared" si="7"/>
        <v>0.724678635287064</v>
      </c>
    </row>
    <row r="22" spans="1:26" s="70" customFormat="1" ht="15" hidden="1" customHeight="1" outlineLevel="2" x14ac:dyDescent="0.3">
      <c r="A22" s="21"/>
      <c r="B22" s="9" t="str">
        <f>CONCATENATE("          ","6112"," - ","COMPENSATION INSURANCE")</f>
        <v xml:space="preserve">          6112 - COMPENSATION INSURANCE</v>
      </c>
      <c r="C22" s="9"/>
      <c r="D22" s="6">
        <v>-5298.61</v>
      </c>
      <c r="E22" s="3"/>
      <c r="F22" s="7">
        <f t="shared" si="0"/>
        <v>0</v>
      </c>
      <c r="G22" s="3"/>
      <c r="H22" s="6">
        <v>457.38681000000003</v>
      </c>
      <c r="I22" s="3"/>
      <c r="J22" s="7">
        <f t="shared" si="1"/>
        <v>0</v>
      </c>
      <c r="K22" s="3"/>
      <c r="L22" s="6">
        <f t="shared" si="2"/>
        <v>-5755.9968099999996</v>
      </c>
      <c r="M22" s="3"/>
      <c r="N22" s="7">
        <f t="shared" si="3"/>
        <v>-12.584527328192957</v>
      </c>
      <c r="O22" s="9"/>
      <c r="P22" s="6">
        <v>3371.82</v>
      </c>
      <c r="Q22" s="3"/>
      <c r="R22" s="7">
        <f t="shared" si="4"/>
        <v>0</v>
      </c>
      <c r="S22" s="3"/>
      <c r="T22" s="6">
        <v>8714.3631509999996</v>
      </c>
      <c r="U22" s="3"/>
      <c r="V22" s="7">
        <f t="shared" si="5"/>
        <v>0</v>
      </c>
      <c r="W22" s="3"/>
      <c r="X22" s="6">
        <f t="shared" si="6"/>
        <v>-5342.5431509999999</v>
      </c>
      <c r="Y22" s="3"/>
      <c r="Z22" s="7">
        <f t="shared" si="7"/>
        <v>-0.61307327436623149</v>
      </c>
    </row>
    <row r="23" spans="1:26" s="70" customFormat="1" ht="15" hidden="1" customHeight="1" outlineLevel="2" x14ac:dyDescent="0.3">
      <c r="A23" s="21"/>
      <c r="B23" s="9" t="str">
        <f>CONCATENATE("          ","6113"," - ","GROUP INSURANCE")</f>
        <v xml:space="preserve">          6113 - GROUP INSURANCE</v>
      </c>
      <c r="C23" s="9"/>
      <c r="D23" s="6">
        <v>5483.07</v>
      </c>
      <c r="E23" s="3"/>
      <c r="F23" s="7">
        <f t="shared" si="0"/>
        <v>0</v>
      </c>
      <c r="G23" s="3"/>
      <c r="H23" s="6">
        <v>1303</v>
      </c>
      <c r="I23" s="3"/>
      <c r="J23" s="7">
        <f t="shared" si="1"/>
        <v>0</v>
      </c>
      <c r="K23" s="3"/>
      <c r="L23" s="6">
        <f t="shared" si="2"/>
        <v>4180.07</v>
      </c>
      <c r="M23" s="3"/>
      <c r="N23" s="7">
        <f t="shared" si="3"/>
        <v>3.2080353031465845</v>
      </c>
      <c r="O23" s="9"/>
      <c r="P23" s="6">
        <v>62287</v>
      </c>
      <c r="Q23" s="3"/>
      <c r="R23" s="7">
        <f t="shared" si="4"/>
        <v>0</v>
      </c>
      <c r="S23" s="3"/>
      <c r="T23" s="6">
        <v>16248</v>
      </c>
      <c r="U23" s="3"/>
      <c r="V23" s="7">
        <f t="shared" si="5"/>
        <v>0</v>
      </c>
      <c r="W23" s="3"/>
      <c r="X23" s="6">
        <f t="shared" si="6"/>
        <v>46039</v>
      </c>
      <c r="Y23" s="3"/>
      <c r="Z23" s="7">
        <f t="shared" si="7"/>
        <v>2.8335179714426393</v>
      </c>
    </row>
    <row r="24" spans="1:26" s="70" customFormat="1" ht="15" hidden="1" customHeight="1" outlineLevel="2" x14ac:dyDescent="0.3">
      <c r="A24" s="21"/>
      <c r="B24" s="9" t="str">
        <f>CONCATENATE("          ","6114"," - ","STATE UNEMPLOYMENT INSURANCE")</f>
        <v xml:space="preserve">          6114 - STATE UNEMPLOYMENT INSURANCE</v>
      </c>
      <c r="C24" s="9"/>
      <c r="D24" s="6"/>
      <c r="E24" s="3"/>
      <c r="F24" s="7">
        <f t="shared" si="0"/>
        <v>0</v>
      </c>
      <c r="G24" s="3"/>
      <c r="H24" s="6">
        <v>61.571301346153803</v>
      </c>
      <c r="I24" s="3"/>
      <c r="J24" s="7">
        <f t="shared" si="1"/>
        <v>0</v>
      </c>
      <c r="K24" s="3"/>
      <c r="L24" s="6">
        <f t="shared" si="2"/>
        <v>-61.571301346153803</v>
      </c>
      <c r="M24" s="3"/>
      <c r="N24" s="7">
        <f t="shared" si="3"/>
        <v>-1</v>
      </c>
      <c r="O24" s="9"/>
      <c r="P24" s="6">
        <v>1547.54</v>
      </c>
      <c r="Q24" s="3"/>
      <c r="R24" s="7">
        <f t="shared" si="4"/>
        <v>0</v>
      </c>
      <c r="S24" s="3"/>
      <c r="T24" s="6">
        <v>1173.08734725</v>
      </c>
      <c r="U24" s="3"/>
      <c r="V24" s="7">
        <f t="shared" si="5"/>
        <v>0</v>
      </c>
      <c r="W24" s="3"/>
      <c r="X24" s="6">
        <f t="shared" si="6"/>
        <v>374.45265274999997</v>
      </c>
      <c r="Y24" s="3"/>
      <c r="Z24" s="7">
        <f t="shared" si="7"/>
        <v>0.31920270355639535</v>
      </c>
    </row>
    <row r="25" spans="1:26" s="70" customFormat="1" ht="15" hidden="1" customHeight="1" outlineLevel="2" x14ac:dyDescent="0.3">
      <c r="A25" s="21"/>
      <c r="B25" s="9" t="str">
        <f>CONCATENATE("          ","6115"," - ","P.E.R.S.")</f>
        <v xml:space="preserve">          6115 - P.E.R.S.</v>
      </c>
      <c r="C25" s="9"/>
      <c r="D25" s="6">
        <v>1504.56</v>
      </c>
      <c r="E25" s="3"/>
      <c r="F25" s="7">
        <f t="shared" si="0"/>
        <v>0</v>
      </c>
      <c r="G25" s="3"/>
      <c r="H25" s="6">
        <v>374.76153846153801</v>
      </c>
      <c r="I25" s="3"/>
      <c r="J25" s="7">
        <f t="shared" si="1"/>
        <v>0</v>
      </c>
      <c r="K25" s="3"/>
      <c r="L25" s="6">
        <f t="shared" si="2"/>
        <v>1129.7984615384619</v>
      </c>
      <c r="M25" s="3"/>
      <c r="N25" s="7">
        <f t="shared" si="3"/>
        <v>3.0147129456680193</v>
      </c>
      <c r="O25" s="9"/>
      <c r="P25" s="6">
        <v>19899.669999999998</v>
      </c>
      <c r="Q25" s="3"/>
      <c r="R25" s="7">
        <f t="shared" si="4"/>
        <v>0</v>
      </c>
      <c r="S25" s="3"/>
      <c r="T25" s="6">
        <v>4871.8999999999996</v>
      </c>
      <c r="U25" s="3"/>
      <c r="V25" s="7">
        <f t="shared" si="5"/>
        <v>0</v>
      </c>
      <c r="W25" s="3"/>
      <c r="X25" s="6">
        <f t="shared" si="6"/>
        <v>15027.769999999999</v>
      </c>
      <c r="Y25" s="3"/>
      <c r="Z25" s="7">
        <f t="shared" si="7"/>
        <v>3.0845809643055069</v>
      </c>
    </row>
    <row r="26" spans="1:26" s="70" customFormat="1" ht="15" hidden="1" customHeight="1" outlineLevel="2" x14ac:dyDescent="0.3">
      <c r="A26" s="21"/>
      <c r="B26" s="9" t="str">
        <f>CONCATENATE("          ","6116"," - ","EDUCATIONAL BENEFITS")</f>
        <v xml:space="preserve">          6116 - EDUCATIONAL BENEFITS</v>
      </c>
      <c r="C26" s="9"/>
      <c r="D26" s="6"/>
      <c r="E26" s="3"/>
      <c r="F26" s="7">
        <f t="shared" si="0"/>
        <v>0</v>
      </c>
      <c r="G26" s="3"/>
      <c r="H26" s="6">
        <v>0</v>
      </c>
      <c r="I26" s="3"/>
      <c r="J26" s="7">
        <f t="shared" si="1"/>
        <v>0</v>
      </c>
      <c r="K26" s="3"/>
      <c r="L26" s="6">
        <f t="shared" si="2"/>
        <v>0</v>
      </c>
      <c r="M26" s="3"/>
      <c r="N26" s="7">
        <f t="shared" si="3"/>
        <v>0</v>
      </c>
      <c r="O26" s="9"/>
      <c r="P26" s="6"/>
      <c r="Q26" s="3"/>
      <c r="R26" s="7">
        <f t="shared" si="4"/>
        <v>0</v>
      </c>
      <c r="S26" s="3"/>
      <c r="T26" s="6">
        <v>0</v>
      </c>
      <c r="U26" s="3"/>
      <c r="V26" s="7">
        <f t="shared" si="5"/>
        <v>0</v>
      </c>
      <c r="W26" s="3"/>
      <c r="X26" s="6">
        <f t="shared" si="6"/>
        <v>0</v>
      </c>
      <c r="Y26" s="3"/>
      <c r="Z26" s="7">
        <f t="shared" si="7"/>
        <v>0</v>
      </c>
    </row>
    <row r="27" spans="1:26" s="70" customFormat="1" ht="15" hidden="1" customHeight="1" outlineLevel="2" x14ac:dyDescent="0.3">
      <c r="A27" s="21"/>
      <c r="B27" s="9" t="str">
        <f>CONCATENATE("          ","6117"," - ","RETIREMENT STAFF HOURLY")</f>
        <v xml:space="preserve">          6117 - RETIREMENT STAFF HOURLY</v>
      </c>
      <c r="C27" s="9"/>
      <c r="D27" s="6">
        <v>487.5</v>
      </c>
      <c r="E27" s="3"/>
      <c r="F27" s="7">
        <f t="shared" si="0"/>
        <v>0</v>
      </c>
      <c r="G27" s="3"/>
      <c r="H27" s="6"/>
      <c r="I27" s="3"/>
      <c r="J27" s="7">
        <f t="shared" si="1"/>
        <v>0</v>
      </c>
      <c r="K27" s="3"/>
      <c r="L27" s="6">
        <f t="shared" si="2"/>
        <v>487.5</v>
      </c>
      <c r="M27" s="3"/>
      <c r="N27" s="7">
        <f t="shared" si="3"/>
        <v>0</v>
      </c>
      <c r="O27" s="9"/>
      <c r="P27" s="6">
        <v>4647.32</v>
      </c>
      <c r="Q27" s="3"/>
      <c r="R27" s="7">
        <f t="shared" si="4"/>
        <v>0</v>
      </c>
      <c r="S27" s="3"/>
      <c r="T27" s="6"/>
      <c r="U27" s="3"/>
      <c r="V27" s="7">
        <f t="shared" si="5"/>
        <v>0</v>
      </c>
      <c r="W27" s="3"/>
      <c r="X27" s="6">
        <f t="shared" si="6"/>
        <v>4647.32</v>
      </c>
      <c r="Y27" s="3"/>
      <c r="Z27" s="7">
        <f t="shared" si="7"/>
        <v>0</v>
      </c>
    </row>
    <row r="28" spans="1:26" s="70" customFormat="1" ht="15" hidden="1" customHeight="1" outlineLevel="2" x14ac:dyDescent="0.3">
      <c r="A28" s="21"/>
      <c r="B28" s="9" t="str">
        <f>CONCATENATE("          ","6118"," - ","VACATION")</f>
        <v xml:space="preserve">          6118 - VACATION</v>
      </c>
      <c r="C28" s="9"/>
      <c r="D28" s="6">
        <v>1605.49</v>
      </c>
      <c r="E28" s="3"/>
      <c r="F28" s="7">
        <f t="shared" si="0"/>
        <v>0</v>
      </c>
      <c r="G28" s="3"/>
      <c r="H28" s="6">
        <v>249.386769230769</v>
      </c>
      <c r="I28" s="3"/>
      <c r="J28" s="7">
        <f t="shared" si="1"/>
        <v>0</v>
      </c>
      <c r="K28" s="3"/>
      <c r="L28" s="6">
        <f t="shared" si="2"/>
        <v>1356.103230769231</v>
      </c>
      <c r="M28" s="3"/>
      <c r="N28" s="7">
        <f t="shared" si="3"/>
        <v>5.4377513087487275</v>
      </c>
      <c r="O28" s="9"/>
      <c r="P28" s="6">
        <v>19382.27</v>
      </c>
      <c r="Q28" s="3"/>
      <c r="R28" s="7">
        <f t="shared" si="4"/>
        <v>0</v>
      </c>
      <c r="S28" s="3"/>
      <c r="T28" s="6">
        <v>3242.0279999999998</v>
      </c>
      <c r="U28" s="3"/>
      <c r="V28" s="7">
        <f t="shared" si="5"/>
        <v>0</v>
      </c>
      <c r="W28" s="3"/>
      <c r="X28" s="6">
        <f t="shared" si="6"/>
        <v>16140.242</v>
      </c>
      <c r="Y28" s="3"/>
      <c r="Z28" s="7">
        <f t="shared" si="7"/>
        <v>4.9784400381489613</v>
      </c>
    </row>
    <row r="29" spans="1:26" s="70" customFormat="1" ht="15" hidden="1" customHeight="1" outlineLevel="2" x14ac:dyDescent="0.3">
      <c r="A29" s="21"/>
      <c r="B29" s="9" t="str">
        <f>CONCATENATE("          ","6119"," - ","SICK LEAVE")</f>
        <v xml:space="preserve">          6119 - SICK LEAVE</v>
      </c>
      <c r="C29" s="9"/>
      <c r="D29" s="6">
        <v>1093.08</v>
      </c>
      <c r="E29" s="3"/>
      <c r="F29" s="7">
        <f t="shared" si="0"/>
        <v>0</v>
      </c>
      <c r="G29" s="3"/>
      <c r="H29" s="6">
        <v>796.46109615384603</v>
      </c>
      <c r="I29" s="3"/>
      <c r="J29" s="7">
        <f t="shared" si="1"/>
        <v>0</v>
      </c>
      <c r="K29" s="3"/>
      <c r="L29" s="6">
        <f t="shared" si="2"/>
        <v>296.6189038461539</v>
      </c>
      <c r="M29" s="3"/>
      <c r="N29" s="7">
        <f t="shared" si="3"/>
        <v>0.37242108281062658</v>
      </c>
      <c r="O29" s="9"/>
      <c r="P29" s="6">
        <v>16460.29</v>
      </c>
      <c r="Q29" s="3"/>
      <c r="R29" s="7">
        <f t="shared" si="4"/>
        <v>0</v>
      </c>
      <c r="S29" s="3"/>
      <c r="T29" s="6">
        <v>15677.714674999999</v>
      </c>
      <c r="U29" s="3"/>
      <c r="V29" s="7">
        <f t="shared" si="5"/>
        <v>0</v>
      </c>
      <c r="W29" s="3"/>
      <c r="X29" s="6">
        <f t="shared" si="6"/>
        <v>782.57532500000161</v>
      </c>
      <c r="Y29" s="3"/>
      <c r="Z29" s="7">
        <f t="shared" si="7"/>
        <v>4.991641583118693E-2</v>
      </c>
    </row>
    <row r="30" spans="1:26" s="70" customFormat="1" ht="15" hidden="1" customHeight="1" outlineLevel="2" x14ac:dyDescent="0.3">
      <c r="A30" s="21"/>
      <c r="B30" s="9" t="str">
        <f>CONCATENATE("          ","6156"," - ","EMPLOYEE MEALS")</f>
        <v xml:space="preserve">          6156 - EMPLOYEE MEALS</v>
      </c>
      <c r="C30" s="9"/>
      <c r="D30" s="6">
        <v>843.69</v>
      </c>
      <c r="E30" s="3"/>
      <c r="F30" s="7">
        <f t="shared" si="0"/>
        <v>0</v>
      </c>
      <c r="G30" s="3"/>
      <c r="H30" s="6"/>
      <c r="I30" s="3"/>
      <c r="J30" s="7">
        <f t="shared" si="1"/>
        <v>0</v>
      </c>
      <c r="K30" s="3"/>
      <c r="L30" s="6">
        <f t="shared" si="2"/>
        <v>843.69</v>
      </c>
      <c r="M30" s="3"/>
      <c r="N30" s="7">
        <f t="shared" si="3"/>
        <v>0</v>
      </c>
      <c r="O30" s="9"/>
      <c r="P30" s="6">
        <v>8658.66</v>
      </c>
      <c r="Q30" s="3"/>
      <c r="R30" s="7">
        <f t="shared" si="4"/>
        <v>0</v>
      </c>
      <c r="S30" s="3"/>
      <c r="T30" s="6"/>
      <c r="U30" s="3"/>
      <c r="V30" s="7">
        <f t="shared" si="5"/>
        <v>0</v>
      </c>
      <c r="W30" s="3"/>
      <c r="X30" s="6">
        <f t="shared" si="6"/>
        <v>8658.66</v>
      </c>
      <c r="Y30" s="3"/>
      <c r="Z30" s="7">
        <f t="shared" si="7"/>
        <v>0</v>
      </c>
    </row>
    <row r="31" spans="1:26" s="69" customFormat="1" ht="15" customHeight="1" outlineLevel="1" collapsed="1" x14ac:dyDescent="0.3">
      <c r="A31" s="20"/>
      <c r="B31" s="11" t="str">
        <f>CONCATENATE("     ","*Payroll                                          ")</f>
        <v xml:space="preserve">     *Payroll                                          </v>
      </c>
      <c r="C31" s="11"/>
      <c r="D31" s="2">
        <f>SUM(OSRRefD22_1x_0)</f>
        <v>37167.699999999997</v>
      </c>
      <c r="E31" s="2"/>
      <c r="F31" s="5">
        <f t="shared" si="0"/>
        <v>0</v>
      </c>
      <c r="G31" s="2"/>
      <c r="H31" s="2">
        <f>SUM(OSRRefH22_1x_0)</f>
        <v>28963.096842307692</v>
      </c>
      <c r="I31" s="2"/>
      <c r="J31" s="5">
        <f t="shared" si="1"/>
        <v>0</v>
      </c>
      <c r="K31" s="2"/>
      <c r="L31" s="2">
        <f t="shared" si="2"/>
        <v>8204.6031576923051</v>
      </c>
      <c r="M31" s="2"/>
      <c r="N31" s="5">
        <f t="shared" si="3"/>
        <v>0.28327782772550325</v>
      </c>
      <c r="O31" s="11"/>
      <c r="P31" s="2">
        <f>SUM(OSRRefP22_1x_0)</f>
        <v>622727.75000000012</v>
      </c>
      <c r="Q31" s="2"/>
      <c r="R31" s="5">
        <f t="shared" si="4"/>
        <v>0</v>
      </c>
      <c r="S31" s="2"/>
      <c r="T31" s="2">
        <f>SUM(OSRRefT22_1x_0)</f>
        <v>555833.20632499992</v>
      </c>
      <c r="U31" s="2"/>
      <c r="V31" s="5">
        <f t="shared" si="5"/>
        <v>0</v>
      </c>
      <c r="W31" s="2"/>
      <c r="X31" s="2">
        <f t="shared" si="6"/>
        <v>66894.543675000197</v>
      </c>
      <c r="Y31" s="2"/>
      <c r="Z31" s="5">
        <f t="shared" si="7"/>
        <v>0.1203500311132661</v>
      </c>
    </row>
    <row r="32" spans="1:26" s="70" customFormat="1" ht="15" hidden="1" customHeight="1" outlineLevel="2" x14ac:dyDescent="0.3">
      <c r="A32" s="21"/>
      <c r="B32" s="9" t="str">
        <f>CONCATENATE("          ","6001"," - ","ADMINISTRATIVE SALARIES")</f>
        <v xml:space="preserve">          6001 - ADMINISTRATIVE SALARIES</v>
      </c>
      <c r="C32" s="9"/>
      <c r="D32" s="6">
        <v>5124.17</v>
      </c>
      <c r="E32" s="3"/>
      <c r="F32" s="7">
        <f t="shared" si="0"/>
        <v>0</v>
      </c>
      <c r="G32" s="3"/>
      <c r="H32" s="6">
        <v>4139.8076923076896</v>
      </c>
      <c r="I32" s="3"/>
      <c r="J32" s="7">
        <f t="shared" si="1"/>
        <v>0</v>
      </c>
      <c r="K32" s="3"/>
      <c r="L32" s="6">
        <f t="shared" si="2"/>
        <v>984.36230769231042</v>
      </c>
      <c r="M32" s="3"/>
      <c r="N32" s="7">
        <f t="shared" si="3"/>
        <v>0.23777971849305604</v>
      </c>
      <c r="O32" s="9"/>
      <c r="P32" s="6">
        <v>56517.3</v>
      </c>
      <c r="Q32" s="3"/>
      <c r="R32" s="7">
        <f t="shared" si="4"/>
        <v>0</v>
      </c>
      <c r="S32" s="3"/>
      <c r="T32" s="6">
        <v>53817.5</v>
      </c>
      <c r="U32" s="3"/>
      <c r="V32" s="7">
        <f t="shared" si="5"/>
        <v>0</v>
      </c>
      <c r="W32" s="3"/>
      <c r="X32" s="6">
        <f t="shared" si="6"/>
        <v>2699.8000000000029</v>
      </c>
      <c r="Y32" s="3"/>
      <c r="Z32" s="7">
        <f t="shared" si="7"/>
        <v>5.0165838249640042E-2</v>
      </c>
    </row>
    <row r="33" spans="1:26" s="70" customFormat="1" ht="15" hidden="1" customHeight="1" outlineLevel="2" x14ac:dyDescent="0.3">
      <c r="A33" s="21"/>
      <c r="B33" s="9" t="str">
        <f>CONCATENATE("          ","6002"," - ","STAFF SALARIES")</f>
        <v xml:space="preserve">          6002 - STAFF SALARIES</v>
      </c>
      <c r="C33" s="9"/>
      <c r="D33" s="6">
        <v>6756.8</v>
      </c>
      <c r="E33" s="3"/>
      <c r="F33" s="7">
        <f t="shared" si="0"/>
        <v>0</v>
      </c>
      <c r="G33" s="3"/>
      <c r="H33" s="6">
        <v>0</v>
      </c>
      <c r="I33" s="3"/>
      <c r="J33" s="7">
        <f t="shared" si="1"/>
        <v>0</v>
      </c>
      <c r="K33" s="3"/>
      <c r="L33" s="6">
        <f t="shared" si="2"/>
        <v>6756.8</v>
      </c>
      <c r="M33" s="3"/>
      <c r="N33" s="7">
        <f t="shared" si="3"/>
        <v>0</v>
      </c>
      <c r="O33" s="9"/>
      <c r="P33" s="6">
        <v>130093.35</v>
      </c>
      <c r="Q33" s="3"/>
      <c r="R33" s="7">
        <f t="shared" si="4"/>
        <v>0</v>
      </c>
      <c r="S33" s="3"/>
      <c r="T33" s="6">
        <v>0</v>
      </c>
      <c r="U33" s="3"/>
      <c r="V33" s="7">
        <f t="shared" si="5"/>
        <v>0</v>
      </c>
      <c r="W33" s="3"/>
      <c r="X33" s="6">
        <f t="shared" si="6"/>
        <v>130093.35</v>
      </c>
      <c r="Y33" s="3"/>
      <c r="Z33" s="7">
        <f t="shared" si="7"/>
        <v>0</v>
      </c>
    </row>
    <row r="34" spans="1:26" s="70" customFormat="1" ht="15" hidden="1" customHeight="1" outlineLevel="2" x14ac:dyDescent="0.3">
      <c r="A34" s="21"/>
      <c r="B34" s="9" t="str">
        <f>CONCATENATE("          ","6003"," - ","STAFF HOURLY-9 MONTH")</f>
        <v xml:space="preserve">          6003 - STAFF HOURLY-9 MONTH</v>
      </c>
      <c r="C34" s="9"/>
      <c r="D34" s="6"/>
      <c r="E34" s="3"/>
      <c r="F34" s="7">
        <f t="shared" si="0"/>
        <v>0</v>
      </c>
      <c r="G34" s="3"/>
      <c r="H34" s="6">
        <v>0</v>
      </c>
      <c r="I34" s="3"/>
      <c r="J34" s="7">
        <f t="shared" si="1"/>
        <v>0</v>
      </c>
      <c r="K34" s="3"/>
      <c r="L34" s="6">
        <f t="shared" si="2"/>
        <v>0</v>
      </c>
      <c r="M34" s="3"/>
      <c r="N34" s="7">
        <f t="shared" si="3"/>
        <v>0</v>
      </c>
      <c r="O34" s="9"/>
      <c r="P34" s="6"/>
      <c r="Q34" s="3"/>
      <c r="R34" s="7">
        <f t="shared" si="4"/>
        <v>0</v>
      </c>
      <c r="S34" s="3"/>
      <c r="T34" s="6">
        <v>0</v>
      </c>
      <c r="U34" s="3"/>
      <c r="V34" s="7">
        <f t="shared" si="5"/>
        <v>0</v>
      </c>
      <c r="W34" s="3"/>
      <c r="X34" s="6">
        <f t="shared" si="6"/>
        <v>0</v>
      </c>
      <c r="Y34" s="3"/>
      <c r="Z34" s="7">
        <f t="shared" si="7"/>
        <v>0</v>
      </c>
    </row>
    <row r="35" spans="1:26" s="70" customFormat="1" ht="15" hidden="1" customHeight="1" outlineLevel="2" x14ac:dyDescent="0.3">
      <c r="A35" s="21"/>
      <c r="B35" s="9" t="str">
        <f>CONCATENATE("          ","6004"," - ","STAFF HOURLY")</f>
        <v xml:space="preserve">          6004 - STAFF HOURLY</v>
      </c>
      <c r="C35" s="9"/>
      <c r="D35" s="6">
        <v>6768.92</v>
      </c>
      <c r="E35" s="3"/>
      <c r="F35" s="7">
        <f t="shared" si="0"/>
        <v>0</v>
      </c>
      <c r="G35" s="3"/>
      <c r="H35" s="6">
        <v>8417.7227999999996</v>
      </c>
      <c r="I35" s="3"/>
      <c r="J35" s="7">
        <f t="shared" si="1"/>
        <v>0</v>
      </c>
      <c r="K35" s="3"/>
      <c r="L35" s="6">
        <f t="shared" si="2"/>
        <v>-1648.8027999999995</v>
      </c>
      <c r="M35" s="3"/>
      <c r="N35" s="7">
        <f t="shared" si="3"/>
        <v>-0.19587278402657779</v>
      </c>
      <c r="O35" s="9"/>
      <c r="P35" s="6">
        <v>92444.02</v>
      </c>
      <c r="Q35" s="3"/>
      <c r="R35" s="7">
        <f t="shared" si="4"/>
        <v>0</v>
      </c>
      <c r="S35" s="3"/>
      <c r="T35" s="6">
        <v>107465.5062</v>
      </c>
      <c r="U35" s="3"/>
      <c r="V35" s="7">
        <f t="shared" si="5"/>
        <v>0</v>
      </c>
      <c r="W35" s="3"/>
      <c r="X35" s="6">
        <f t="shared" si="6"/>
        <v>-15021.486199999999</v>
      </c>
      <c r="Y35" s="3"/>
      <c r="Z35" s="7">
        <f t="shared" si="7"/>
        <v>-0.13977960678884327</v>
      </c>
    </row>
    <row r="36" spans="1:26" s="70" customFormat="1" ht="15" hidden="1" customHeight="1" outlineLevel="2" x14ac:dyDescent="0.3">
      <c r="A36" s="21"/>
      <c r="B36" s="9" t="str">
        <f>CONCATENATE("          ","6005"," - ","TEMPORARY WAGES-HOURLY")</f>
        <v xml:space="preserve">          6005 - TEMPORARY WAGES-HOURLY</v>
      </c>
      <c r="C36" s="9"/>
      <c r="D36" s="6">
        <v>1991.37</v>
      </c>
      <c r="E36" s="3"/>
      <c r="F36" s="7">
        <f t="shared" si="0"/>
        <v>0</v>
      </c>
      <c r="G36" s="3"/>
      <c r="H36" s="6">
        <v>0</v>
      </c>
      <c r="I36" s="3"/>
      <c r="J36" s="7">
        <f t="shared" si="1"/>
        <v>0</v>
      </c>
      <c r="K36" s="3"/>
      <c r="L36" s="6">
        <f t="shared" si="2"/>
        <v>1991.37</v>
      </c>
      <c r="M36" s="3"/>
      <c r="N36" s="7">
        <f t="shared" si="3"/>
        <v>0</v>
      </c>
      <c r="O36" s="9"/>
      <c r="P36" s="6">
        <v>32047.15</v>
      </c>
      <c r="Q36" s="3"/>
      <c r="R36" s="7">
        <f t="shared" si="4"/>
        <v>0</v>
      </c>
      <c r="S36" s="3"/>
      <c r="T36" s="6">
        <v>0</v>
      </c>
      <c r="U36" s="3"/>
      <c r="V36" s="7">
        <f t="shared" si="5"/>
        <v>0</v>
      </c>
      <c r="W36" s="3"/>
      <c r="X36" s="6">
        <f t="shared" si="6"/>
        <v>32047.15</v>
      </c>
      <c r="Y36" s="3"/>
      <c r="Z36" s="7">
        <f t="shared" si="7"/>
        <v>0</v>
      </c>
    </row>
    <row r="37" spans="1:26" s="70" customFormat="1" ht="15" hidden="1" customHeight="1" outlineLevel="2" x14ac:dyDescent="0.3">
      <c r="A37" s="21"/>
      <c r="B37" s="9" t="str">
        <f>CONCATENATE("          ","6006"," - ","TEMPORARY PART TIME")</f>
        <v xml:space="preserve">          6006 - TEMPORARY PART TIME</v>
      </c>
      <c r="C37" s="9"/>
      <c r="D37" s="6">
        <v>2996.89</v>
      </c>
      <c r="E37" s="3"/>
      <c r="F37" s="7">
        <f t="shared" si="0"/>
        <v>0</v>
      </c>
      <c r="G37" s="3"/>
      <c r="H37" s="6">
        <v>0</v>
      </c>
      <c r="I37" s="3"/>
      <c r="J37" s="7">
        <f t="shared" si="1"/>
        <v>0</v>
      </c>
      <c r="K37" s="3"/>
      <c r="L37" s="6">
        <f t="shared" si="2"/>
        <v>2996.89</v>
      </c>
      <c r="M37" s="3"/>
      <c r="N37" s="7">
        <f t="shared" si="3"/>
        <v>0</v>
      </c>
      <c r="O37" s="9"/>
      <c r="P37" s="6">
        <v>22351.83</v>
      </c>
      <c r="Q37" s="3"/>
      <c r="R37" s="7">
        <f t="shared" si="4"/>
        <v>0</v>
      </c>
      <c r="S37" s="3"/>
      <c r="T37" s="6">
        <v>0</v>
      </c>
      <c r="U37" s="3"/>
      <c r="V37" s="7">
        <f t="shared" si="5"/>
        <v>0</v>
      </c>
      <c r="W37" s="3"/>
      <c r="X37" s="6">
        <f t="shared" si="6"/>
        <v>22351.83</v>
      </c>
      <c r="Y37" s="3"/>
      <c r="Z37" s="7">
        <f t="shared" si="7"/>
        <v>0</v>
      </c>
    </row>
    <row r="38" spans="1:26" s="70" customFormat="1" ht="15" hidden="1" customHeight="1" outlineLevel="2" x14ac:dyDescent="0.3">
      <c r="A38" s="21"/>
      <c r="B38" s="9" t="str">
        <f>CONCATENATE("          ","6007"," - ","STUDENT HOURLY")</f>
        <v xml:space="preserve">          6007 - STUDENT HOURLY</v>
      </c>
      <c r="C38" s="9"/>
      <c r="D38" s="6">
        <v>13178.7</v>
      </c>
      <c r="E38" s="3"/>
      <c r="F38" s="7">
        <f t="shared" si="0"/>
        <v>0</v>
      </c>
      <c r="G38" s="3"/>
      <c r="H38" s="6">
        <v>16405.566350000001</v>
      </c>
      <c r="I38" s="3"/>
      <c r="J38" s="7">
        <f t="shared" si="1"/>
        <v>0</v>
      </c>
      <c r="K38" s="3"/>
      <c r="L38" s="6">
        <f t="shared" si="2"/>
        <v>-3226.8663500000002</v>
      </c>
      <c r="M38" s="3"/>
      <c r="N38" s="7">
        <f t="shared" si="3"/>
        <v>-0.19669338327963301</v>
      </c>
      <c r="O38" s="9"/>
      <c r="P38" s="6">
        <v>271632.82</v>
      </c>
      <c r="Q38" s="3"/>
      <c r="R38" s="7">
        <f t="shared" si="4"/>
        <v>0</v>
      </c>
      <c r="S38" s="3"/>
      <c r="T38" s="6">
        <v>76614.696349999998</v>
      </c>
      <c r="U38" s="3"/>
      <c r="V38" s="7">
        <f t="shared" si="5"/>
        <v>0</v>
      </c>
      <c r="W38" s="3"/>
      <c r="X38" s="6">
        <f t="shared" si="6"/>
        <v>195018.12365000002</v>
      </c>
      <c r="Y38" s="3"/>
      <c r="Z38" s="7">
        <f t="shared" si="7"/>
        <v>2.545440143221295</v>
      </c>
    </row>
    <row r="39" spans="1:26" s="70" customFormat="1" ht="15" hidden="1" customHeight="1" outlineLevel="2" x14ac:dyDescent="0.3">
      <c r="A39" s="21"/>
      <c r="B39" s="9" t="str">
        <f>CONCATENATE("          ","6008"," - ","STUDENT HOURLY-FICA EXEMPT")</f>
        <v xml:space="preserve">          6008 - STUDENT HOURLY-FICA EXEMPT</v>
      </c>
      <c r="C39" s="9"/>
      <c r="D39" s="6">
        <v>350.85</v>
      </c>
      <c r="E39" s="3"/>
      <c r="F39" s="7">
        <f t="shared" si="0"/>
        <v>0</v>
      </c>
      <c r="G39" s="3"/>
      <c r="H39" s="6">
        <v>0</v>
      </c>
      <c r="I39" s="3"/>
      <c r="J39" s="7">
        <f t="shared" si="1"/>
        <v>0</v>
      </c>
      <c r="K39" s="3"/>
      <c r="L39" s="6">
        <f t="shared" si="2"/>
        <v>350.85</v>
      </c>
      <c r="M39" s="3"/>
      <c r="N39" s="7">
        <f t="shared" si="3"/>
        <v>0</v>
      </c>
      <c r="O39" s="9"/>
      <c r="P39" s="6">
        <v>17641.28</v>
      </c>
      <c r="Q39" s="3"/>
      <c r="R39" s="7">
        <f t="shared" si="4"/>
        <v>0</v>
      </c>
      <c r="S39" s="3"/>
      <c r="T39" s="6">
        <v>317935.50377499999</v>
      </c>
      <c r="U39" s="3"/>
      <c r="V39" s="7">
        <f t="shared" si="5"/>
        <v>0</v>
      </c>
      <c r="W39" s="3"/>
      <c r="X39" s="6">
        <f t="shared" si="6"/>
        <v>-300294.22377499996</v>
      </c>
      <c r="Y39" s="3"/>
      <c r="Z39" s="7">
        <f t="shared" si="7"/>
        <v>-0.94451302295422601</v>
      </c>
    </row>
    <row r="40" spans="1:26" s="70" customFormat="1" ht="15" hidden="1" customHeight="1" outlineLevel="2" x14ac:dyDescent="0.3">
      <c r="A40" s="21"/>
      <c r="B40" s="9" t="str">
        <f>CONCATENATE("          ","6009"," - ","TEMPORARY-SEASONAL")</f>
        <v xml:space="preserve">          6009 - TEMPORARY-SEASONAL</v>
      </c>
      <c r="C40" s="9"/>
      <c r="D40" s="6"/>
      <c r="E40" s="3"/>
      <c r="F40" s="7">
        <f t="shared" si="0"/>
        <v>0</v>
      </c>
      <c r="G40" s="3"/>
      <c r="H40" s="6">
        <v>0</v>
      </c>
      <c r="I40" s="3"/>
      <c r="J40" s="7">
        <f t="shared" si="1"/>
        <v>0</v>
      </c>
      <c r="K40" s="3"/>
      <c r="L40" s="6">
        <f t="shared" si="2"/>
        <v>0</v>
      </c>
      <c r="M40" s="3"/>
      <c r="N40" s="7">
        <f t="shared" si="3"/>
        <v>0</v>
      </c>
      <c r="O40" s="9"/>
      <c r="P40" s="6"/>
      <c r="Q40" s="3"/>
      <c r="R40" s="7">
        <f t="shared" si="4"/>
        <v>0</v>
      </c>
      <c r="S40" s="3"/>
      <c r="T40" s="6">
        <v>0</v>
      </c>
      <c r="U40" s="3"/>
      <c r="V40" s="7">
        <f t="shared" si="5"/>
        <v>0</v>
      </c>
      <c r="W40" s="3"/>
      <c r="X40" s="6">
        <f t="shared" si="6"/>
        <v>0</v>
      </c>
      <c r="Y40" s="3"/>
      <c r="Z40" s="7">
        <f t="shared" si="7"/>
        <v>0</v>
      </c>
    </row>
    <row r="41" spans="1:26" s="70" customFormat="1" ht="15" hidden="1" customHeight="1" outlineLevel="2" x14ac:dyDescent="0.3">
      <c r="A41" s="21"/>
      <c r="B41" s="9" t="str">
        <f>CONCATENATE("          ","6010"," - ","GRATUITY")</f>
        <v xml:space="preserve">          6010 - GRATUITY</v>
      </c>
      <c r="C41" s="9"/>
      <c r="D41" s="6"/>
      <c r="E41" s="3"/>
      <c r="F41" s="7">
        <f t="shared" si="0"/>
        <v>0</v>
      </c>
      <c r="G41" s="3"/>
      <c r="H41" s="6">
        <v>0</v>
      </c>
      <c r="I41" s="3"/>
      <c r="J41" s="7">
        <f t="shared" si="1"/>
        <v>0</v>
      </c>
      <c r="K41" s="3"/>
      <c r="L41" s="6">
        <f t="shared" si="2"/>
        <v>0</v>
      </c>
      <c r="M41" s="3"/>
      <c r="N41" s="7">
        <f t="shared" si="3"/>
        <v>0</v>
      </c>
      <c r="O41" s="9"/>
      <c r="P41" s="6"/>
      <c r="Q41" s="3"/>
      <c r="R41" s="7">
        <f t="shared" si="4"/>
        <v>0</v>
      </c>
      <c r="S41" s="3"/>
      <c r="T41" s="6">
        <v>0</v>
      </c>
      <c r="U41" s="3"/>
      <c r="V41" s="7">
        <f t="shared" si="5"/>
        <v>0</v>
      </c>
      <c r="W41" s="3"/>
      <c r="X41" s="6">
        <f t="shared" si="6"/>
        <v>0</v>
      </c>
      <c r="Y41" s="3"/>
      <c r="Z41" s="7">
        <f t="shared" si="7"/>
        <v>0</v>
      </c>
    </row>
    <row r="42" spans="1:26" s="69" customFormat="1" ht="15" customHeight="1" outlineLevel="1" collapsed="1" x14ac:dyDescent="0.3">
      <c r="A42" s="20"/>
      <c r="B42" s="11" t="str">
        <f>CONCATENATE("     ","Advertising/Promo                                 ")</f>
        <v xml:space="preserve">     Advertising/Promo                                 </v>
      </c>
      <c r="C42" s="11"/>
      <c r="D42" s="2">
        <f>SUM(OSRRefD22_2x_0)</f>
        <v>0</v>
      </c>
      <c r="E42" s="2"/>
      <c r="F42" s="5">
        <f t="shared" si="0"/>
        <v>0</v>
      </c>
      <c r="G42" s="2"/>
      <c r="H42" s="2">
        <f>SUM(OSRRefH22_2x_0)</f>
        <v>0</v>
      </c>
      <c r="I42" s="2"/>
      <c r="J42" s="5">
        <f t="shared" si="1"/>
        <v>0</v>
      </c>
      <c r="K42" s="2"/>
      <c r="L42" s="2">
        <f t="shared" si="2"/>
        <v>0</v>
      </c>
      <c r="M42" s="2"/>
      <c r="N42" s="5">
        <f t="shared" si="3"/>
        <v>0</v>
      </c>
      <c r="O42" s="11"/>
      <c r="P42" s="2">
        <f>SUM(OSRRefP22_2x_0)</f>
        <v>233.62</v>
      </c>
      <c r="Q42" s="2"/>
      <c r="R42" s="5">
        <f t="shared" si="4"/>
        <v>0</v>
      </c>
      <c r="S42" s="2"/>
      <c r="T42" s="2">
        <f>SUM(OSRRefT22_2x_0)</f>
        <v>0</v>
      </c>
      <c r="U42" s="2"/>
      <c r="V42" s="5">
        <f t="shared" si="5"/>
        <v>0</v>
      </c>
      <c r="W42" s="2"/>
      <c r="X42" s="2">
        <f t="shared" si="6"/>
        <v>233.62</v>
      </c>
      <c r="Y42" s="2"/>
      <c r="Z42" s="5">
        <f t="shared" si="7"/>
        <v>0</v>
      </c>
    </row>
    <row r="43" spans="1:26" s="70" customFormat="1" ht="15" hidden="1" customHeight="1" outlineLevel="2" x14ac:dyDescent="0.3">
      <c r="A43" s="21"/>
      <c r="B43" s="9" t="str">
        <f>CONCATENATE("          ","6362"," - ","ADVERTISING EXPENSE")</f>
        <v xml:space="preserve">          6362 - ADVERTISING EXPENSE</v>
      </c>
      <c r="C43" s="9"/>
      <c r="D43" s="6"/>
      <c r="E43" s="3"/>
      <c r="F43" s="7">
        <f t="shared" si="0"/>
        <v>0</v>
      </c>
      <c r="G43" s="3"/>
      <c r="H43" s="6"/>
      <c r="I43" s="3"/>
      <c r="J43" s="7">
        <f t="shared" si="1"/>
        <v>0</v>
      </c>
      <c r="K43" s="3"/>
      <c r="L43" s="6">
        <f t="shared" si="2"/>
        <v>0</v>
      </c>
      <c r="M43" s="3"/>
      <c r="N43" s="7">
        <f t="shared" si="3"/>
        <v>0</v>
      </c>
      <c r="O43" s="9"/>
      <c r="P43" s="6">
        <v>233.62</v>
      </c>
      <c r="Q43" s="3"/>
      <c r="R43" s="7">
        <f t="shared" si="4"/>
        <v>0</v>
      </c>
      <c r="S43" s="3"/>
      <c r="T43" s="6"/>
      <c r="U43" s="3"/>
      <c r="V43" s="7">
        <f t="shared" si="5"/>
        <v>0</v>
      </c>
      <c r="W43" s="3"/>
      <c r="X43" s="6">
        <f t="shared" si="6"/>
        <v>233.62</v>
      </c>
      <c r="Y43" s="3"/>
      <c r="Z43" s="7">
        <f t="shared" si="7"/>
        <v>0</v>
      </c>
    </row>
    <row r="44" spans="1:26" s="69" customFormat="1" ht="15" customHeight="1" outlineLevel="1" collapsed="1" x14ac:dyDescent="0.3">
      <c r="A44" s="20"/>
      <c r="B44" s="11" t="str">
        <f>CONCATENATE("     ","Bad Debts/Over/Short                              ")</f>
        <v xml:space="preserve">     Bad Debts/Over/Short                              </v>
      </c>
      <c r="C44" s="11"/>
      <c r="D44" s="2">
        <f>SUM(OSRRefD22_3x_0)</f>
        <v>0.39</v>
      </c>
      <c r="E44" s="2"/>
      <c r="F44" s="5">
        <f t="shared" si="0"/>
        <v>0</v>
      </c>
      <c r="G44" s="2"/>
      <c r="H44" s="2">
        <f>SUM(OSRRefH22_3x_0)</f>
        <v>200</v>
      </c>
      <c r="I44" s="2"/>
      <c r="J44" s="5">
        <f t="shared" si="1"/>
        <v>0</v>
      </c>
      <c r="K44" s="2"/>
      <c r="L44" s="2">
        <f t="shared" si="2"/>
        <v>-199.61</v>
      </c>
      <c r="M44" s="2"/>
      <c r="N44" s="5">
        <f t="shared" si="3"/>
        <v>-0.9980500000000001</v>
      </c>
      <c r="O44" s="11"/>
      <c r="P44" s="2">
        <f>SUM(OSRRefP22_3x_0)</f>
        <v>92.34</v>
      </c>
      <c r="Q44" s="2"/>
      <c r="R44" s="5">
        <f t="shared" si="4"/>
        <v>0</v>
      </c>
      <c r="S44" s="2"/>
      <c r="T44" s="2">
        <f>SUM(OSRRefT22_3x_0)</f>
        <v>2400</v>
      </c>
      <c r="U44" s="2"/>
      <c r="V44" s="5">
        <f t="shared" si="5"/>
        <v>0</v>
      </c>
      <c r="W44" s="2"/>
      <c r="X44" s="2">
        <f t="shared" si="6"/>
        <v>-2307.66</v>
      </c>
      <c r="Y44" s="2"/>
      <c r="Z44" s="5">
        <f t="shared" si="7"/>
        <v>-0.96152499999999996</v>
      </c>
    </row>
    <row r="45" spans="1:26" s="70" customFormat="1" ht="15" hidden="1" customHeight="1" outlineLevel="2" x14ac:dyDescent="0.3">
      <c r="A45" s="21"/>
      <c r="B45" s="9" t="str">
        <f>CONCATENATE("          ","6272"," - ","CASH (OVER/SHORT)")</f>
        <v xml:space="preserve">          6272 - CASH (OVER/SHORT)</v>
      </c>
      <c r="C45" s="9"/>
      <c r="D45" s="6">
        <v>0.39</v>
      </c>
      <c r="E45" s="3"/>
      <c r="F45" s="7">
        <f t="shared" si="0"/>
        <v>0</v>
      </c>
      <c r="G45" s="3"/>
      <c r="H45" s="6">
        <v>200</v>
      </c>
      <c r="I45" s="3"/>
      <c r="J45" s="7">
        <f t="shared" si="1"/>
        <v>0</v>
      </c>
      <c r="K45" s="3"/>
      <c r="L45" s="6">
        <f t="shared" si="2"/>
        <v>-199.61</v>
      </c>
      <c r="M45" s="3"/>
      <c r="N45" s="7">
        <f t="shared" si="3"/>
        <v>-0.9980500000000001</v>
      </c>
      <c r="O45" s="9"/>
      <c r="P45" s="6">
        <v>92.34</v>
      </c>
      <c r="Q45" s="3"/>
      <c r="R45" s="7">
        <f t="shared" si="4"/>
        <v>0</v>
      </c>
      <c r="S45" s="3"/>
      <c r="T45" s="6">
        <v>2400</v>
      </c>
      <c r="U45" s="3"/>
      <c r="V45" s="7">
        <f t="shared" si="5"/>
        <v>0</v>
      </c>
      <c r="W45" s="3"/>
      <c r="X45" s="6">
        <f t="shared" si="6"/>
        <v>-2307.66</v>
      </c>
      <c r="Y45" s="3"/>
      <c r="Z45" s="7">
        <f t="shared" si="7"/>
        <v>-0.96152499999999996</v>
      </c>
    </row>
    <row r="46" spans="1:26" s="69" customFormat="1" ht="15" customHeight="1" outlineLevel="1" collapsed="1" x14ac:dyDescent="0.3">
      <c r="A46" s="20"/>
      <c r="B46" s="11" t="str">
        <f>CONCATENATE("     ","Bank/card Fees                                    ")</f>
        <v xml:space="preserve">     Bank/card Fees                                    </v>
      </c>
      <c r="C46" s="11"/>
      <c r="D46" s="2">
        <f>SUM(OSRRefD22_4x_0)</f>
        <v>5770.1</v>
      </c>
      <c r="E46" s="2"/>
      <c r="F46" s="5">
        <f t="shared" si="0"/>
        <v>0</v>
      </c>
      <c r="G46" s="2"/>
      <c r="H46" s="2">
        <f>SUM(OSRRefH22_4x_0)</f>
        <v>6000</v>
      </c>
      <c r="I46" s="2"/>
      <c r="J46" s="5">
        <f t="shared" si="1"/>
        <v>0</v>
      </c>
      <c r="K46" s="2"/>
      <c r="L46" s="2">
        <f t="shared" si="2"/>
        <v>-229.89999999999964</v>
      </c>
      <c r="M46" s="2"/>
      <c r="N46" s="5">
        <f t="shared" si="3"/>
        <v>-3.8316666666666603E-2</v>
      </c>
      <c r="O46" s="11"/>
      <c r="P46" s="2">
        <f>SUM(OSRRefP22_4x_0)</f>
        <v>142438.79</v>
      </c>
      <c r="Q46" s="2"/>
      <c r="R46" s="5">
        <f t="shared" si="4"/>
        <v>0</v>
      </c>
      <c r="S46" s="2"/>
      <c r="T46" s="2">
        <f>SUM(OSRRefT22_4x_0)</f>
        <v>167100</v>
      </c>
      <c r="U46" s="2"/>
      <c r="V46" s="5">
        <f t="shared" si="5"/>
        <v>0</v>
      </c>
      <c r="W46" s="2"/>
      <c r="X46" s="2">
        <f t="shared" si="6"/>
        <v>-24661.209999999992</v>
      </c>
      <c r="Y46" s="2"/>
      <c r="Z46" s="5">
        <f t="shared" si="7"/>
        <v>-0.14758354278874922</v>
      </c>
    </row>
    <row r="47" spans="1:26" s="70" customFormat="1" ht="15" hidden="1" customHeight="1" outlineLevel="2" x14ac:dyDescent="0.3">
      <c r="A47" s="21"/>
      <c r="B47" s="9" t="str">
        <f>CONCATENATE("          ","6381"," - ","BANK/CREDIT CARD FEES")</f>
        <v xml:space="preserve">          6381 - BANK/CREDIT CARD FEES</v>
      </c>
      <c r="C47" s="9"/>
      <c r="D47" s="6">
        <v>5770.1</v>
      </c>
      <c r="E47" s="3"/>
      <c r="F47" s="7">
        <f t="shared" si="0"/>
        <v>0</v>
      </c>
      <c r="G47" s="3"/>
      <c r="H47" s="6">
        <v>6000</v>
      </c>
      <c r="I47" s="3"/>
      <c r="J47" s="7">
        <f t="shared" si="1"/>
        <v>0</v>
      </c>
      <c r="K47" s="3"/>
      <c r="L47" s="6">
        <f t="shared" si="2"/>
        <v>-229.89999999999964</v>
      </c>
      <c r="M47" s="3"/>
      <c r="N47" s="7">
        <f t="shared" si="3"/>
        <v>-3.8316666666666603E-2</v>
      </c>
      <c r="O47" s="9"/>
      <c r="P47" s="6">
        <v>142438.79</v>
      </c>
      <c r="Q47" s="3"/>
      <c r="R47" s="7">
        <f t="shared" si="4"/>
        <v>0</v>
      </c>
      <c r="S47" s="3"/>
      <c r="T47" s="6">
        <v>167100</v>
      </c>
      <c r="U47" s="3"/>
      <c r="V47" s="7">
        <f t="shared" si="5"/>
        <v>0</v>
      </c>
      <c r="W47" s="3"/>
      <c r="X47" s="6">
        <f t="shared" si="6"/>
        <v>-24661.209999999992</v>
      </c>
      <c r="Y47" s="3"/>
      <c r="Z47" s="7">
        <f t="shared" si="7"/>
        <v>-0.14758354278874922</v>
      </c>
    </row>
    <row r="48" spans="1:26" s="69" customFormat="1" ht="15" customHeight="1" outlineLevel="1" collapsed="1" x14ac:dyDescent="0.3">
      <c r="A48" s="20"/>
      <c r="B48" s="11" t="str">
        <f>CONCATENATE("     ","Depreciation                                      ")</f>
        <v xml:space="preserve">     Depreciation                                      </v>
      </c>
      <c r="C48" s="11"/>
      <c r="D48" s="2">
        <f>SUM(OSRRefD22_5x_0)</f>
        <v>16209.93</v>
      </c>
      <c r="E48" s="2"/>
      <c r="F48" s="5">
        <f t="shared" si="0"/>
        <v>0</v>
      </c>
      <c r="G48" s="2"/>
      <c r="H48" s="2">
        <f>SUM(OSRRefH22_5x_0)</f>
        <v>16089</v>
      </c>
      <c r="I48" s="2"/>
      <c r="J48" s="5">
        <f t="shared" si="1"/>
        <v>0</v>
      </c>
      <c r="K48" s="2"/>
      <c r="L48" s="2">
        <f t="shared" si="2"/>
        <v>120.93000000000029</v>
      </c>
      <c r="M48" s="2"/>
      <c r="N48" s="5">
        <f t="shared" si="3"/>
        <v>7.5163154950587535E-3</v>
      </c>
      <c r="O48" s="11"/>
      <c r="P48" s="2">
        <f>SUM(OSRRefP22_5x_0)</f>
        <v>314537.92</v>
      </c>
      <c r="Q48" s="2"/>
      <c r="R48" s="5">
        <f t="shared" si="4"/>
        <v>0</v>
      </c>
      <c r="S48" s="2"/>
      <c r="T48" s="2">
        <f>SUM(OSRRefT22_5x_0)</f>
        <v>313085</v>
      </c>
      <c r="U48" s="2"/>
      <c r="V48" s="5">
        <f t="shared" si="5"/>
        <v>0</v>
      </c>
      <c r="W48" s="2"/>
      <c r="X48" s="2">
        <f t="shared" si="6"/>
        <v>1452.9199999999837</v>
      </c>
      <c r="Y48" s="2"/>
      <c r="Z48" s="5">
        <f t="shared" si="7"/>
        <v>4.6406566906750041E-3</v>
      </c>
    </row>
    <row r="49" spans="1:26" s="70" customFormat="1" ht="15" hidden="1" customHeight="1" outlineLevel="2" x14ac:dyDescent="0.3">
      <c r="A49" s="21"/>
      <c r="B49" s="9" t="str">
        <f>CONCATENATE("          ","6321"," - ","BUILDING DEPRECIATION")</f>
        <v xml:space="preserve">          6321 - BUILDING DEPRECIATION</v>
      </c>
      <c r="C49" s="9"/>
      <c r="D49" s="6">
        <v>13321.47</v>
      </c>
      <c r="E49" s="3"/>
      <c r="F49" s="7">
        <f t="shared" si="0"/>
        <v>0</v>
      </c>
      <c r="G49" s="3"/>
      <c r="H49" s="6"/>
      <c r="I49" s="3"/>
      <c r="J49" s="7">
        <f t="shared" si="1"/>
        <v>0</v>
      </c>
      <c r="K49" s="3"/>
      <c r="L49" s="6">
        <f t="shared" si="2"/>
        <v>13321.47</v>
      </c>
      <c r="M49" s="3"/>
      <c r="N49" s="7">
        <f t="shared" si="3"/>
        <v>0</v>
      </c>
      <c r="O49" s="9"/>
      <c r="P49" s="6">
        <v>179119.02</v>
      </c>
      <c r="Q49" s="3"/>
      <c r="R49" s="7">
        <f t="shared" si="4"/>
        <v>0</v>
      </c>
      <c r="S49" s="3"/>
      <c r="T49" s="6"/>
      <c r="U49" s="3"/>
      <c r="V49" s="7">
        <f t="shared" si="5"/>
        <v>0</v>
      </c>
      <c r="W49" s="3"/>
      <c r="X49" s="6">
        <f t="shared" si="6"/>
        <v>179119.02</v>
      </c>
      <c r="Y49" s="3"/>
      <c r="Z49" s="7">
        <f t="shared" si="7"/>
        <v>0</v>
      </c>
    </row>
    <row r="50" spans="1:26" s="70" customFormat="1" ht="15" hidden="1" customHeight="1" outlineLevel="2" x14ac:dyDescent="0.3">
      <c r="A50" s="21"/>
      <c r="B50" s="9" t="str">
        <f>CONCATENATE("          ","6322"," - ","EQUIPMENT DEPRECIATION EXPENSE")</f>
        <v xml:space="preserve">          6322 - EQUIPMENT DEPRECIATION EXPENSE</v>
      </c>
      <c r="C50" s="9"/>
      <c r="D50" s="6">
        <v>2888.46</v>
      </c>
      <c r="E50" s="3"/>
      <c r="F50" s="7">
        <f t="shared" si="0"/>
        <v>0</v>
      </c>
      <c r="G50" s="3"/>
      <c r="H50" s="6">
        <v>16089</v>
      </c>
      <c r="I50" s="3"/>
      <c r="J50" s="7">
        <f t="shared" si="1"/>
        <v>0</v>
      </c>
      <c r="K50" s="3"/>
      <c r="L50" s="6">
        <f t="shared" si="2"/>
        <v>-13200.54</v>
      </c>
      <c r="M50" s="3"/>
      <c r="N50" s="7">
        <f t="shared" si="3"/>
        <v>-0.82046988625769168</v>
      </c>
      <c r="O50" s="9"/>
      <c r="P50" s="6">
        <v>135418.9</v>
      </c>
      <c r="Q50" s="3"/>
      <c r="R50" s="7">
        <f t="shared" si="4"/>
        <v>0</v>
      </c>
      <c r="S50" s="3"/>
      <c r="T50" s="6">
        <v>313085</v>
      </c>
      <c r="U50" s="3"/>
      <c r="V50" s="7">
        <f t="shared" si="5"/>
        <v>0</v>
      </c>
      <c r="W50" s="3"/>
      <c r="X50" s="6">
        <f t="shared" si="6"/>
        <v>-177666.1</v>
      </c>
      <c r="Y50" s="3"/>
      <c r="Z50" s="7">
        <f t="shared" si="7"/>
        <v>-0.56746921762460678</v>
      </c>
    </row>
    <row r="51" spans="1:26" s="69" customFormat="1" ht="15" customHeight="1" outlineLevel="1" collapsed="1" x14ac:dyDescent="0.3">
      <c r="A51" s="20"/>
      <c r="B51" s="11" t="str">
        <f>CONCATENATE("     ","Discounts and Markdowns                           ")</f>
        <v xml:space="preserve">     Discounts and Markdowns                           </v>
      </c>
      <c r="C51" s="11"/>
      <c r="D51" s="2">
        <f>SUM(OSRRefD22_6x_0)</f>
        <v>0</v>
      </c>
      <c r="E51" s="2"/>
      <c r="F51" s="5">
        <f t="shared" ref="F51:F82" si="8">IF(D$12=0,0,D51/D$12)</f>
        <v>0</v>
      </c>
      <c r="G51" s="2"/>
      <c r="H51" s="2">
        <f>SUM(OSRRefH22_6x_0)</f>
        <v>0</v>
      </c>
      <c r="I51" s="2"/>
      <c r="J51" s="5">
        <f t="shared" ref="J51:J82" si="9">IF(H$12=0,0,H51/H$12)</f>
        <v>0</v>
      </c>
      <c r="K51" s="2"/>
      <c r="L51" s="2">
        <f t="shared" ref="L51:L82" si="10">+D51-H51</f>
        <v>0</v>
      </c>
      <c r="M51" s="2"/>
      <c r="N51" s="5">
        <f t="shared" ref="N51:N82" si="11">IF(H51=0,0,L51/H51)</f>
        <v>0</v>
      </c>
      <c r="O51" s="11"/>
      <c r="P51" s="2">
        <f>SUM(OSRRefP22_6x_0)</f>
        <v>2026.83</v>
      </c>
      <c r="Q51" s="2"/>
      <c r="R51" s="5">
        <f t="shared" ref="R51:R82" si="12">IF(P$12=0,0,P51/P$12)</f>
        <v>0</v>
      </c>
      <c r="S51" s="2"/>
      <c r="T51" s="2">
        <f>SUM(OSRRefT22_6x_0)</f>
        <v>0</v>
      </c>
      <c r="U51" s="2"/>
      <c r="V51" s="5">
        <f t="shared" ref="V51:V82" si="13">IF(T$12=0,0,T51/T$12)</f>
        <v>0</v>
      </c>
      <c r="W51" s="2"/>
      <c r="X51" s="2">
        <f t="shared" ref="X51:X82" si="14">+P51-T51</f>
        <v>2026.83</v>
      </c>
      <c r="Y51" s="2"/>
      <c r="Z51" s="5">
        <f t="shared" ref="Z51:Z82" si="15">IF(T51=0,0,X51/T51)</f>
        <v>0</v>
      </c>
    </row>
    <row r="52" spans="1:26" s="70" customFormat="1" ht="15" hidden="1" customHeight="1" outlineLevel="2" x14ac:dyDescent="0.3">
      <c r="A52" s="21"/>
      <c r="B52" s="9" t="str">
        <f>CONCATENATE("          ","6382"," - ","DISCOUNTS/MARK DOWNS")</f>
        <v xml:space="preserve">          6382 - DISCOUNTS/MARK DOWNS</v>
      </c>
      <c r="C52" s="9"/>
      <c r="D52" s="6"/>
      <c r="E52" s="3"/>
      <c r="F52" s="7">
        <f t="shared" si="8"/>
        <v>0</v>
      </c>
      <c r="G52" s="3"/>
      <c r="H52" s="6"/>
      <c r="I52" s="3"/>
      <c r="J52" s="7">
        <f t="shared" si="9"/>
        <v>0</v>
      </c>
      <c r="K52" s="3"/>
      <c r="L52" s="6">
        <f t="shared" si="10"/>
        <v>0</v>
      </c>
      <c r="M52" s="3"/>
      <c r="N52" s="7">
        <f t="shared" si="11"/>
        <v>0</v>
      </c>
      <c r="O52" s="9"/>
      <c r="P52" s="6">
        <v>2170</v>
      </c>
      <c r="Q52" s="3"/>
      <c r="R52" s="7">
        <f t="shared" si="12"/>
        <v>0</v>
      </c>
      <c r="S52" s="3"/>
      <c r="T52" s="6"/>
      <c r="U52" s="3"/>
      <c r="V52" s="7">
        <f t="shared" si="13"/>
        <v>0</v>
      </c>
      <c r="W52" s="3"/>
      <c r="X52" s="6">
        <f t="shared" si="14"/>
        <v>2170</v>
      </c>
      <c r="Y52" s="3"/>
      <c r="Z52" s="7">
        <f t="shared" si="15"/>
        <v>0</v>
      </c>
    </row>
    <row r="53" spans="1:26" s="70" customFormat="1" ht="15" hidden="1" customHeight="1" outlineLevel="2" x14ac:dyDescent="0.3">
      <c r="A53" s="21"/>
      <c r="B53" s="9" t="str">
        <f>CONCATENATE("          ","9175"," - ","EARNED DISCOUNTS")</f>
        <v xml:space="preserve">          9175 - EARNED DISCOUNTS</v>
      </c>
      <c r="C53" s="9"/>
      <c r="D53" s="6"/>
      <c r="E53" s="3"/>
      <c r="F53" s="7">
        <f t="shared" si="8"/>
        <v>0</v>
      </c>
      <c r="G53" s="3"/>
      <c r="H53" s="6"/>
      <c r="I53" s="3"/>
      <c r="J53" s="7">
        <f t="shared" si="9"/>
        <v>0</v>
      </c>
      <c r="K53" s="3"/>
      <c r="L53" s="6">
        <f t="shared" si="10"/>
        <v>0</v>
      </c>
      <c r="M53" s="3"/>
      <c r="N53" s="7">
        <f t="shared" si="11"/>
        <v>0</v>
      </c>
      <c r="O53" s="9"/>
      <c r="P53" s="6">
        <v>-143.16999999999999</v>
      </c>
      <c r="Q53" s="3"/>
      <c r="R53" s="7">
        <f t="shared" si="12"/>
        <v>0</v>
      </c>
      <c r="S53" s="3"/>
      <c r="T53" s="6"/>
      <c r="U53" s="3"/>
      <c r="V53" s="7">
        <f t="shared" si="13"/>
        <v>0</v>
      </c>
      <c r="W53" s="3"/>
      <c r="X53" s="6">
        <f t="shared" si="14"/>
        <v>-143.16999999999999</v>
      </c>
      <c r="Y53" s="3"/>
      <c r="Z53" s="7">
        <f t="shared" si="15"/>
        <v>0</v>
      </c>
    </row>
    <row r="54" spans="1:26" s="69" customFormat="1" ht="15" customHeight="1" outlineLevel="1" collapsed="1" x14ac:dyDescent="0.3">
      <c r="A54" s="20"/>
      <c r="B54" s="11" t="str">
        <f>CONCATENATE("     ","Donations                                         ")</f>
        <v xml:space="preserve">     Donations                                         </v>
      </c>
      <c r="C54" s="11"/>
      <c r="D54" s="2">
        <f>SUM(OSRRefD22_7x_0)</f>
        <v>2379.11</v>
      </c>
      <c r="E54" s="2"/>
      <c r="F54" s="5">
        <f t="shared" si="8"/>
        <v>0</v>
      </c>
      <c r="G54" s="2"/>
      <c r="H54" s="2">
        <f>SUM(OSRRefH22_7x_0)</f>
        <v>1250</v>
      </c>
      <c r="I54" s="2"/>
      <c r="J54" s="5">
        <f t="shared" si="9"/>
        <v>0</v>
      </c>
      <c r="K54" s="2"/>
      <c r="L54" s="2">
        <f t="shared" si="10"/>
        <v>1129.1100000000001</v>
      </c>
      <c r="M54" s="2"/>
      <c r="N54" s="5">
        <f t="shared" si="11"/>
        <v>0.90328800000000009</v>
      </c>
      <c r="O54" s="11"/>
      <c r="P54" s="2">
        <f>SUM(OSRRefP22_7x_0)</f>
        <v>9817.98</v>
      </c>
      <c r="Q54" s="2"/>
      <c r="R54" s="5">
        <f t="shared" si="12"/>
        <v>0</v>
      </c>
      <c r="S54" s="2"/>
      <c r="T54" s="2">
        <f>SUM(OSRRefT22_7x_0)</f>
        <v>15000</v>
      </c>
      <c r="U54" s="2"/>
      <c r="V54" s="5">
        <f t="shared" si="13"/>
        <v>0</v>
      </c>
      <c r="W54" s="2"/>
      <c r="X54" s="2">
        <f t="shared" si="14"/>
        <v>-5182.0200000000004</v>
      </c>
      <c r="Y54" s="2"/>
      <c r="Z54" s="5">
        <f t="shared" si="15"/>
        <v>-0.34546800000000005</v>
      </c>
    </row>
    <row r="55" spans="1:26" s="70" customFormat="1" ht="15" hidden="1" customHeight="1" outlineLevel="2" x14ac:dyDescent="0.3">
      <c r="A55" s="21"/>
      <c r="B55" s="9" t="str">
        <f>CONCATENATE("          ","6399"," - ","DONATION-ON CAMPUS")</f>
        <v xml:space="preserve">          6399 - DONATION-ON CAMPUS</v>
      </c>
      <c r="C55" s="9"/>
      <c r="D55" s="6">
        <v>2379.11</v>
      </c>
      <c r="E55" s="3"/>
      <c r="F55" s="7">
        <f t="shared" si="8"/>
        <v>0</v>
      </c>
      <c r="G55" s="3"/>
      <c r="H55" s="6">
        <v>1250</v>
      </c>
      <c r="I55" s="3"/>
      <c r="J55" s="7">
        <f t="shared" si="9"/>
        <v>0</v>
      </c>
      <c r="K55" s="3"/>
      <c r="L55" s="6">
        <f t="shared" si="10"/>
        <v>1129.1100000000001</v>
      </c>
      <c r="M55" s="3"/>
      <c r="N55" s="7">
        <f t="shared" si="11"/>
        <v>0.90328800000000009</v>
      </c>
      <c r="O55" s="9"/>
      <c r="P55" s="6">
        <v>9817.98</v>
      </c>
      <c r="Q55" s="3"/>
      <c r="R55" s="7">
        <f t="shared" si="12"/>
        <v>0</v>
      </c>
      <c r="S55" s="3"/>
      <c r="T55" s="6">
        <v>15000</v>
      </c>
      <c r="U55" s="3"/>
      <c r="V55" s="7">
        <f t="shared" si="13"/>
        <v>0</v>
      </c>
      <c r="W55" s="3"/>
      <c r="X55" s="6">
        <f t="shared" si="14"/>
        <v>-5182.0200000000004</v>
      </c>
      <c r="Y55" s="3"/>
      <c r="Z55" s="7">
        <f t="shared" si="15"/>
        <v>-0.34546800000000005</v>
      </c>
    </row>
    <row r="56" spans="1:26" s="69" customFormat="1" ht="15" customHeight="1" outlineLevel="1" collapsed="1" x14ac:dyDescent="0.3">
      <c r="A56" s="20"/>
      <c r="B56" s="11" t="str">
        <f>CONCATENATE("     ","Employees' Appreciation                           ")</f>
        <v xml:space="preserve">     Employees' Appreciation                           </v>
      </c>
      <c r="C56" s="11"/>
      <c r="D56" s="2">
        <f>SUM(OSRRefD22_8x_0)</f>
        <v>771.97</v>
      </c>
      <c r="E56" s="2"/>
      <c r="F56" s="5">
        <f t="shared" si="8"/>
        <v>0</v>
      </c>
      <c r="G56" s="2"/>
      <c r="H56" s="2">
        <f>SUM(OSRRefH22_8x_0)</f>
        <v>100</v>
      </c>
      <c r="I56" s="2"/>
      <c r="J56" s="5">
        <f t="shared" si="9"/>
        <v>0</v>
      </c>
      <c r="K56" s="2"/>
      <c r="L56" s="2">
        <f t="shared" si="10"/>
        <v>671.97</v>
      </c>
      <c r="M56" s="2"/>
      <c r="N56" s="5">
        <f t="shared" si="11"/>
        <v>6.7197000000000005</v>
      </c>
      <c r="O56" s="11"/>
      <c r="P56" s="2">
        <f>SUM(OSRRefP22_8x_0)</f>
        <v>4822.22</v>
      </c>
      <c r="Q56" s="2"/>
      <c r="R56" s="5">
        <f t="shared" si="12"/>
        <v>0</v>
      </c>
      <c r="S56" s="2"/>
      <c r="T56" s="2">
        <f>SUM(OSRRefT22_8x_0)</f>
        <v>1200</v>
      </c>
      <c r="U56" s="2"/>
      <c r="V56" s="5">
        <f t="shared" si="13"/>
        <v>0</v>
      </c>
      <c r="W56" s="2"/>
      <c r="X56" s="2">
        <f t="shared" si="14"/>
        <v>3622.2200000000003</v>
      </c>
      <c r="Y56" s="2"/>
      <c r="Z56" s="5">
        <f t="shared" si="15"/>
        <v>3.0185166666666667</v>
      </c>
    </row>
    <row r="57" spans="1:26" s="70" customFormat="1" ht="15" hidden="1" customHeight="1" outlineLevel="2" x14ac:dyDescent="0.3">
      <c r="A57" s="21"/>
      <c r="B57" s="9" t="str">
        <f>CONCATENATE("          ","6277"," - ","EMPLOYEE APPRECIATION")</f>
        <v xml:space="preserve">          6277 - EMPLOYEE APPRECIATION</v>
      </c>
      <c r="C57" s="9"/>
      <c r="D57" s="6">
        <v>771.97</v>
      </c>
      <c r="E57" s="3"/>
      <c r="F57" s="7">
        <f t="shared" si="8"/>
        <v>0</v>
      </c>
      <c r="G57" s="3"/>
      <c r="H57" s="6">
        <v>100</v>
      </c>
      <c r="I57" s="3"/>
      <c r="J57" s="7">
        <f t="shared" si="9"/>
        <v>0</v>
      </c>
      <c r="K57" s="3"/>
      <c r="L57" s="6">
        <f t="shared" si="10"/>
        <v>671.97</v>
      </c>
      <c r="M57" s="3"/>
      <c r="N57" s="7">
        <f t="shared" si="11"/>
        <v>6.7197000000000005</v>
      </c>
      <c r="O57" s="9"/>
      <c r="P57" s="6">
        <v>4822.22</v>
      </c>
      <c r="Q57" s="3"/>
      <c r="R57" s="7">
        <f t="shared" si="12"/>
        <v>0</v>
      </c>
      <c r="S57" s="3"/>
      <c r="T57" s="6">
        <v>1200</v>
      </c>
      <c r="U57" s="3"/>
      <c r="V57" s="7">
        <f t="shared" si="13"/>
        <v>0</v>
      </c>
      <c r="W57" s="3"/>
      <c r="X57" s="6">
        <f t="shared" si="14"/>
        <v>3622.2200000000003</v>
      </c>
      <c r="Y57" s="3"/>
      <c r="Z57" s="7">
        <f t="shared" si="15"/>
        <v>3.0185166666666667</v>
      </c>
    </row>
    <row r="58" spans="1:26" s="69" customFormat="1" ht="15" customHeight="1" outlineLevel="1" collapsed="1" x14ac:dyDescent="0.3">
      <c r="A58" s="20"/>
      <c r="B58" s="11" t="str">
        <f>CONCATENATE("     ","Equipment Rental                                  ")</f>
        <v xml:space="preserve">     Equipment Rental                                  </v>
      </c>
      <c r="C58" s="11"/>
      <c r="D58" s="2">
        <f>SUM(OSRRefD22_9x_0)</f>
        <v>1207.1099999999999</v>
      </c>
      <c r="E58" s="2"/>
      <c r="F58" s="5">
        <f t="shared" si="8"/>
        <v>0</v>
      </c>
      <c r="G58" s="2"/>
      <c r="H58" s="2">
        <f>SUM(OSRRefH22_9x_0)</f>
        <v>300</v>
      </c>
      <c r="I58" s="2"/>
      <c r="J58" s="5">
        <f t="shared" si="9"/>
        <v>0</v>
      </c>
      <c r="K58" s="2"/>
      <c r="L58" s="2">
        <f t="shared" si="10"/>
        <v>907.1099999999999</v>
      </c>
      <c r="M58" s="2"/>
      <c r="N58" s="5">
        <f t="shared" si="11"/>
        <v>3.0236999999999998</v>
      </c>
      <c r="O58" s="11"/>
      <c r="P58" s="2">
        <f>SUM(OSRRefP22_9x_0)</f>
        <v>4241.3999999999996</v>
      </c>
      <c r="Q58" s="2"/>
      <c r="R58" s="5">
        <f t="shared" si="12"/>
        <v>0</v>
      </c>
      <c r="S58" s="2"/>
      <c r="T58" s="2">
        <f>SUM(OSRRefT22_9x_0)</f>
        <v>3600</v>
      </c>
      <c r="U58" s="2"/>
      <c r="V58" s="5">
        <f t="shared" si="13"/>
        <v>0</v>
      </c>
      <c r="W58" s="2"/>
      <c r="X58" s="2">
        <f t="shared" si="14"/>
        <v>641.39999999999964</v>
      </c>
      <c r="Y58" s="2"/>
      <c r="Z58" s="5">
        <f t="shared" si="15"/>
        <v>0.17816666666666656</v>
      </c>
    </row>
    <row r="59" spans="1:26" s="70" customFormat="1" ht="15" hidden="1" customHeight="1" outlineLevel="2" x14ac:dyDescent="0.3">
      <c r="A59" s="21"/>
      <c r="B59" s="9" t="str">
        <f>CONCATENATE("          ","6351"," - ","EQUIPMENT RENTAL")</f>
        <v xml:space="preserve">          6351 - EQUIPMENT RENTAL</v>
      </c>
      <c r="C59" s="9"/>
      <c r="D59" s="6">
        <v>1207.1099999999999</v>
      </c>
      <c r="E59" s="3"/>
      <c r="F59" s="7">
        <f t="shared" si="8"/>
        <v>0</v>
      </c>
      <c r="G59" s="3"/>
      <c r="H59" s="6">
        <v>300</v>
      </c>
      <c r="I59" s="3"/>
      <c r="J59" s="7">
        <f t="shared" si="9"/>
        <v>0</v>
      </c>
      <c r="K59" s="3"/>
      <c r="L59" s="6">
        <f t="shared" si="10"/>
        <v>907.1099999999999</v>
      </c>
      <c r="M59" s="3"/>
      <c r="N59" s="7">
        <f t="shared" si="11"/>
        <v>3.0236999999999998</v>
      </c>
      <c r="O59" s="9"/>
      <c r="P59" s="6">
        <v>4241.3999999999996</v>
      </c>
      <c r="Q59" s="3"/>
      <c r="R59" s="7">
        <f t="shared" si="12"/>
        <v>0</v>
      </c>
      <c r="S59" s="3"/>
      <c r="T59" s="6">
        <v>3600</v>
      </c>
      <c r="U59" s="3"/>
      <c r="V59" s="7">
        <f t="shared" si="13"/>
        <v>0</v>
      </c>
      <c r="W59" s="3"/>
      <c r="X59" s="6">
        <f t="shared" si="14"/>
        <v>641.39999999999964</v>
      </c>
      <c r="Y59" s="3"/>
      <c r="Z59" s="7">
        <f t="shared" si="15"/>
        <v>0.17816666666666656</v>
      </c>
    </row>
    <row r="60" spans="1:26" s="69" customFormat="1" ht="15" customHeight="1" outlineLevel="1" collapsed="1" x14ac:dyDescent="0.3">
      <c r="A60" s="20"/>
      <c r="B60" s="11" t="str">
        <f>CONCATENATE("     ","Freight out/Postage                               ")</f>
        <v xml:space="preserve">     Freight out/Postage                               </v>
      </c>
      <c r="C60" s="11"/>
      <c r="D60" s="2">
        <f>SUM(OSRRefD22_10x_0)</f>
        <v>16.48</v>
      </c>
      <c r="E60" s="2"/>
      <c r="F60" s="5">
        <f t="shared" si="8"/>
        <v>0</v>
      </c>
      <c r="G60" s="2"/>
      <c r="H60" s="2">
        <f>SUM(OSRRefH22_10x_0)</f>
        <v>100</v>
      </c>
      <c r="I60" s="2"/>
      <c r="J60" s="5">
        <f t="shared" si="9"/>
        <v>0</v>
      </c>
      <c r="K60" s="2"/>
      <c r="L60" s="2">
        <f t="shared" si="10"/>
        <v>-83.52</v>
      </c>
      <c r="M60" s="2"/>
      <c r="N60" s="5">
        <f t="shared" si="11"/>
        <v>-0.83519999999999994</v>
      </c>
      <c r="O60" s="11"/>
      <c r="P60" s="2">
        <f>SUM(OSRRefP22_10x_0)</f>
        <v>11312.51</v>
      </c>
      <c r="Q60" s="2"/>
      <c r="R60" s="5">
        <f t="shared" si="12"/>
        <v>0</v>
      </c>
      <c r="S60" s="2"/>
      <c r="T60" s="2">
        <f>SUM(OSRRefT22_10x_0)</f>
        <v>1200</v>
      </c>
      <c r="U60" s="2"/>
      <c r="V60" s="5">
        <f t="shared" si="13"/>
        <v>0</v>
      </c>
      <c r="W60" s="2"/>
      <c r="X60" s="2">
        <f t="shared" si="14"/>
        <v>10112.51</v>
      </c>
      <c r="Y60" s="2"/>
      <c r="Z60" s="5">
        <f t="shared" si="15"/>
        <v>8.4270916666666675</v>
      </c>
    </row>
    <row r="61" spans="1:26" s="70" customFormat="1" ht="15" hidden="1" customHeight="1" outlineLevel="2" x14ac:dyDescent="0.3">
      <c r="A61" s="21"/>
      <c r="B61" s="9" t="str">
        <f>CONCATENATE("          ","6307"," - ","POSTAGE")</f>
        <v xml:space="preserve">          6307 - POSTAGE</v>
      </c>
      <c r="C61" s="9"/>
      <c r="D61" s="6">
        <v>16.48</v>
      </c>
      <c r="E61" s="3"/>
      <c r="F61" s="7">
        <f t="shared" si="8"/>
        <v>0</v>
      </c>
      <c r="G61" s="3"/>
      <c r="H61" s="6">
        <v>100</v>
      </c>
      <c r="I61" s="3"/>
      <c r="J61" s="7">
        <f t="shared" si="9"/>
        <v>0</v>
      </c>
      <c r="K61" s="3"/>
      <c r="L61" s="6">
        <f t="shared" si="10"/>
        <v>-83.52</v>
      </c>
      <c r="M61" s="3"/>
      <c r="N61" s="7">
        <f t="shared" si="11"/>
        <v>-0.83519999999999994</v>
      </c>
      <c r="O61" s="9"/>
      <c r="P61" s="6">
        <v>11312.51</v>
      </c>
      <c r="Q61" s="3"/>
      <c r="R61" s="7">
        <f t="shared" si="12"/>
        <v>0</v>
      </c>
      <c r="S61" s="3"/>
      <c r="T61" s="6">
        <v>1200</v>
      </c>
      <c r="U61" s="3"/>
      <c r="V61" s="7">
        <f t="shared" si="13"/>
        <v>0</v>
      </c>
      <c r="W61" s="3"/>
      <c r="X61" s="6">
        <f t="shared" si="14"/>
        <v>10112.51</v>
      </c>
      <c r="Y61" s="3"/>
      <c r="Z61" s="7">
        <f t="shared" si="15"/>
        <v>8.4270916666666675</v>
      </c>
    </row>
    <row r="62" spans="1:26" s="69" customFormat="1" ht="15" customHeight="1" outlineLevel="1" collapsed="1" x14ac:dyDescent="0.3">
      <c r="A62" s="20"/>
      <c r="B62" s="11" t="str">
        <f>CONCATENATE("     ","General                                           ")</f>
        <v xml:space="preserve">     General                                           </v>
      </c>
      <c r="C62" s="11"/>
      <c r="D62" s="2">
        <f>SUM(OSRRefD22_11x_0)</f>
        <v>200</v>
      </c>
      <c r="E62" s="2"/>
      <c r="F62" s="5">
        <f t="shared" si="8"/>
        <v>0</v>
      </c>
      <c r="G62" s="2"/>
      <c r="H62" s="2">
        <f>SUM(OSRRefH22_11x_0)</f>
        <v>200</v>
      </c>
      <c r="I62" s="2"/>
      <c r="J62" s="5">
        <f t="shared" si="9"/>
        <v>0</v>
      </c>
      <c r="K62" s="2"/>
      <c r="L62" s="2">
        <f t="shared" si="10"/>
        <v>0</v>
      </c>
      <c r="M62" s="2"/>
      <c r="N62" s="5">
        <f t="shared" si="11"/>
        <v>0</v>
      </c>
      <c r="O62" s="11"/>
      <c r="P62" s="2">
        <f>SUM(OSRRefP22_11x_0)</f>
        <v>3069.25</v>
      </c>
      <c r="Q62" s="2"/>
      <c r="R62" s="5">
        <f t="shared" si="12"/>
        <v>0</v>
      </c>
      <c r="S62" s="2"/>
      <c r="T62" s="2">
        <f>SUM(OSRRefT22_11x_0)</f>
        <v>2400</v>
      </c>
      <c r="U62" s="2"/>
      <c r="V62" s="5">
        <f t="shared" si="13"/>
        <v>0</v>
      </c>
      <c r="W62" s="2"/>
      <c r="X62" s="2">
        <f t="shared" si="14"/>
        <v>669.25</v>
      </c>
      <c r="Y62" s="2"/>
      <c r="Z62" s="5">
        <f t="shared" si="15"/>
        <v>0.27885416666666668</v>
      </c>
    </row>
    <row r="63" spans="1:26" s="70" customFormat="1" ht="15" hidden="1" customHeight="1" outlineLevel="2" x14ac:dyDescent="0.3">
      <c r="A63" s="21"/>
      <c r="B63" s="9" t="str">
        <f>CONCATENATE("          ","6279"," - ","GENERAL EXPENSE")</f>
        <v xml:space="preserve">          6279 - GENERAL EXPENSE</v>
      </c>
      <c r="C63" s="9"/>
      <c r="D63" s="6">
        <v>200</v>
      </c>
      <c r="E63" s="3"/>
      <c r="F63" s="7">
        <f t="shared" si="8"/>
        <v>0</v>
      </c>
      <c r="G63" s="3"/>
      <c r="H63" s="6">
        <v>200</v>
      </c>
      <c r="I63" s="3"/>
      <c r="J63" s="7">
        <f t="shared" si="9"/>
        <v>0</v>
      </c>
      <c r="K63" s="3"/>
      <c r="L63" s="6">
        <f t="shared" si="10"/>
        <v>0</v>
      </c>
      <c r="M63" s="3"/>
      <c r="N63" s="7">
        <f t="shared" si="11"/>
        <v>0</v>
      </c>
      <c r="O63" s="9"/>
      <c r="P63" s="6">
        <v>3069.25</v>
      </c>
      <c r="Q63" s="3"/>
      <c r="R63" s="7">
        <f t="shared" si="12"/>
        <v>0</v>
      </c>
      <c r="S63" s="3"/>
      <c r="T63" s="6">
        <v>2400</v>
      </c>
      <c r="U63" s="3"/>
      <c r="V63" s="7">
        <f t="shared" si="13"/>
        <v>0</v>
      </c>
      <c r="W63" s="3"/>
      <c r="X63" s="6">
        <f t="shared" si="14"/>
        <v>669.25</v>
      </c>
      <c r="Y63" s="3"/>
      <c r="Z63" s="7">
        <f t="shared" si="15"/>
        <v>0.27885416666666668</v>
      </c>
    </row>
    <row r="64" spans="1:26" s="69" customFormat="1" ht="15" customHeight="1" outlineLevel="1" collapsed="1" x14ac:dyDescent="0.3">
      <c r="A64" s="20"/>
      <c r="B64" s="11" t="str">
        <f>CONCATENATE("     ","Insurance                                         ")</f>
        <v xml:space="preserve">     Insurance                                         </v>
      </c>
      <c r="C64" s="11"/>
      <c r="D64" s="2">
        <f>SUM(OSRRefD22_12x_0)</f>
        <v>-1631.36</v>
      </c>
      <c r="E64" s="2"/>
      <c r="F64" s="5">
        <f t="shared" si="8"/>
        <v>0</v>
      </c>
      <c r="G64" s="2"/>
      <c r="H64" s="2">
        <f>SUM(OSRRefH22_12x_0)</f>
        <v>5200</v>
      </c>
      <c r="I64" s="2"/>
      <c r="J64" s="5">
        <f t="shared" si="9"/>
        <v>0</v>
      </c>
      <c r="K64" s="2"/>
      <c r="L64" s="2">
        <f t="shared" si="10"/>
        <v>-6831.36</v>
      </c>
      <c r="M64" s="2"/>
      <c r="N64" s="5">
        <f t="shared" si="11"/>
        <v>-1.3137230769230768</v>
      </c>
      <c r="O64" s="11"/>
      <c r="P64" s="2">
        <f>SUM(OSRRefP22_12x_0)</f>
        <v>56399.03</v>
      </c>
      <c r="Q64" s="2"/>
      <c r="R64" s="5">
        <f t="shared" si="12"/>
        <v>0</v>
      </c>
      <c r="S64" s="2"/>
      <c r="T64" s="2">
        <f>SUM(OSRRefT22_12x_0)</f>
        <v>62400</v>
      </c>
      <c r="U64" s="2"/>
      <c r="V64" s="5">
        <f t="shared" si="13"/>
        <v>0</v>
      </c>
      <c r="W64" s="2"/>
      <c r="X64" s="2">
        <f t="shared" si="14"/>
        <v>-6000.9700000000012</v>
      </c>
      <c r="Y64" s="2"/>
      <c r="Z64" s="5">
        <f t="shared" si="15"/>
        <v>-9.6169391025641038E-2</v>
      </c>
    </row>
    <row r="65" spans="1:26" s="70" customFormat="1" ht="15" hidden="1" customHeight="1" outlineLevel="2" x14ac:dyDescent="0.3">
      <c r="A65" s="21"/>
      <c r="B65" s="9" t="str">
        <f>CONCATENATE("          ","6314"," - ","LIABILITY INSURANCE")</f>
        <v xml:space="preserve">          6314 - LIABILITY INSURANCE</v>
      </c>
      <c r="C65" s="9"/>
      <c r="D65" s="6">
        <v>-1631.36</v>
      </c>
      <c r="E65" s="3"/>
      <c r="F65" s="7">
        <f t="shared" si="8"/>
        <v>0</v>
      </c>
      <c r="G65" s="3"/>
      <c r="H65" s="6">
        <v>5200</v>
      </c>
      <c r="I65" s="3"/>
      <c r="J65" s="7">
        <f t="shared" si="9"/>
        <v>0</v>
      </c>
      <c r="K65" s="3"/>
      <c r="L65" s="6">
        <f t="shared" si="10"/>
        <v>-6831.36</v>
      </c>
      <c r="M65" s="3"/>
      <c r="N65" s="7">
        <f t="shared" si="11"/>
        <v>-1.3137230769230768</v>
      </c>
      <c r="O65" s="9"/>
      <c r="P65" s="6">
        <v>56399.03</v>
      </c>
      <c r="Q65" s="3"/>
      <c r="R65" s="7">
        <f t="shared" si="12"/>
        <v>0</v>
      </c>
      <c r="S65" s="3"/>
      <c r="T65" s="6">
        <v>62400</v>
      </c>
      <c r="U65" s="3"/>
      <c r="V65" s="7">
        <f t="shared" si="13"/>
        <v>0</v>
      </c>
      <c r="W65" s="3"/>
      <c r="X65" s="6">
        <f t="shared" si="14"/>
        <v>-6000.9700000000012</v>
      </c>
      <c r="Y65" s="3"/>
      <c r="Z65" s="7">
        <f t="shared" si="15"/>
        <v>-9.6169391025641038E-2</v>
      </c>
    </row>
    <row r="66" spans="1:26" s="69" customFormat="1" ht="15" customHeight="1" outlineLevel="1" collapsed="1" x14ac:dyDescent="0.3">
      <c r="A66" s="20"/>
      <c r="B66" s="11" t="str">
        <f>CONCATENATE("     ","Professional Services                             ")</f>
        <v xml:space="preserve">     Professional Services                             </v>
      </c>
      <c r="C66" s="11"/>
      <c r="D66" s="2">
        <f>SUM(OSRRefD22_13x_0)</f>
        <v>0</v>
      </c>
      <c r="E66" s="2"/>
      <c r="F66" s="5">
        <f t="shared" si="8"/>
        <v>0</v>
      </c>
      <c r="G66" s="2"/>
      <c r="H66" s="2">
        <f>SUM(OSRRefH22_13x_0)</f>
        <v>0</v>
      </c>
      <c r="I66" s="2"/>
      <c r="J66" s="5">
        <f t="shared" si="9"/>
        <v>0</v>
      </c>
      <c r="K66" s="2"/>
      <c r="L66" s="2">
        <f t="shared" si="10"/>
        <v>0</v>
      </c>
      <c r="M66" s="2"/>
      <c r="N66" s="5">
        <f t="shared" si="11"/>
        <v>0</v>
      </c>
      <c r="O66" s="11"/>
      <c r="P66" s="2">
        <f>SUM(OSRRefP22_13x_0)</f>
        <v>7517.43</v>
      </c>
      <c r="Q66" s="2"/>
      <c r="R66" s="5">
        <f t="shared" si="12"/>
        <v>0</v>
      </c>
      <c r="S66" s="2"/>
      <c r="T66" s="2">
        <f>SUM(OSRRefT22_13x_0)</f>
        <v>0</v>
      </c>
      <c r="U66" s="2"/>
      <c r="V66" s="5">
        <f t="shared" si="13"/>
        <v>0</v>
      </c>
      <c r="W66" s="2"/>
      <c r="X66" s="2">
        <f t="shared" si="14"/>
        <v>7517.43</v>
      </c>
      <c r="Y66" s="2"/>
      <c r="Z66" s="5">
        <f t="shared" si="15"/>
        <v>0</v>
      </c>
    </row>
    <row r="67" spans="1:26" s="70" customFormat="1" ht="15" hidden="1" customHeight="1" outlineLevel="2" x14ac:dyDescent="0.3">
      <c r="A67" s="21"/>
      <c r="B67" s="9" t="str">
        <f>CONCATENATE("          ","6336"," - ","PROFESSIONAL SERVICES")</f>
        <v xml:space="preserve">          6336 - PROFESSIONAL SERVICES</v>
      </c>
      <c r="C67" s="9"/>
      <c r="D67" s="6"/>
      <c r="E67" s="3"/>
      <c r="F67" s="7">
        <f t="shared" si="8"/>
        <v>0</v>
      </c>
      <c r="G67" s="3"/>
      <c r="H67" s="6"/>
      <c r="I67" s="3"/>
      <c r="J67" s="7">
        <f t="shared" si="9"/>
        <v>0</v>
      </c>
      <c r="K67" s="3"/>
      <c r="L67" s="6">
        <f t="shared" si="10"/>
        <v>0</v>
      </c>
      <c r="M67" s="3"/>
      <c r="N67" s="7">
        <f t="shared" si="11"/>
        <v>0</v>
      </c>
      <c r="O67" s="9"/>
      <c r="P67" s="6">
        <v>7517.43</v>
      </c>
      <c r="Q67" s="3"/>
      <c r="R67" s="7">
        <f t="shared" si="12"/>
        <v>0</v>
      </c>
      <c r="S67" s="3"/>
      <c r="T67" s="6"/>
      <c r="U67" s="3"/>
      <c r="V67" s="7">
        <f t="shared" si="13"/>
        <v>0</v>
      </c>
      <c r="W67" s="3"/>
      <c r="X67" s="6">
        <f t="shared" si="14"/>
        <v>7517.43</v>
      </c>
      <c r="Y67" s="3"/>
      <c r="Z67" s="7">
        <f t="shared" si="15"/>
        <v>0</v>
      </c>
    </row>
    <row r="68" spans="1:26" s="69" customFormat="1" ht="15" customHeight="1" outlineLevel="1" collapsed="1" x14ac:dyDescent="0.3">
      <c r="A68" s="20"/>
      <c r="B68" s="11" t="str">
        <f>CONCATENATE("     ","Rent                                              ")</f>
        <v xml:space="preserve">     Rent                                              </v>
      </c>
      <c r="C68" s="11"/>
      <c r="D68" s="2">
        <f>SUM(OSRRefD22_14x_0)</f>
        <v>0</v>
      </c>
      <c r="E68" s="2"/>
      <c r="F68" s="5">
        <f t="shared" si="8"/>
        <v>0</v>
      </c>
      <c r="G68" s="2"/>
      <c r="H68" s="2">
        <f>SUM(OSRRefH22_14x_0)</f>
        <v>-800</v>
      </c>
      <c r="I68" s="2"/>
      <c r="J68" s="5">
        <f t="shared" si="9"/>
        <v>0</v>
      </c>
      <c r="K68" s="2"/>
      <c r="L68" s="2">
        <f t="shared" si="10"/>
        <v>800</v>
      </c>
      <c r="M68" s="2"/>
      <c r="N68" s="5">
        <f t="shared" si="11"/>
        <v>-1</v>
      </c>
      <c r="O68" s="11"/>
      <c r="P68" s="2">
        <f>SUM(OSRRefP22_14x_0)</f>
        <v>-8800</v>
      </c>
      <c r="Q68" s="2"/>
      <c r="R68" s="5">
        <f t="shared" si="12"/>
        <v>0</v>
      </c>
      <c r="S68" s="2"/>
      <c r="T68" s="2">
        <f>SUM(OSRRefT22_14x_0)</f>
        <v>-9600</v>
      </c>
      <c r="U68" s="2"/>
      <c r="V68" s="5">
        <f t="shared" si="13"/>
        <v>0</v>
      </c>
      <c r="W68" s="2"/>
      <c r="X68" s="2">
        <f t="shared" si="14"/>
        <v>800</v>
      </c>
      <c r="Y68" s="2"/>
      <c r="Z68" s="5">
        <f t="shared" si="15"/>
        <v>-8.3333333333333329E-2</v>
      </c>
    </row>
    <row r="69" spans="1:26" s="70" customFormat="1" ht="15" hidden="1" customHeight="1" outlineLevel="2" x14ac:dyDescent="0.3">
      <c r="A69" s="21"/>
      <c r="B69" s="9" t="str">
        <f>CONCATENATE("          ","6273"," - ","RENT")</f>
        <v xml:space="preserve">          6273 - RENT</v>
      </c>
      <c r="C69" s="9"/>
      <c r="D69" s="6"/>
      <c r="E69" s="3"/>
      <c r="F69" s="7">
        <f t="shared" si="8"/>
        <v>0</v>
      </c>
      <c r="G69" s="3"/>
      <c r="H69" s="6">
        <v>-800</v>
      </c>
      <c r="I69" s="3"/>
      <c r="J69" s="7">
        <f t="shared" si="9"/>
        <v>0</v>
      </c>
      <c r="K69" s="3"/>
      <c r="L69" s="6">
        <f t="shared" si="10"/>
        <v>800</v>
      </c>
      <c r="M69" s="3"/>
      <c r="N69" s="7">
        <f t="shared" si="11"/>
        <v>-1</v>
      </c>
      <c r="O69" s="9"/>
      <c r="P69" s="6">
        <v>-8800</v>
      </c>
      <c r="Q69" s="3"/>
      <c r="R69" s="7">
        <f t="shared" si="12"/>
        <v>0</v>
      </c>
      <c r="S69" s="3"/>
      <c r="T69" s="6">
        <v>-9600</v>
      </c>
      <c r="U69" s="3"/>
      <c r="V69" s="7">
        <f t="shared" si="13"/>
        <v>0</v>
      </c>
      <c r="W69" s="3"/>
      <c r="X69" s="6">
        <f t="shared" si="14"/>
        <v>800</v>
      </c>
      <c r="Y69" s="3"/>
      <c r="Z69" s="7">
        <f t="shared" si="15"/>
        <v>-8.3333333333333329E-2</v>
      </c>
    </row>
    <row r="70" spans="1:26" s="69" customFormat="1" ht="15" customHeight="1" outlineLevel="1" collapsed="1" x14ac:dyDescent="0.3">
      <c r="A70" s="20"/>
      <c r="B70" s="11" t="str">
        <f>CONCATENATE("     ","Repair and Maintenance                            ")</f>
        <v xml:space="preserve">     Repair and Maintenance                            </v>
      </c>
      <c r="C70" s="11"/>
      <c r="D70" s="2">
        <f>SUM(OSRRefD22_15x_0)</f>
        <v>27786.940000000002</v>
      </c>
      <c r="E70" s="2"/>
      <c r="F70" s="5">
        <f t="shared" si="8"/>
        <v>0</v>
      </c>
      <c r="G70" s="2"/>
      <c r="H70" s="2">
        <f>SUM(OSRRefH22_15x_0)</f>
        <v>4950</v>
      </c>
      <c r="I70" s="2"/>
      <c r="J70" s="5">
        <f t="shared" si="9"/>
        <v>0</v>
      </c>
      <c r="K70" s="2"/>
      <c r="L70" s="2">
        <f t="shared" si="10"/>
        <v>22836.940000000002</v>
      </c>
      <c r="M70" s="2"/>
      <c r="N70" s="5">
        <f t="shared" si="11"/>
        <v>4.6135232323232325</v>
      </c>
      <c r="O70" s="11"/>
      <c r="P70" s="2">
        <f>SUM(OSRRefP22_15x_0)</f>
        <v>126477.64</v>
      </c>
      <c r="Q70" s="2"/>
      <c r="R70" s="5">
        <f t="shared" si="12"/>
        <v>0</v>
      </c>
      <c r="S70" s="2"/>
      <c r="T70" s="2">
        <f>SUM(OSRRefT22_15x_0)</f>
        <v>110720</v>
      </c>
      <c r="U70" s="2"/>
      <c r="V70" s="5">
        <f t="shared" si="13"/>
        <v>0</v>
      </c>
      <c r="W70" s="2"/>
      <c r="X70" s="2">
        <f t="shared" si="14"/>
        <v>15757.64</v>
      </c>
      <c r="Y70" s="2"/>
      <c r="Z70" s="5">
        <f t="shared" si="15"/>
        <v>0.142319725433526</v>
      </c>
    </row>
    <row r="71" spans="1:26" s="70" customFormat="1" ht="15" hidden="1" customHeight="1" outlineLevel="2" x14ac:dyDescent="0.3">
      <c r="A71" s="21"/>
      <c r="B71" s="9" t="str">
        <f>CONCATENATE("          ","6371"," - ","COMPUTER SOFTWARE MAINTENANCE")</f>
        <v xml:space="preserve">          6371 - COMPUTER SOFTWARE MAINTENANCE</v>
      </c>
      <c r="C71" s="9"/>
      <c r="D71" s="6"/>
      <c r="E71" s="3"/>
      <c r="F71" s="7">
        <f t="shared" si="8"/>
        <v>0</v>
      </c>
      <c r="G71" s="3"/>
      <c r="H71" s="6">
        <v>1000</v>
      </c>
      <c r="I71" s="3"/>
      <c r="J71" s="7">
        <f t="shared" si="9"/>
        <v>0</v>
      </c>
      <c r="K71" s="3"/>
      <c r="L71" s="6">
        <f t="shared" si="10"/>
        <v>-1000</v>
      </c>
      <c r="M71" s="3"/>
      <c r="N71" s="7">
        <f t="shared" si="11"/>
        <v>-1</v>
      </c>
      <c r="O71" s="9"/>
      <c r="P71" s="6">
        <v>56736</v>
      </c>
      <c r="Q71" s="3"/>
      <c r="R71" s="7">
        <f t="shared" si="12"/>
        <v>0</v>
      </c>
      <c r="S71" s="3"/>
      <c r="T71" s="6">
        <v>51000</v>
      </c>
      <c r="U71" s="3"/>
      <c r="V71" s="7">
        <f t="shared" si="13"/>
        <v>0</v>
      </c>
      <c r="W71" s="3"/>
      <c r="X71" s="6">
        <f t="shared" si="14"/>
        <v>5736</v>
      </c>
      <c r="Y71" s="3"/>
      <c r="Z71" s="7">
        <f t="shared" si="15"/>
        <v>0.11247058823529411</v>
      </c>
    </row>
    <row r="72" spans="1:26" s="70" customFormat="1" ht="15" hidden="1" customHeight="1" outlineLevel="2" x14ac:dyDescent="0.3">
      <c r="A72" s="21"/>
      <c r="B72" s="9" t="str">
        <f>CONCATENATE("          ","6372"," - ","COMPUTER HARDWARE MAINTENANCE")</f>
        <v xml:space="preserve">          6372 - COMPUTER HARDWARE MAINTENANCE</v>
      </c>
      <c r="C72" s="9"/>
      <c r="D72" s="6"/>
      <c r="E72" s="3"/>
      <c r="F72" s="7">
        <f t="shared" si="8"/>
        <v>0</v>
      </c>
      <c r="G72" s="3"/>
      <c r="H72" s="6">
        <v>3750</v>
      </c>
      <c r="I72" s="3"/>
      <c r="J72" s="7">
        <f t="shared" si="9"/>
        <v>0</v>
      </c>
      <c r="K72" s="3"/>
      <c r="L72" s="6">
        <f t="shared" si="10"/>
        <v>-3750</v>
      </c>
      <c r="M72" s="3"/>
      <c r="N72" s="7">
        <f t="shared" si="11"/>
        <v>-1</v>
      </c>
      <c r="O72" s="9"/>
      <c r="P72" s="6"/>
      <c r="Q72" s="3"/>
      <c r="R72" s="7">
        <f t="shared" si="12"/>
        <v>0</v>
      </c>
      <c r="S72" s="3"/>
      <c r="T72" s="6">
        <v>41620</v>
      </c>
      <c r="U72" s="3"/>
      <c r="V72" s="7">
        <f t="shared" si="13"/>
        <v>0</v>
      </c>
      <c r="W72" s="3"/>
      <c r="X72" s="6">
        <f t="shared" si="14"/>
        <v>-41620</v>
      </c>
      <c r="Y72" s="3"/>
      <c r="Z72" s="7">
        <f t="shared" si="15"/>
        <v>-1</v>
      </c>
    </row>
    <row r="73" spans="1:26" s="70" customFormat="1" ht="15" hidden="1" customHeight="1" outlineLevel="2" x14ac:dyDescent="0.3">
      <c r="A73" s="21"/>
      <c r="B73" s="9" t="str">
        <f>CONCATENATE("          ","6373"," - ","MAINTENANCE CONTRACTS")</f>
        <v xml:space="preserve">          6373 - MAINTENANCE CONTRACTS</v>
      </c>
      <c r="C73" s="9"/>
      <c r="D73" s="6">
        <v>3635.4</v>
      </c>
      <c r="E73" s="3"/>
      <c r="F73" s="7">
        <f t="shared" si="8"/>
        <v>0</v>
      </c>
      <c r="G73" s="3"/>
      <c r="H73" s="6">
        <v>200</v>
      </c>
      <c r="I73" s="3"/>
      <c r="J73" s="7">
        <f t="shared" si="9"/>
        <v>0</v>
      </c>
      <c r="K73" s="3"/>
      <c r="L73" s="6">
        <f t="shared" si="10"/>
        <v>3435.4</v>
      </c>
      <c r="M73" s="3"/>
      <c r="N73" s="7">
        <f t="shared" si="11"/>
        <v>17.177</v>
      </c>
      <c r="O73" s="9"/>
      <c r="P73" s="6">
        <v>15887.5</v>
      </c>
      <c r="Q73" s="3"/>
      <c r="R73" s="7">
        <f t="shared" si="12"/>
        <v>0</v>
      </c>
      <c r="S73" s="3"/>
      <c r="T73" s="6">
        <v>18100</v>
      </c>
      <c r="U73" s="3"/>
      <c r="V73" s="7">
        <f t="shared" si="13"/>
        <v>0</v>
      </c>
      <c r="W73" s="3"/>
      <c r="X73" s="6">
        <f t="shared" si="14"/>
        <v>-2212.5</v>
      </c>
      <c r="Y73" s="3"/>
      <c r="Z73" s="7">
        <f t="shared" si="15"/>
        <v>-0.12223756906077347</v>
      </c>
    </row>
    <row r="74" spans="1:26" s="70" customFormat="1" ht="15" hidden="1" customHeight="1" outlineLevel="2" x14ac:dyDescent="0.3">
      <c r="A74" s="21"/>
      <c r="B74" s="9" t="str">
        <f>CONCATENATE("          ","6375"," - ","OUTSIDE REPAIRS &amp; MAINTENANCE")</f>
        <v xml:space="preserve">          6375 - OUTSIDE REPAIRS &amp; MAINTENANCE</v>
      </c>
      <c r="C74" s="9"/>
      <c r="D74" s="6">
        <v>24151.54</v>
      </c>
      <c r="E74" s="3"/>
      <c r="F74" s="7">
        <f t="shared" si="8"/>
        <v>0</v>
      </c>
      <c r="G74" s="3"/>
      <c r="H74" s="6"/>
      <c r="I74" s="3"/>
      <c r="J74" s="7">
        <f t="shared" si="9"/>
        <v>0</v>
      </c>
      <c r="K74" s="3"/>
      <c r="L74" s="6">
        <f t="shared" si="10"/>
        <v>24151.54</v>
      </c>
      <c r="M74" s="3"/>
      <c r="N74" s="7">
        <f t="shared" si="11"/>
        <v>0</v>
      </c>
      <c r="O74" s="9"/>
      <c r="P74" s="6">
        <v>53854.14</v>
      </c>
      <c r="Q74" s="3"/>
      <c r="R74" s="7">
        <f t="shared" si="12"/>
        <v>0</v>
      </c>
      <c r="S74" s="3"/>
      <c r="T74" s="6"/>
      <c r="U74" s="3"/>
      <c r="V74" s="7">
        <f t="shared" si="13"/>
        <v>0</v>
      </c>
      <c r="W74" s="3"/>
      <c r="X74" s="6">
        <f t="shared" si="14"/>
        <v>53854.14</v>
      </c>
      <c r="Y74" s="3"/>
      <c r="Z74" s="7">
        <f t="shared" si="15"/>
        <v>0</v>
      </c>
    </row>
    <row r="75" spans="1:26" s="69" customFormat="1" ht="15" customHeight="1" outlineLevel="1" collapsed="1" x14ac:dyDescent="0.3">
      <c r="A75" s="20"/>
      <c r="B75" s="11" t="str">
        <f>CONCATENATE("     ","Services                                          ")</f>
        <v xml:space="preserve">     Services                                          </v>
      </c>
      <c r="C75" s="11"/>
      <c r="D75" s="2">
        <f>SUM(OSRRefD22_16x_0)</f>
        <v>6978.5700000000006</v>
      </c>
      <c r="E75" s="2"/>
      <c r="F75" s="5">
        <f t="shared" si="8"/>
        <v>0</v>
      </c>
      <c r="G75" s="2"/>
      <c r="H75" s="2">
        <f>SUM(OSRRefH22_16x_0)</f>
        <v>4300</v>
      </c>
      <c r="I75" s="2"/>
      <c r="J75" s="5">
        <f t="shared" si="9"/>
        <v>0</v>
      </c>
      <c r="K75" s="2"/>
      <c r="L75" s="2">
        <f t="shared" si="10"/>
        <v>2678.5700000000006</v>
      </c>
      <c r="M75" s="2"/>
      <c r="N75" s="5">
        <f t="shared" si="11"/>
        <v>0.62292325581395358</v>
      </c>
      <c r="O75" s="11"/>
      <c r="P75" s="2">
        <f>SUM(OSRRefP22_16x_0)</f>
        <v>62062.47</v>
      </c>
      <c r="Q75" s="2"/>
      <c r="R75" s="5">
        <f t="shared" si="12"/>
        <v>0</v>
      </c>
      <c r="S75" s="2"/>
      <c r="T75" s="2">
        <f>SUM(OSRRefT22_16x_0)</f>
        <v>51600</v>
      </c>
      <c r="U75" s="2"/>
      <c r="V75" s="5">
        <f t="shared" si="13"/>
        <v>0</v>
      </c>
      <c r="W75" s="2"/>
      <c r="X75" s="2">
        <f t="shared" si="14"/>
        <v>10462.470000000001</v>
      </c>
      <c r="Y75" s="2"/>
      <c r="Z75" s="5">
        <f t="shared" si="15"/>
        <v>0.20276104651162793</v>
      </c>
    </row>
    <row r="76" spans="1:26" s="70" customFormat="1" ht="15" hidden="1" customHeight="1" outlineLevel="2" x14ac:dyDescent="0.3">
      <c r="A76" s="21"/>
      <c r="B76" s="9" t="str">
        <f>CONCATENATE("          ","6282"," - ","JANITORIAL/EXTERMINATOR EXPENS")</f>
        <v xml:space="preserve">          6282 - JANITORIAL/EXTERMINATOR EXPENS</v>
      </c>
      <c r="C76" s="9"/>
      <c r="D76" s="6">
        <v>281.3</v>
      </c>
      <c r="E76" s="3"/>
      <c r="F76" s="7">
        <f t="shared" si="8"/>
        <v>0</v>
      </c>
      <c r="G76" s="3"/>
      <c r="H76" s="6">
        <v>4300</v>
      </c>
      <c r="I76" s="3"/>
      <c r="J76" s="7">
        <f t="shared" si="9"/>
        <v>0</v>
      </c>
      <c r="K76" s="3"/>
      <c r="L76" s="6">
        <f t="shared" si="10"/>
        <v>-4018.7</v>
      </c>
      <c r="M76" s="3"/>
      <c r="N76" s="7">
        <f t="shared" si="11"/>
        <v>-0.93458139534883722</v>
      </c>
      <c r="O76" s="9"/>
      <c r="P76" s="6">
        <v>2506.0300000000002</v>
      </c>
      <c r="Q76" s="3"/>
      <c r="R76" s="7">
        <f t="shared" si="12"/>
        <v>0</v>
      </c>
      <c r="S76" s="3"/>
      <c r="T76" s="6">
        <v>51600</v>
      </c>
      <c r="U76" s="3"/>
      <c r="V76" s="7">
        <f t="shared" si="13"/>
        <v>0</v>
      </c>
      <c r="W76" s="3"/>
      <c r="X76" s="6">
        <f t="shared" si="14"/>
        <v>-49093.97</v>
      </c>
      <c r="Y76" s="3"/>
      <c r="Z76" s="7">
        <f t="shared" si="15"/>
        <v>-0.95143352713178297</v>
      </c>
    </row>
    <row r="77" spans="1:26" s="70" customFormat="1" ht="15" hidden="1" customHeight="1" outlineLevel="2" x14ac:dyDescent="0.3">
      <c r="A77" s="21"/>
      <c r="B77" s="9" t="str">
        <f>CONCATENATE("          ","6285"," - ","JANITORIAL SERVICES")</f>
        <v xml:space="preserve">          6285 - JANITORIAL SERVICES</v>
      </c>
      <c r="C77" s="9"/>
      <c r="D77" s="6">
        <v>6697.27</v>
      </c>
      <c r="E77" s="3"/>
      <c r="F77" s="7">
        <f t="shared" si="8"/>
        <v>0</v>
      </c>
      <c r="G77" s="3"/>
      <c r="H77" s="6"/>
      <c r="I77" s="3"/>
      <c r="J77" s="7">
        <f t="shared" si="9"/>
        <v>0</v>
      </c>
      <c r="K77" s="3"/>
      <c r="L77" s="6">
        <f t="shared" si="10"/>
        <v>6697.27</v>
      </c>
      <c r="M77" s="3"/>
      <c r="N77" s="7">
        <f t="shared" si="11"/>
        <v>0</v>
      </c>
      <c r="O77" s="9"/>
      <c r="P77" s="6">
        <v>59556.44</v>
      </c>
      <c r="Q77" s="3"/>
      <c r="R77" s="7">
        <f t="shared" si="12"/>
        <v>0</v>
      </c>
      <c r="S77" s="3"/>
      <c r="T77" s="6"/>
      <c r="U77" s="3"/>
      <c r="V77" s="7">
        <f t="shared" si="13"/>
        <v>0</v>
      </c>
      <c r="W77" s="3"/>
      <c r="X77" s="6">
        <f t="shared" si="14"/>
        <v>59556.44</v>
      </c>
      <c r="Y77" s="3"/>
      <c r="Z77" s="7">
        <f t="shared" si="15"/>
        <v>0</v>
      </c>
    </row>
    <row r="78" spans="1:26" s="69" customFormat="1" ht="15" customHeight="1" outlineLevel="1" collapsed="1" x14ac:dyDescent="0.3">
      <c r="A78" s="20"/>
      <c r="B78" s="11" t="str">
        <f>CONCATENATE("     ","Subscriptions &amp; Dues                              ")</f>
        <v xml:space="preserve">     Subscriptions &amp; Dues                              </v>
      </c>
      <c r="C78" s="11"/>
      <c r="D78" s="2">
        <f>SUM(OSRRefD22_17x_0)</f>
        <v>0</v>
      </c>
      <c r="E78" s="2"/>
      <c r="F78" s="5">
        <f t="shared" si="8"/>
        <v>0</v>
      </c>
      <c r="G78" s="2"/>
      <c r="H78" s="2">
        <f>SUM(OSRRefH22_17x_0)</f>
        <v>0</v>
      </c>
      <c r="I78" s="2"/>
      <c r="J78" s="5">
        <f t="shared" si="9"/>
        <v>0</v>
      </c>
      <c r="K78" s="2"/>
      <c r="L78" s="2">
        <f t="shared" si="10"/>
        <v>0</v>
      </c>
      <c r="M78" s="2"/>
      <c r="N78" s="5">
        <f t="shared" si="11"/>
        <v>0</v>
      </c>
      <c r="O78" s="11"/>
      <c r="P78" s="2">
        <f>SUM(OSRRefP22_17x_0)</f>
        <v>580</v>
      </c>
      <c r="Q78" s="2"/>
      <c r="R78" s="5">
        <f t="shared" si="12"/>
        <v>0</v>
      </c>
      <c r="S78" s="2"/>
      <c r="T78" s="2">
        <f>SUM(OSRRefT22_17x_0)</f>
        <v>5000</v>
      </c>
      <c r="U78" s="2"/>
      <c r="V78" s="5">
        <f t="shared" si="13"/>
        <v>0</v>
      </c>
      <c r="W78" s="2"/>
      <c r="X78" s="2">
        <f t="shared" si="14"/>
        <v>-4420</v>
      </c>
      <c r="Y78" s="2"/>
      <c r="Z78" s="5">
        <f t="shared" si="15"/>
        <v>-0.88400000000000001</v>
      </c>
    </row>
    <row r="79" spans="1:26" s="70" customFormat="1" ht="15" hidden="1" customHeight="1" outlineLevel="2" x14ac:dyDescent="0.3">
      <c r="A79" s="21"/>
      <c r="B79" s="9" t="str">
        <f>CONCATENATE("          ","6258"," - ","MEMBERSHIP DUES")</f>
        <v xml:space="preserve">          6258 - MEMBERSHIP DUES</v>
      </c>
      <c r="C79" s="9"/>
      <c r="D79" s="6"/>
      <c r="E79" s="3"/>
      <c r="F79" s="7">
        <f t="shared" si="8"/>
        <v>0</v>
      </c>
      <c r="G79" s="3"/>
      <c r="H79" s="6"/>
      <c r="I79" s="3"/>
      <c r="J79" s="7">
        <f t="shared" si="9"/>
        <v>0</v>
      </c>
      <c r="K79" s="3"/>
      <c r="L79" s="6">
        <f t="shared" si="10"/>
        <v>0</v>
      </c>
      <c r="M79" s="3"/>
      <c r="N79" s="7">
        <f t="shared" si="11"/>
        <v>0</v>
      </c>
      <c r="O79" s="9"/>
      <c r="P79" s="6">
        <v>580</v>
      </c>
      <c r="Q79" s="3"/>
      <c r="R79" s="7">
        <f t="shared" si="12"/>
        <v>0</v>
      </c>
      <c r="S79" s="3"/>
      <c r="T79" s="6">
        <v>5000</v>
      </c>
      <c r="U79" s="3"/>
      <c r="V79" s="7">
        <f t="shared" si="13"/>
        <v>0</v>
      </c>
      <c r="W79" s="3"/>
      <c r="X79" s="6">
        <f t="shared" si="14"/>
        <v>-4420</v>
      </c>
      <c r="Y79" s="3"/>
      <c r="Z79" s="7">
        <f t="shared" si="15"/>
        <v>-0.88400000000000001</v>
      </c>
    </row>
    <row r="80" spans="1:26" s="69" customFormat="1" ht="15" customHeight="1" outlineLevel="1" collapsed="1" x14ac:dyDescent="0.3">
      <c r="A80" s="20"/>
      <c r="B80" s="11" t="str">
        <f>CONCATENATE("     ","Supplies                                          ")</f>
        <v xml:space="preserve">     Supplies                                          </v>
      </c>
      <c r="C80" s="11"/>
      <c r="D80" s="2">
        <f>SUM(OSRRefD22_18x_0)</f>
        <v>17753.57</v>
      </c>
      <c r="E80" s="2"/>
      <c r="F80" s="5">
        <f t="shared" si="8"/>
        <v>0</v>
      </c>
      <c r="G80" s="2"/>
      <c r="H80" s="2">
        <f>SUM(OSRRefH22_18x_0)</f>
        <v>5500</v>
      </c>
      <c r="I80" s="2"/>
      <c r="J80" s="5">
        <f t="shared" si="9"/>
        <v>0</v>
      </c>
      <c r="K80" s="2"/>
      <c r="L80" s="2">
        <f t="shared" si="10"/>
        <v>12253.57</v>
      </c>
      <c r="M80" s="2"/>
      <c r="N80" s="5">
        <f t="shared" si="11"/>
        <v>2.2279218181818181</v>
      </c>
      <c r="O80" s="11"/>
      <c r="P80" s="2">
        <f>SUM(OSRRefP22_18x_0)</f>
        <v>62219.39</v>
      </c>
      <c r="Q80" s="2"/>
      <c r="R80" s="5">
        <f t="shared" si="12"/>
        <v>0</v>
      </c>
      <c r="S80" s="2"/>
      <c r="T80" s="2">
        <f>SUM(OSRRefT22_18x_0)</f>
        <v>65400</v>
      </c>
      <c r="U80" s="2"/>
      <c r="V80" s="5">
        <f t="shared" si="13"/>
        <v>0</v>
      </c>
      <c r="W80" s="2"/>
      <c r="X80" s="2">
        <f t="shared" si="14"/>
        <v>-3180.6100000000006</v>
      </c>
      <c r="Y80" s="2"/>
      <c r="Z80" s="5">
        <f t="shared" si="15"/>
        <v>-4.8633180428134568E-2</v>
      </c>
    </row>
    <row r="81" spans="1:26" s="70" customFormat="1" ht="15" hidden="1" customHeight="1" outlineLevel="2" x14ac:dyDescent="0.3">
      <c r="A81" s="21"/>
      <c r="B81" s="9" t="str">
        <f>CONCATENATE("          ","6234"," - ","EXPENDABLE SUPPLIES &amp; EQUIPMEN")</f>
        <v xml:space="preserve">          6234 - EXPENDABLE SUPPLIES &amp; EQUIPMEN</v>
      </c>
      <c r="C81" s="9"/>
      <c r="D81" s="6"/>
      <c r="E81" s="3"/>
      <c r="F81" s="7">
        <f t="shared" si="8"/>
        <v>0</v>
      </c>
      <c r="G81" s="3"/>
      <c r="H81" s="6">
        <v>300</v>
      </c>
      <c r="I81" s="3"/>
      <c r="J81" s="7">
        <f t="shared" si="9"/>
        <v>0</v>
      </c>
      <c r="K81" s="3"/>
      <c r="L81" s="6">
        <f t="shared" si="10"/>
        <v>-300</v>
      </c>
      <c r="M81" s="3"/>
      <c r="N81" s="7">
        <f t="shared" si="11"/>
        <v>-1</v>
      </c>
      <c r="O81" s="9"/>
      <c r="P81" s="6">
        <v>3896.02</v>
      </c>
      <c r="Q81" s="3"/>
      <c r="R81" s="7">
        <f t="shared" si="12"/>
        <v>0</v>
      </c>
      <c r="S81" s="3"/>
      <c r="T81" s="6">
        <v>3000</v>
      </c>
      <c r="U81" s="3"/>
      <c r="V81" s="7">
        <f t="shared" si="13"/>
        <v>0</v>
      </c>
      <c r="W81" s="3"/>
      <c r="X81" s="6">
        <f t="shared" si="14"/>
        <v>896.02</v>
      </c>
      <c r="Y81" s="3"/>
      <c r="Z81" s="7">
        <f t="shared" si="15"/>
        <v>0.29867333333333335</v>
      </c>
    </row>
    <row r="82" spans="1:26" s="70" customFormat="1" ht="15" hidden="1" customHeight="1" outlineLevel="2" x14ac:dyDescent="0.3">
      <c r="A82" s="21"/>
      <c r="B82" s="9" t="str">
        <f>CONCATENATE("          ","6235"," - ","COVID-19 EXPENSES")</f>
        <v xml:space="preserve">          6235 - COVID-19 EXPENSES</v>
      </c>
      <c r="C82" s="9"/>
      <c r="D82" s="6"/>
      <c r="E82" s="3"/>
      <c r="F82" s="7">
        <f t="shared" si="8"/>
        <v>0</v>
      </c>
      <c r="G82" s="3"/>
      <c r="H82" s="6">
        <v>100</v>
      </c>
      <c r="I82" s="3"/>
      <c r="J82" s="7">
        <f t="shared" si="9"/>
        <v>0</v>
      </c>
      <c r="K82" s="3"/>
      <c r="L82" s="6">
        <f t="shared" si="10"/>
        <v>-100</v>
      </c>
      <c r="M82" s="3"/>
      <c r="N82" s="7">
        <f t="shared" si="11"/>
        <v>-1</v>
      </c>
      <c r="O82" s="9"/>
      <c r="P82" s="6">
        <v>3586.32</v>
      </c>
      <c r="Q82" s="3"/>
      <c r="R82" s="7">
        <f t="shared" si="12"/>
        <v>0</v>
      </c>
      <c r="S82" s="3"/>
      <c r="T82" s="6">
        <v>1200</v>
      </c>
      <c r="U82" s="3"/>
      <c r="V82" s="7">
        <f t="shared" si="13"/>
        <v>0</v>
      </c>
      <c r="W82" s="3"/>
      <c r="X82" s="6">
        <f t="shared" si="14"/>
        <v>2386.3200000000002</v>
      </c>
      <c r="Y82" s="3"/>
      <c r="Z82" s="7">
        <f t="shared" si="15"/>
        <v>1.9886000000000001</v>
      </c>
    </row>
    <row r="83" spans="1:26" s="70" customFormat="1" ht="15" hidden="1" customHeight="1" outlineLevel="2" x14ac:dyDescent="0.3">
      <c r="A83" s="21"/>
      <c r="B83" s="9" t="str">
        <f>CONCATENATE("          ","6237"," - ","JANITORIAL SUPPLIES")</f>
        <v xml:space="preserve">          6237 - JANITORIAL SUPPLIES</v>
      </c>
      <c r="C83" s="9"/>
      <c r="D83" s="6">
        <v>1431.01</v>
      </c>
      <c r="E83" s="3"/>
      <c r="F83" s="7">
        <f t="shared" ref="F83:F96" si="16">IF(D$12=0,0,D83/D$12)</f>
        <v>0</v>
      </c>
      <c r="G83" s="3"/>
      <c r="H83" s="6"/>
      <c r="I83" s="3"/>
      <c r="J83" s="7">
        <f t="shared" ref="J83:J96" si="17">IF(H$12=0,0,H83/H$12)</f>
        <v>0</v>
      </c>
      <c r="K83" s="3"/>
      <c r="L83" s="6">
        <f t="shared" ref="L83:L96" si="18">+D83-H83</f>
        <v>1431.01</v>
      </c>
      <c r="M83" s="3"/>
      <c r="N83" s="7">
        <f t="shared" ref="N83:N96" si="19">IF(H83=0,0,L83/H83)</f>
        <v>0</v>
      </c>
      <c r="O83" s="9"/>
      <c r="P83" s="6">
        <v>7226.47</v>
      </c>
      <c r="Q83" s="3"/>
      <c r="R83" s="7">
        <f t="shared" ref="R83:R96" si="20">IF(P$12=0,0,P83/P$12)</f>
        <v>0</v>
      </c>
      <c r="S83" s="3"/>
      <c r="T83" s="6"/>
      <c r="U83" s="3"/>
      <c r="V83" s="7">
        <f t="shared" ref="V83:V96" si="21">IF(T$12=0,0,T83/T$12)</f>
        <v>0</v>
      </c>
      <c r="W83" s="3"/>
      <c r="X83" s="6">
        <f t="shared" ref="X83:X96" si="22">+P83-T83</f>
        <v>7226.47</v>
      </c>
      <c r="Y83" s="3"/>
      <c r="Z83" s="7">
        <f t="shared" ref="Z83:Z96" si="23">IF(T83=0,0,X83/T83)</f>
        <v>0</v>
      </c>
    </row>
    <row r="84" spans="1:26" s="70" customFormat="1" ht="15" hidden="1" customHeight="1" outlineLevel="2" x14ac:dyDescent="0.3">
      <c r="A84" s="21"/>
      <c r="B84" s="9" t="str">
        <f>CONCATENATE("          ","6241"," - ","OFFICE EXPENSE")</f>
        <v xml:space="preserve">          6241 - OFFICE EXPENSE</v>
      </c>
      <c r="C84" s="9"/>
      <c r="D84" s="6">
        <v>272.79000000000002</v>
      </c>
      <c r="E84" s="3"/>
      <c r="F84" s="7">
        <f t="shared" si="16"/>
        <v>0</v>
      </c>
      <c r="G84" s="3"/>
      <c r="H84" s="6">
        <v>100</v>
      </c>
      <c r="I84" s="3"/>
      <c r="J84" s="7">
        <f t="shared" si="17"/>
        <v>0</v>
      </c>
      <c r="K84" s="3"/>
      <c r="L84" s="6">
        <f t="shared" si="18"/>
        <v>172.79000000000002</v>
      </c>
      <c r="M84" s="3"/>
      <c r="N84" s="7">
        <f t="shared" si="19"/>
        <v>1.7279000000000002</v>
      </c>
      <c r="O84" s="9"/>
      <c r="P84" s="6">
        <v>2339.04</v>
      </c>
      <c r="Q84" s="3"/>
      <c r="R84" s="7">
        <f t="shared" si="20"/>
        <v>0</v>
      </c>
      <c r="S84" s="3"/>
      <c r="T84" s="6">
        <v>1200</v>
      </c>
      <c r="U84" s="3"/>
      <c r="V84" s="7">
        <f t="shared" si="21"/>
        <v>0</v>
      </c>
      <c r="W84" s="3"/>
      <c r="X84" s="6">
        <f t="shared" si="22"/>
        <v>1139.04</v>
      </c>
      <c r="Y84" s="3"/>
      <c r="Z84" s="7">
        <f t="shared" si="23"/>
        <v>0.94919999999999993</v>
      </c>
    </row>
    <row r="85" spans="1:26" s="70" customFormat="1" ht="15" hidden="1" customHeight="1" outlineLevel="2" x14ac:dyDescent="0.3">
      <c r="A85" s="21"/>
      <c r="B85" s="9" t="str">
        <f>CONCATENATE("          ","6245"," - ","PRINTING")</f>
        <v xml:space="preserve">          6245 - PRINTING</v>
      </c>
      <c r="C85" s="9"/>
      <c r="D85" s="6">
        <v>125.16</v>
      </c>
      <c r="E85" s="3"/>
      <c r="F85" s="7">
        <f t="shared" si="16"/>
        <v>0</v>
      </c>
      <c r="G85" s="3"/>
      <c r="H85" s="6"/>
      <c r="I85" s="3"/>
      <c r="J85" s="7">
        <f t="shared" si="17"/>
        <v>0</v>
      </c>
      <c r="K85" s="3"/>
      <c r="L85" s="6">
        <f t="shared" si="18"/>
        <v>125.16</v>
      </c>
      <c r="M85" s="3"/>
      <c r="N85" s="7">
        <f t="shared" si="19"/>
        <v>0</v>
      </c>
      <c r="O85" s="9"/>
      <c r="P85" s="6">
        <v>1743.6</v>
      </c>
      <c r="Q85" s="3"/>
      <c r="R85" s="7">
        <f t="shared" si="20"/>
        <v>0</v>
      </c>
      <c r="S85" s="3"/>
      <c r="T85" s="6"/>
      <c r="U85" s="3"/>
      <c r="V85" s="7">
        <f t="shared" si="21"/>
        <v>0</v>
      </c>
      <c r="W85" s="3"/>
      <c r="X85" s="6">
        <f t="shared" si="22"/>
        <v>1743.6</v>
      </c>
      <c r="Y85" s="3"/>
      <c r="Z85" s="7">
        <f t="shared" si="23"/>
        <v>0</v>
      </c>
    </row>
    <row r="86" spans="1:26" s="70" customFormat="1" ht="15" hidden="1" customHeight="1" outlineLevel="2" x14ac:dyDescent="0.3">
      <c r="A86" s="21"/>
      <c r="B86" s="9" t="str">
        <f>CONCATENATE("          ","6247"," - ","STORE SUPPLIES")</f>
        <v xml:space="preserve">          6247 - STORE SUPPLIES</v>
      </c>
      <c r="C86" s="9"/>
      <c r="D86" s="6">
        <v>15924.61</v>
      </c>
      <c r="E86" s="3"/>
      <c r="F86" s="7">
        <f t="shared" si="16"/>
        <v>0</v>
      </c>
      <c r="G86" s="3"/>
      <c r="H86" s="6">
        <v>5000</v>
      </c>
      <c r="I86" s="3"/>
      <c r="J86" s="7">
        <f t="shared" si="17"/>
        <v>0</v>
      </c>
      <c r="K86" s="3"/>
      <c r="L86" s="6">
        <f t="shared" si="18"/>
        <v>10924.61</v>
      </c>
      <c r="M86" s="3"/>
      <c r="N86" s="7">
        <f t="shared" si="19"/>
        <v>2.1849220000000003</v>
      </c>
      <c r="O86" s="9"/>
      <c r="P86" s="6">
        <v>43427.94</v>
      </c>
      <c r="Q86" s="3"/>
      <c r="R86" s="7">
        <f t="shared" si="20"/>
        <v>0</v>
      </c>
      <c r="S86" s="3"/>
      <c r="T86" s="6">
        <v>60000</v>
      </c>
      <c r="U86" s="3"/>
      <c r="V86" s="7">
        <f t="shared" si="21"/>
        <v>0</v>
      </c>
      <c r="W86" s="3"/>
      <c r="X86" s="6">
        <f t="shared" si="22"/>
        <v>-16572.059999999998</v>
      </c>
      <c r="Y86" s="3"/>
      <c r="Z86" s="7">
        <f t="shared" si="23"/>
        <v>-0.27620099999999997</v>
      </c>
    </row>
    <row r="87" spans="1:26" s="69" customFormat="1" ht="15" customHeight="1" outlineLevel="1" collapsed="1" x14ac:dyDescent="0.3">
      <c r="A87" s="20"/>
      <c r="B87" s="11" t="str">
        <f>CONCATENATE("     ","Telephone/Data Lines                              ")</f>
        <v xml:space="preserve">     Telephone/Data Lines                              </v>
      </c>
      <c r="C87" s="11"/>
      <c r="D87" s="2">
        <f>SUM(OSRRefD22_19x_0)</f>
        <v>252.05</v>
      </c>
      <c r="E87" s="2"/>
      <c r="F87" s="5">
        <f t="shared" si="16"/>
        <v>0</v>
      </c>
      <c r="G87" s="2"/>
      <c r="H87" s="2">
        <f>SUM(OSRRefH22_19x_0)</f>
        <v>600</v>
      </c>
      <c r="I87" s="2"/>
      <c r="J87" s="5">
        <f t="shared" si="17"/>
        <v>0</v>
      </c>
      <c r="K87" s="2"/>
      <c r="L87" s="2">
        <f t="shared" si="18"/>
        <v>-347.95</v>
      </c>
      <c r="M87" s="2"/>
      <c r="N87" s="5">
        <f t="shared" si="19"/>
        <v>-0.57991666666666664</v>
      </c>
      <c r="O87" s="11"/>
      <c r="P87" s="2">
        <f>SUM(OSRRefP22_19x_0)</f>
        <v>6733.17</v>
      </c>
      <c r="Q87" s="2"/>
      <c r="R87" s="5">
        <f t="shared" si="20"/>
        <v>0</v>
      </c>
      <c r="S87" s="2"/>
      <c r="T87" s="2">
        <f>SUM(OSRRefT22_19x_0)</f>
        <v>7200</v>
      </c>
      <c r="U87" s="2"/>
      <c r="V87" s="5">
        <f t="shared" si="21"/>
        <v>0</v>
      </c>
      <c r="W87" s="2"/>
      <c r="X87" s="2">
        <f t="shared" si="22"/>
        <v>-466.82999999999993</v>
      </c>
      <c r="Y87" s="2"/>
      <c r="Z87" s="5">
        <f t="shared" si="23"/>
        <v>-6.4837499999999992E-2</v>
      </c>
    </row>
    <row r="88" spans="1:26" s="70" customFormat="1" ht="15" hidden="1" customHeight="1" outlineLevel="2" x14ac:dyDescent="0.3">
      <c r="A88" s="21"/>
      <c r="B88" s="9" t="str">
        <f>CONCATENATE("          ","6309"," - ","TELEPHONE")</f>
        <v xml:space="preserve">          6309 - TELEPHONE</v>
      </c>
      <c r="C88" s="9"/>
      <c r="D88" s="6">
        <v>252.05</v>
      </c>
      <c r="E88" s="3"/>
      <c r="F88" s="7">
        <f t="shared" si="16"/>
        <v>0</v>
      </c>
      <c r="G88" s="3"/>
      <c r="H88" s="6">
        <v>600</v>
      </c>
      <c r="I88" s="3"/>
      <c r="J88" s="7">
        <f t="shared" si="17"/>
        <v>0</v>
      </c>
      <c r="K88" s="3"/>
      <c r="L88" s="6">
        <f t="shared" si="18"/>
        <v>-347.95</v>
      </c>
      <c r="M88" s="3"/>
      <c r="N88" s="7">
        <f t="shared" si="19"/>
        <v>-0.57991666666666664</v>
      </c>
      <c r="O88" s="9"/>
      <c r="P88" s="6">
        <v>6733.17</v>
      </c>
      <c r="Q88" s="3"/>
      <c r="R88" s="7">
        <f t="shared" si="20"/>
        <v>0</v>
      </c>
      <c r="S88" s="3"/>
      <c r="T88" s="6">
        <v>7200</v>
      </c>
      <c r="U88" s="3"/>
      <c r="V88" s="7">
        <f t="shared" si="21"/>
        <v>0</v>
      </c>
      <c r="W88" s="3"/>
      <c r="X88" s="6">
        <f t="shared" si="22"/>
        <v>-466.82999999999993</v>
      </c>
      <c r="Y88" s="3"/>
      <c r="Z88" s="7">
        <f t="shared" si="23"/>
        <v>-6.4837499999999992E-2</v>
      </c>
    </row>
    <row r="89" spans="1:26" s="69" customFormat="1" ht="15" customHeight="1" outlineLevel="1" collapsed="1" x14ac:dyDescent="0.3">
      <c r="A89" s="20"/>
      <c r="B89" s="11" t="str">
        <f>CONCATENATE("     ","Training                                          ")</f>
        <v xml:space="preserve">     Training                                          </v>
      </c>
      <c r="C89" s="11"/>
      <c r="D89" s="2">
        <f>SUM(OSRRefD22_20x_0)</f>
        <v>0</v>
      </c>
      <c r="E89" s="2"/>
      <c r="F89" s="5">
        <f t="shared" si="16"/>
        <v>0</v>
      </c>
      <c r="G89" s="2"/>
      <c r="H89" s="2">
        <f>SUM(OSRRefH22_20x_0)</f>
        <v>0</v>
      </c>
      <c r="I89" s="2"/>
      <c r="J89" s="5">
        <f t="shared" si="17"/>
        <v>0</v>
      </c>
      <c r="K89" s="2"/>
      <c r="L89" s="2">
        <f t="shared" si="18"/>
        <v>0</v>
      </c>
      <c r="M89" s="2"/>
      <c r="N89" s="5">
        <f t="shared" si="19"/>
        <v>0</v>
      </c>
      <c r="O89" s="11"/>
      <c r="P89" s="2">
        <f>SUM(OSRRefP22_20x_0)</f>
        <v>6494</v>
      </c>
      <c r="Q89" s="2"/>
      <c r="R89" s="5">
        <f t="shared" si="20"/>
        <v>0</v>
      </c>
      <c r="S89" s="2"/>
      <c r="T89" s="2">
        <f>SUM(OSRRefT22_20x_0)</f>
        <v>2000</v>
      </c>
      <c r="U89" s="2"/>
      <c r="V89" s="5">
        <f t="shared" si="21"/>
        <v>0</v>
      </c>
      <c r="W89" s="2"/>
      <c r="X89" s="2">
        <f t="shared" si="22"/>
        <v>4494</v>
      </c>
      <c r="Y89" s="2"/>
      <c r="Z89" s="5">
        <f t="shared" si="23"/>
        <v>2.2469999999999999</v>
      </c>
    </row>
    <row r="90" spans="1:26" s="70" customFormat="1" ht="15" hidden="1" customHeight="1" outlineLevel="2" x14ac:dyDescent="0.3">
      <c r="A90" s="21"/>
      <c r="B90" s="9" t="str">
        <f>CONCATENATE("          ","6376"," - ","TRAINING")</f>
        <v xml:space="preserve">          6376 - TRAINING</v>
      </c>
      <c r="C90" s="9"/>
      <c r="D90" s="6"/>
      <c r="E90" s="3"/>
      <c r="F90" s="7">
        <f t="shared" si="16"/>
        <v>0</v>
      </c>
      <c r="G90" s="3"/>
      <c r="H90" s="6"/>
      <c r="I90" s="3"/>
      <c r="J90" s="7">
        <f t="shared" si="17"/>
        <v>0</v>
      </c>
      <c r="K90" s="3"/>
      <c r="L90" s="6">
        <f t="shared" si="18"/>
        <v>0</v>
      </c>
      <c r="M90" s="3"/>
      <c r="N90" s="7">
        <f t="shared" si="19"/>
        <v>0</v>
      </c>
      <c r="O90" s="9"/>
      <c r="P90" s="6">
        <v>6494</v>
      </c>
      <c r="Q90" s="3"/>
      <c r="R90" s="7">
        <f t="shared" si="20"/>
        <v>0</v>
      </c>
      <c r="S90" s="3"/>
      <c r="T90" s="6">
        <v>2000</v>
      </c>
      <c r="U90" s="3"/>
      <c r="V90" s="7">
        <f t="shared" si="21"/>
        <v>0</v>
      </c>
      <c r="W90" s="3"/>
      <c r="X90" s="6">
        <f t="shared" si="22"/>
        <v>4494</v>
      </c>
      <c r="Y90" s="3"/>
      <c r="Z90" s="7">
        <f t="shared" si="23"/>
        <v>2.2469999999999999</v>
      </c>
    </row>
    <row r="91" spans="1:26" s="69" customFormat="1" ht="15" customHeight="1" outlineLevel="1" collapsed="1" x14ac:dyDescent="0.3">
      <c r="A91" s="20"/>
      <c r="B91" s="11" t="str">
        <f>CONCATENATE("     ","Travel                                            ")</f>
        <v xml:space="preserve">     Travel                                            </v>
      </c>
      <c r="C91" s="11"/>
      <c r="D91" s="2">
        <f>SUM(OSRRefD22_21x_0)</f>
        <v>100</v>
      </c>
      <c r="E91" s="2"/>
      <c r="F91" s="5">
        <f t="shared" si="16"/>
        <v>0</v>
      </c>
      <c r="G91" s="2"/>
      <c r="H91" s="2">
        <f>SUM(OSRRefH22_21x_0)</f>
        <v>125</v>
      </c>
      <c r="I91" s="2"/>
      <c r="J91" s="5">
        <f t="shared" si="17"/>
        <v>0</v>
      </c>
      <c r="K91" s="2"/>
      <c r="L91" s="2">
        <f t="shared" si="18"/>
        <v>-25</v>
      </c>
      <c r="M91" s="2"/>
      <c r="N91" s="5">
        <f t="shared" si="19"/>
        <v>-0.2</v>
      </c>
      <c r="O91" s="11"/>
      <c r="P91" s="2">
        <f>SUM(OSRRefP22_21x_0)</f>
        <v>1114.6199999999999</v>
      </c>
      <c r="Q91" s="2"/>
      <c r="R91" s="5">
        <f t="shared" si="20"/>
        <v>0</v>
      </c>
      <c r="S91" s="2"/>
      <c r="T91" s="2">
        <f>SUM(OSRRefT22_21x_0)</f>
        <v>1500</v>
      </c>
      <c r="U91" s="2"/>
      <c r="V91" s="5">
        <f t="shared" si="21"/>
        <v>0</v>
      </c>
      <c r="W91" s="2"/>
      <c r="X91" s="2">
        <f t="shared" si="22"/>
        <v>-385.38000000000011</v>
      </c>
      <c r="Y91" s="2"/>
      <c r="Z91" s="5">
        <f t="shared" si="23"/>
        <v>-0.25692000000000009</v>
      </c>
    </row>
    <row r="92" spans="1:26" s="70" customFormat="1" ht="15" hidden="1" customHeight="1" outlineLevel="2" x14ac:dyDescent="0.3">
      <c r="A92" s="21"/>
      <c r="B92" s="9" t="str">
        <f>CONCATENATE("          ","6292"," - ","TRAVEL/CONFERENCE")</f>
        <v xml:space="preserve">          6292 - TRAVEL/CONFERENCE</v>
      </c>
      <c r="C92" s="9"/>
      <c r="D92" s="6"/>
      <c r="E92" s="3"/>
      <c r="F92" s="7">
        <f t="shared" si="16"/>
        <v>0</v>
      </c>
      <c r="G92" s="3"/>
      <c r="H92" s="6">
        <v>125</v>
      </c>
      <c r="I92" s="3"/>
      <c r="J92" s="7">
        <f t="shared" si="17"/>
        <v>0</v>
      </c>
      <c r="K92" s="3"/>
      <c r="L92" s="6">
        <f t="shared" si="18"/>
        <v>-125</v>
      </c>
      <c r="M92" s="3"/>
      <c r="N92" s="7">
        <f t="shared" si="19"/>
        <v>-1</v>
      </c>
      <c r="O92" s="9"/>
      <c r="P92" s="6">
        <v>495</v>
      </c>
      <c r="Q92" s="3"/>
      <c r="R92" s="7">
        <f t="shared" si="20"/>
        <v>0</v>
      </c>
      <c r="S92" s="3"/>
      <c r="T92" s="6">
        <v>1500</v>
      </c>
      <c r="U92" s="3"/>
      <c r="V92" s="7">
        <f t="shared" si="21"/>
        <v>0</v>
      </c>
      <c r="W92" s="3"/>
      <c r="X92" s="6">
        <f t="shared" si="22"/>
        <v>-1005</v>
      </c>
      <c r="Y92" s="3"/>
      <c r="Z92" s="7">
        <f t="shared" si="23"/>
        <v>-0.67</v>
      </c>
    </row>
    <row r="93" spans="1:26" s="70" customFormat="1" ht="15" hidden="1" customHeight="1" outlineLevel="2" x14ac:dyDescent="0.3">
      <c r="A93" s="21"/>
      <c r="B93" s="9" t="str">
        <f>CONCATENATE("          ","6294"," - ","TRAVEL OPERATIONAL")</f>
        <v xml:space="preserve">          6294 - TRAVEL OPERATIONAL</v>
      </c>
      <c r="C93" s="9"/>
      <c r="D93" s="6"/>
      <c r="E93" s="3"/>
      <c r="F93" s="7">
        <f t="shared" si="16"/>
        <v>0</v>
      </c>
      <c r="G93" s="3"/>
      <c r="H93" s="6"/>
      <c r="I93" s="3"/>
      <c r="J93" s="7">
        <f t="shared" si="17"/>
        <v>0</v>
      </c>
      <c r="K93" s="3"/>
      <c r="L93" s="6">
        <f t="shared" si="18"/>
        <v>0</v>
      </c>
      <c r="M93" s="3"/>
      <c r="N93" s="7">
        <f t="shared" si="19"/>
        <v>0</v>
      </c>
      <c r="O93" s="9"/>
      <c r="P93" s="6">
        <v>20.239999999999998</v>
      </c>
      <c r="Q93" s="3"/>
      <c r="R93" s="7">
        <f t="shared" si="20"/>
        <v>0</v>
      </c>
      <c r="S93" s="3"/>
      <c r="T93" s="6"/>
      <c r="U93" s="3"/>
      <c r="V93" s="7">
        <f t="shared" si="21"/>
        <v>0</v>
      </c>
      <c r="W93" s="3"/>
      <c r="X93" s="6">
        <f t="shared" si="22"/>
        <v>20.239999999999998</v>
      </c>
      <c r="Y93" s="3"/>
      <c r="Z93" s="7">
        <f t="shared" si="23"/>
        <v>0</v>
      </c>
    </row>
    <row r="94" spans="1:26" s="70" customFormat="1" ht="15" hidden="1" customHeight="1" outlineLevel="2" x14ac:dyDescent="0.3">
      <c r="A94" s="21"/>
      <c r="B94" s="9" t="str">
        <f>CONCATENATE("          ","6298"," - ","VEHICLE MILEAGE")</f>
        <v xml:space="preserve">          6298 - VEHICLE MILEAGE</v>
      </c>
      <c r="C94" s="9"/>
      <c r="D94" s="6">
        <v>100</v>
      </c>
      <c r="E94" s="3"/>
      <c r="F94" s="7">
        <f t="shared" si="16"/>
        <v>0</v>
      </c>
      <c r="G94" s="3"/>
      <c r="H94" s="6"/>
      <c r="I94" s="3"/>
      <c r="J94" s="7">
        <f t="shared" si="17"/>
        <v>0</v>
      </c>
      <c r="K94" s="3"/>
      <c r="L94" s="6">
        <f t="shared" si="18"/>
        <v>100</v>
      </c>
      <c r="M94" s="3"/>
      <c r="N94" s="7">
        <f t="shared" si="19"/>
        <v>0</v>
      </c>
      <c r="O94" s="9"/>
      <c r="P94" s="6">
        <v>599.38</v>
      </c>
      <c r="Q94" s="3"/>
      <c r="R94" s="7">
        <f t="shared" si="20"/>
        <v>0</v>
      </c>
      <c r="S94" s="3"/>
      <c r="T94" s="6"/>
      <c r="U94" s="3"/>
      <c r="V94" s="7">
        <f t="shared" si="21"/>
        <v>0</v>
      </c>
      <c r="W94" s="3"/>
      <c r="X94" s="6">
        <f t="shared" si="22"/>
        <v>599.38</v>
      </c>
      <c r="Y94" s="3"/>
      <c r="Z94" s="7">
        <f t="shared" si="23"/>
        <v>0</v>
      </c>
    </row>
    <row r="95" spans="1:26" s="69" customFormat="1" ht="15" customHeight="1" outlineLevel="1" collapsed="1" x14ac:dyDescent="0.3">
      <c r="A95" s="20"/>
      <c r="B95" s="11" t="str">
        <f>CONCATENATE("     ","Utilities                                         ")</f>
        <v xml:space="preserve">     Utilities                                         </v>
      </c>
      <c r="C95" s="11"/>
      <c r="D95" s="2">
        <f>SUM(OSRRefD22_22x_0)</f>
        <v>7230</v>
      </c>
      <c r="E95" s="2"/>
      <c r="F95" s="5">
        <f t="shared" si="16"/>
        <v>0</v>
      </c>
      <c r="G95" s="2"/>
      <c r="H95" s="2">
        <f>SUM(OSRRefH22_22x_0)</f>
        <v>6000</v>
      </c>
      <c r="I95" s="2"/>
      <c r="J95" s="5">
        <f t="shared" si="17"/>
        <v>0</v>
      </c>
      <c r="K95" s="2"/>
      <c r="L95" s="2">
        <f t="shared" si="18"/>
        <v>1230</v>
      </c>
      <c r="M95" s="2"/>
      <c r="N95" s="5">
        <f t="shared" si="19"/>
        <v>0.20499999999999999</v>
      </c>
      <c r="O95" s="11"/>
      <c r="P95" s="2">
        <f>SUM(OSRRefP22_22x_0)</f>
        <v>90929</v>
      </c>
      <c r="Q95" s="2"/>
      <c r="R95" s="5">
        <f t="shared" si="20"/>
        <v>0</v>
      </c>
      <c r="S95" s="2"/>
      <c r="T95" s="2">
        <f>SUM(OSRRefT22_22x_0)</f>
        <v>72000</v>
      </c>
      <c r="U95" s="2"/>
      <c r="V95" s="5">
        <f t="shared" si="21"/>
        <v>0</v>
      </c>
      <c r="W95" s="2"/>
      <c r="X95" s="2">
        <f t="shared" si="22"/>
        <v>18929</v>
      </c>
      <c r="Y95" s="2"/>
      <c r="Z95" s="5">
        <f t="shared" si="23"/>
        <v>0.26290277777777776</v>
      </c>
    </row>
    <row r="96" spans="1:26" s="70" customFormat="1" ht="15" hidden="1" customHeight="1" outlineLevel="2" x14ac:dyDescent="0.3">
      <c r="A96" s="21"/>
      <c r="B96" s="9" t="str">
        <f>CONCATENATE("          ","6274"," - ","UTILITIES")</f>
        <v xml:space="preserve">          6274 - UTILITIES</v>
      </c>
      <c r="C96" s="9"/>
      <c r="D96" s="6">
        <v>7230</v>
      </c>
      <c r="E96" s="3"/>
      <c r="F96" s="7">
        <f t="shared" si="16"/>
        <v>0</v>
      </c>
      <c r="G96" s="3"/>
      <c r="H96" s="6">
        <v>6000</v>
      </c>
      <c r="I96" s="3"/>
      <c r="J96" s="7">
        <f t="shared" si="17"/>
        <v>0</v>
      </c>
      <c r="K96" s="3"/>
      <c r="L96" s="6">
        <f t="shared" si="18"/>
        <v>1230</v>
      </c>
      <c r="M96" s="3"/>
      <c r="N96" s="7">
        <f t="shared" si="19"/>
        <v>0.20499999999999999</v>
      </c>
      <c r="O96" s="9"/>
      <c r="P96" s="6">
        <v>90929</v>
      </c>
      <c r="Q96" s="3"/>
      <c r="R96" s="7">
        <f t="shared" si="20"/>
        <v>0</v>
      </c>
      <c r="S96" s="3"/>
      <c r="T96" s="6">
        <v>72000</v>
      </c>
      <c r="U96" s="3"/>
      <c r="V96" s="7">
        <f t="shared" si="21"/>
        <v>0</v>
      </c>
      <c r="W96" s="3"/>
      <c r="X96" s="6">
        <f t="shared" si="22"/>
        <v>18929</v>
      </c>
      <c r="Y96" s="3"/>
      <c r="Z96" s="7">
        <f t="shared" si="23"/>
        <v>0.26290277777777776</v>
      </c>
    </row>
    <row r="97" spans="1:26" s="65" customFormat="1" ht="15" customHeight="1" x14ac:dyDescent="0.3">
      <c r="A97" s="36"/>
      <c r="B97" s="36"/>
      <c r="C97" s="36"/>
      <c r="D97" s="2"/>
      <c r="E97" s="2"/>
      <c r="F97" s="5"/>
      <c r="G97" s="2"/>
      <c r="H97" s="2"/>
      <c r="I97" s="2"/>
      <c r="J97" s="5"/>
      <c r="K97" s="2"/>
      <c r="L97" s="2"/>
      <c r="M97" s="2"/>
      <c r="N97" s="5"/>
      <c r="O97" s="36"/>
      <c r="P97" s="2"/>
      <c r="Q97" s="2"/>
      <c r="R97" s="5"/>
      <c r="S97" s="2"/>
      <c r="T97" s="2"/>
      <c r="U97" s="2"/>
      <c r="V97" s="5"/>
      <c r="W97" s="2"/>
      <c r="X97" s="2"/>
      <c r="Y97" s="2"/>
      <c r="Z97" s="5"/>
    </row>
    <row r="98" spans="1:26" s="63" customFormat="1" ht="15" customHeight="1" collapsed="1" x14ac:dyDescent="0.3">
      <c r="A98" s="13"/>
      <c r="B98" s="28" t="s">
        <v>291</v>
      </c>
      <c r="C98" s="13"/>
      <c r="D98" s="8">
        <f>SUM(OSRRefD25x_0)</f>
        <v>4378.72</v>
      </c>
      <c r="E98" s="8"/>
      <c r="F98" s="14">
        <f>IF(D$12=0,0,D98/D$12)</f>
        <v>0</v>
      </c>
      <c r="G98" s="8"/>
      <c r="H98" s="8">
        <f>SUM(OSRRefH25x_0)</f>
        <v>3300</v>
      </c>
      <c r="I98" s="8"/>
      <c r="J98" s="14">
        <f>IF(H$12=0,0,H98/H$12)</f>
        <v>0</v>
      </c>
      <c r="K98" s="8"/>
      <c r="L98" s="8">
        <f>+D98-H98</f>
        <v>1078.7200000000003</v>
      </c>
      <c r="M98" s="8"/>
      <c r="N98" s="14">
        <f>IF(H98=0,0,L98/H98)</f>
        <v>0.32688484848484856</v>
      </c>
      <c r="O98" s="13"/>
      <c r="P98" s="8">
        <f>SUM(OSRRefP25x_0)</f>
        <v>280232.98</v>
      </c>
      <c r="Q98" s="8"/>
      <c r="R98" s="14">
        <f>IF(P$12=0,0,P98/P$12)</f>
        <v>0</v>
      </c>
      <c r="S98" s="8"/>
      <c r="T98" s="8">
        <f>SUM(OSRRefT25x_0)</f>
        <v>199000</v>
      </c>
      <c r="U98" s="8"/>
      <c r="V98" s="14">
        <f>IF(T$12=0,0,T98/T$12)</f>
        <v>0</v>
      </c>
      <c r="W98" s="8"/>
      <c r="X98" s="8">
        <f>+P98-T98</f>
        <v>81232.979999999981</v>
      </c>
      <c r="Y98" s="8"/>
      <c r="Z98" s="14">
        <f>IF(T98=0,0,X98/T98)</f>
        <v>0.40820592964824109</v>
      </c>
    </row>
    <row r="99" spans="1:26" s="70" customFormat="1" ht="15" hidden="1" customHeight="1" outlineLevel="1" x14ac:dyDescent="0.3">
      <c r="A99" s="48"/>
      <c r="B99" s="9" t="str">
        <f>CONCATENATE("          ","9150"," - ","MISC. INCOME")</f>
        <v xml:space="preserve">          9150 - MISC. INCOME</v>
      </c>
      <c r="C99" s="9"/>
      <c r="D99" s="3">
        <f>--4378.72</f>
        <v>4378.72</v>
      </c>
      <c r="E99" s="3"/>
      <c r="F99" s="26">
        <f>IF(D$12=0,0,D99/D$12)</f>
        <v>0</v>
      </c>
      <c r="G99" s="3"/>
      <c r="H99" s="3">
        <v>3300</v>
      </c>
      <c r="I99" s="3"/>
      <c r="J99" s="26">
        <f>IF(H$12=0,0,H99/H$12)</f>
        <v>0</v>
      </c>
      <c r="K99" s="3"/>
      <c r="L99" s="3">
        <f>+D99-H99</f>
        <v>1078.7200000000003</v>
      </c>
      <c r="M99" s="3"/>
      <c r="N99" s="26">
        <f>IF(H99=0,0,L99/H99)</f>
        <v>0.32688484848484856</v>
      </c>
      <c r="O99" s="9"/>
      <c r="P99" s="3">
        <f>--280232.98</f>
        <v>280232.98</v>
      </c>
      <c r="Q99" s="3"/>
      <c r="R99" s="26">
        <f>IF(P$12=0,0,P99/P$12)</f>
        <v>0</v>
      </c>
      <c r="S99" s="3"/>
      <c r="T99" s="3">
        <v>27000</v>
      </c>
      <c r="U99" s="3"/>
      <c r="V99" s="26">
        <f>IF(T$12=0,0,T99/T$12)</f>
        <v>0</v>
      </c>
      <c r="W99" s="3"/>
      <c r="X99" s="3">
        <f>+P99-T99</f>
        <v>253232.97999999998</v>
      </c>
      <c r="Y99" s="3"/>
      <c r="Z99" s="26">
        <f>IF(T99=0,0,X99/T99)</f>
        <v>9.3789992592592579</v>
      </c>
    </row>
    <row r="100" spans="1:26" s="70" customFormat="1" ht="15" hidden="1" customHeight="1" outlineLevel="1" x14ac:dyDescent="0.3">
      <c r="A100" s="48"/>
      <c r="B100" s="9" t="str">
        <f>CONCATENATE("          ","9151"," - ","MISC. INCOME")</f>
        <v xml:space="preserve">          9151 - MISC. INCOME</v>
      </c>
      <c r="C100" s="9"/>
      <c r="D100" s="3">
        <f>0</f>
        <v>0</v>
      </c>
      <c r="E100" s="3"/>
      <c r="F100" s="26">
        <f>IF(D$12=0,0,D100/D$12)</f>
        <v>0</v>
      </c>
      <c r="G100" s="3"/>
      <c r="H100" s="3"/>
      <c r="I100" s="3"/>
      <c r="J100" s="26">
        <f>IF(H$12=0,0,H100/H$12)</f>
        <v>0</v>
      </c>
      <c r="K100" s="3"/>
      <c r="L100" s="3">
        <f>+D100-H100</f>
        <v>0</v>
      </c>
      <c r="M100" s="3"/>
      <c r="N100" s="26">
        <f>IF(H100=0,0,L100/H100)</f>
        <v>0</v>
      </c>
      <c r="O100" s="9"/>
      <c r="P100" s="3">
        <f>0</f>
        <v>0</v>
      </c>
      <c r="Q100" s="3"/>
      <c r="R100" s="26">
        <f>IF(P$12=0,0,P100/P$12)</f>
        <v>0</v>
      </c>
      <c r="S100" s="3"/>
      <c r="T100" s="3">
        <v>172000</v>
      </c>
      <c r="U100" s="3"/>
      <c r="V100" s="26">
        <f>IF(T$12=0,0,T100/T$12)</f>
        <v>0</v>
      </c>
      <c r="W100" s="3"/>
      <c r="X100" s="3">
        <f>+P100-T100</f>
        <v>-172000</v>
      </c>
      <c r="Y100" s="3"/>
      <c r="Z100" s="26">
        <f>IF(T100=0,0,X100/T100)</f>
        <v>-1</v>
      </c>
    </row>
    <row r="101" spans="1:26" ht="15" customHeight="1" x14ac:dyDescent="0.3">
      <c r="A101" s="12"/>
      <c r="B101" s="13"/>
      <c r="C101" s="13"/>
      <c r="D101" s="4"/>
      <c r="E101" s="4"/>
      <c r="F101" s="10"/>
      <c r="G101" s="4"/>
      <c r="H101" s="4"/>
      <c r="I101" s="4"/>
      <c r="J101" s="10"/>
      <c r="K101" s="4"/>
      <c r="L101" s="4"/>
      <c r="M101" s="4"/>
      <c r="N101" s="10"/>
      <c r="O101" s="13"/>
      <c r="P101" s="4"/>
      <c r="Q101" s="4"/>
      <c r="R101" s="10"/>
      <c r="S101" s="4"/>
      <c r="T101" s="4"/>
      <c r="U101" s="4"/>
      <c r="V101" s="10"/>
      <c r="W101" s="4"/>
      <c r="X101" s="4"/>
      <c r="Y101" s="4"/>
      <c r="Z101" s="10"/>
    </row>
    <row r="102" spans="1:26" s="63" customFormat="1" ht="15" customHeight="1" x14ac:dyDescent="0.3">
      <c r="A102" s="13"/>
      <c r="B102" s="27" t="s">
        <v>292</v>
      </c>
      <c r="C102" s="27"/>
      <c r="D102" s="23">
        <f>+D17-D19+D98</f>
        <v>-127001.23999999999</v>
      </c>
      <c r="E102" s="15"/>
      <c r="F102" s="22">
        <f>IF(D$12=0,0,D102/D$12)</f>
        <v>0</v>
      </c>
      <c r="G102" s="15"/>
      <c r="H102" s="23">
        <f>+H17-H19+H98</f>
        <v>-81263.498496557688</v>
      </c>
      <c r="I102" s="15"/>
      <c r="J102" s="22">
        <f>IF(H$12=0,0,H102/H$12)</f>
        <v>0</v>
      </c>
      <c r="K102" s="17"/>
      <c r="L102" s="23">
        <f>+D102-H102</f>
        <v>-45737.741503442303</v>
      </c>
      <c r="M102" s="17"/>
      <c r="N102" s="22">
        <f>IF(H102=0,0,L102/H102)</f>
        <v>0.56283254289599338</v>
      </c>
      <c r="O102" s="28"/>
      <c r="P102" s="23">
        <f>+P17-P19+P98</f>
        <v>-1415251.3799999997</v>
      </c>
      <c r="Q102" s="15"/>
      <c r="R102" s="22">
        <f>IF(P$12=0,0,P102/P$12)</f>
        <v>0</v>
      </c>
      <c r="S102" s="15"/>
      <c r="T102" s="23">
        <f>+T17-T19+T98</f>
        <v>-1299625.2569776</v>
      </c>
      <c r="U102" s="15"/>
      <c r="V102" s="22">
        <f>IF(T$12=0,0,T102/T$12)</f>
        <v>0</v>
      </c>
      <c r="W102" s="17"/>
      <c r="X102" s="23">
        <f>+P102-T102</f>
        <v>-115626.12302239961</v>
      </c>
      <c r="Y102" s="17"/>
      <c r="Z102" s="22">
        <f>IF(T102=0,0,X102/T102)</f>
        <v>8.8968818050904119E-2</v>
      </c>
    </row>
    <row r="103" spans="1:26" ht="15" customHeight="1" x14ac:dyDescent="0.3">
      <c r="A103" s="12"/>
      <c r="B103" s="13"/>
      <c r="C103" s="12"/>
      <c r="D103" s="4"/>
      <c r="E103" s="4"/>
      <c r="F103" s="10"/>
      <c r="G103" s="4"/>
      <c r="H103" s="4"/>
      <c r="I103" s="4"/>
      <c r="J103" s="10"/>
      <c r="K103" s="4"/>
      <c r="L103" s="4"/>
      <c r="M103" s="4"/>
      <c r="N103" s="10"/>
      <c r="P103" s="4"/>
      <c r="Q103" s="4"/>
      <c r="R103" s="10"/>
      <c r="S103" s="4"/>
      <c r="T103" s="4"/>
      <c r="U103" s="4"/>
      <c r="V103" s="10"/>
      <c r="W103" s="4"/>
      <c r="X103" s="4"/>
      <c r="Y103" s="4"/>
      <c r="Z103" s="10"/>
    </row>
    <row r="104" spans="1:26" s="63" customFormat="1" ht="15" customHeight="1" x14ac:dyDescent="0.3">
      <c r="A104" s="49"/>
      <c r="B104" s="13" t="s">
        <v>293</v>
      </c>
      <c r="C104" s="13"/>
      <c r="D104" s="8"/>
      <c r="E104" s="8"/>
      <c r="F104" s="14">
        <f>IF(D$12=0,0,D104/D$12)</f>
        <v>0</v>
      </c>
      <c r="G104" s="8"/>
      <c r="H104" s="8"/>
      <c r="I104" s="8"/>
      <c r="J104" s="14">
        <f>IF(H$12=0,0,H104/H$12)</f>
        <v>0</v>
      </c>
      <c r="K104" s="8"/>
      <c r="L104" s="8">
        <f>+D104-H104</f>
        <v>0</v>
      </c>
      <c r="M104" s="8"/>
      <c r="N104" s="14">
        <f>IF(H104=0,0,L104/H104)</f>
        <v>0</v>
      </c>
      <c r="O104" s="13"/>
      <c r="P104" s="8"/>
      <c r="Q104" s="8"/>
      <c r="R104" s="14">
        <f>IF(P$12=0,0,P104/P$12)</f>
        <v>0</v>
      </c>
      <c r="S104" s="8"/>
      <c r="T104" s="8"/>
      <c r="U104" s="8"/>
      <c r="V104" s="14">
        <f>IF(T$12=0,0,T104/T$12)</f>
        <v>0</v>
      </c>
      <c r="W104" s="8"/>
      <c r="X104" s="8">
        <f>+P104-T104</f>
        <v>0</v>
      </c>
      <c r="Y104" s="8"/>
      <c r="Z104" s="14">
        <f>IF(T104=0,0,X104/T104)</f>
        <v>0</v>
      </c>
    </row>
    <row r="105" spans="1:26" ht="15" customHeight="1" x14ac:dyDescent="0.3">
      <c r="A105" s="12"/>
      <c r="B105" s="13"/>
      <c r="C105" s="13"/>
      <c r="D105" s="4"/>
      <c r="E105" s="4"/>
      <c r="F105" s="10"/>
      <c r="G105" s="4"/>
      <c r="H105" s="4"/>
      <c r="I105" s="4"/>
      <c r="J105" s="10"/>
      <c r="K105" s="4"/>
      <c r="L105" s="4"/>
      <c r="M105" s="4"/>
      <c r="N105" s="10"/>
      <c r="O105" s="13"/>
      <c r="P105" s="4"/>
      <c r="Q105" s="4"/>
      <c r="R105" s="10"/>
      <c r="S105" s="4"/>
      <c r="T105" s="4"/>
      <c r="U105" s="4"/>
      <c r="V105" s="10"/>
      <c r="W105" s="4"/>
      <c r="X105" s="4"/>
      <c r="Y105" s="4"/>
      <c r="Z105" s="10"/>
    </row>
    <row r="106" spans="1:26" s="63" customFormat="1" ht="15" customHeight="1" x14ac:dyDescent="0.3">
      <c r="A106" s="13"/>
      <c r="B106" s="27" t="s">
        <v>294</v>
      </c>
      <c r="C106" s="27"/>
      <c r="D106" s="30">
        <f>+D102-D104</f>
        <v>-127001.23999999999</v>
      </c>
      <c r="E106" s="15"/>
      <c r="F106" s="35">
        <f>IF(D$12=0,0,D106/D$12)</f>
        <v>0</v>
      </c>
      <c r="G106" s="15"/>
      <c r="H106" s="30">
        <f>+H102-H104</f>
        <v>-81263.498496557688</v>
      </c>
      <c r="I106" s="15"/>
      <c r="J106" s="35">
        <f>IF(H$12=0,0,H106/H$12)</f>
        <v>0</v>
      </c>
      <c r="K106" s="17"/>
      <c r="L106" s="30">
        <f>D106-H106</f>
        <v>-45737.741503442303</v>
      </c>
      <c r="M106" s="17"/>
      <c r="N106" s="35">
        <f>IF(H106=0,0,L106/H106)</f>
        <v>0.56283254289599338</v>
      </c>
      <c r="O106" s="28"/>
      <c r="P106" s="30">
        <f>+P102-P104</f>
        <v>-1415251.3799999997</v>
      </c>
      <c r="Q106" s="15"/>
      <c r="R106" s="35">
        <f>IF(P$12=0,0,P106/P$12)</f>
        <v>0</v>
      </c>
      <c r="S106" s="15"/>
      <c r="T106" s="30">
        <f>+T102-T104</f>
        <v>-1299625.2569776</v>
      </c>
      <c r="U106" s="15"/>
      <c r="V106" s="35">
        <f>IF(T$12=0,0,T106/T$12)</f>
        <v>0</v>
      </c>
      <c r="W106" s="17"/>
      <c r="X106" s="30">
        <f>P106-T106</f>
        <v>-115626.12302239961</v>
      </c>
      <c r="Y106" s="17"/>
      <c r="Z106" s="35">
        <f>IF(T106=0,0,X106/T106)</f>
        <v>8.8968818050904119E-2</v>
      </c>
    </row>
    <row r="107" spans="1:26" ht="15" customHeight="1" x14ac:dyDescent="0.3">
      <c r="A107" s="12"/>
      <c r="B107" s="12"/>
      <c r="C107" s="12"/>
      <c r="D107" s="4"/>
      <c r="E107" s="4"/>
      <c r="F107" s="10"/>
      <c r="G107" s="4"/>
      <c r="H107" s="4"/>
      <c r="I107" s="4"/>
      <c r="J107" s="10"/>
      <c r="K107" s="4"/>
      <c r="L107" s="4"/>
      <c r="M107" s="4"/>
      <c r="N107" s="10"/>
      <c r="P107" s="4"/>
      <c r="Q107" s="4"/>
      <c r="R107" s="10"/>
      <c r="S107" s="4"/>
      <c r="T107" s="4"/>
      <c r="U107" s="4"/>
      <c r="V107" s="10"/>
      <c r="W107" s="4"/>
      <c r="X107" s="4"/>
      <c r="Y107" s="4"/>
      <c r="Z107" s="10"/>
    </row>
    <row r="108" spans="1:26" ht="15" customHeight="1" x14ac:dyDescent="0.3">
      <c r="A108" s="12"/>
      <c r="B108" s="12"/>
      <c r="C108" s="12"/>
      <c r="D108" s="4"/>
      <c r="E108" s="4"/>
      <c r="F108" s="10"/>
      <c r="G108" s="4"/>
      <c r="H108" s="4"/>
      <c r="I108" s="4"/>
      <c r="J108" s="10"/>
      <c r="K108" s="4"/>
      <c r="L108" s="4"/>
      <c r="M108" s="4"/>
      <c r="N108" s="10"/>
      <c r="P108" s="4"/>
      <c r="Q108" s="4"/>
      <c r="R108" s="10"/>
      <c r="S108" s="4"/>
      <c r="T108" s="4"/>
      <c r="U108" s="4"/>
      <c r="V108" s="10"/>
      <c r="W108" s="4"/>
      <c r="X108" s="4"/>
      <c r="Y108" s="4"/>
      <c r="Z108" s="10"/>
    </row>
    <row r="109" spans="1:26" s="63" customFormat="1" ht="15" customHeight="1" x14ac:dyDescent="0.3">
      <c r="A109" s="13"/>
      <c r="B109" s="27" t="s">
        <v>297</v>
      </c>
      <c r="C109" s="27"/>
      <c r="D109" s="33">
        <f>SUM(D106:D108)</f>
        <v>-127001.23999999999</v>
      </c>
      <c r="E109" s="15"/>
      <c r="F109" s="31">
        <f>IF(D$12=0,0,D109/D$12)</f>
        <v>0</v>
      </c>
      <c r="G109" s="15"/>
      <c r="H109" s="33">
        <f>SUM(H106:H108)</f>
        <v>-81263.498496557688</v>
      </c>
      <c r="I109" s="15"/>
      <c r="J109" s="31">
        <f>IF(H$12=0,0,H109/H$12)</f>
        <v>0</v>
      </c>
      <c r="K109" s="17"/>
      <c r="L109" s="33">
        <f>+D109-H109</f>
        <v>-45737.741503442303</v>
      </c>
      <c r="M109" s="17"/>
      <c r="N109" s="31">
        <f>IF(H109=0,0,L109/H109)</f>
        <v>0.56283254289599338</v>
      </c>
      <c r="O109" s="28"/>
      <c r="P109" s="33">
        <f>SUM(P106:P108)</f>
        <v>-1415251.3799999997</v>
      </c>
      <c r="Q109" s="15"/>
      <c r="R109" s="31">
        <f>IF(P$12=0,0,P109/P$12)</f>
        <v>0</v>
      </c>
      <c r="S109" s="15"/>
      <c r="T109" s="33">
        <f>SUM(T106:T108)</f>
        <v>-1299625.2569776</v>
      </c>
      <c r="U109" s="15"/>
      <c r="V109" s="31">
        <f>IF(T$12=0,0,T109/T$12)</f>
        <v>0</v>
      </c>
      <c r="W109" s="17"/>
      <c r="X109" s="33">
        <f>+P109-T109</f>
        <v>-115626.12302239961</v>
      </c>
      <c r="Y109" s="17"/>
      <c r="Z109" s="31">
        <f>IF(T109=0,0,X109/T109)</f>
        <v>8.8968818050904119E-2</v>
      </c>
    </row>
    <row r="110" spans="1:26" ht="15" customHeight="1" x14ac:dyDescent="0.3">
      <c r="A110" s="12"/>
      <c r="C110" s="12"/>
      <c r="D110" s="19"/>
      <c r="E110" s="19"/>
      <c r="G110" s="19"/>
      <c r="H110" s="19"/>
      <c r="I110" s="19"/>
      <c r="J110" s="41"/>
      <c r="K110" s="19"/>
      <c r="L110" s="19"/>
      <c r="M110" s="19"/>
      <c r="P110" s="19"/>
      <c r="Q110" s="19"/>
      <c r="R110" s="41"/>
      <c r="S110" s="19"/>
      <c r="T110" s="19"/>
      <c r="U110" s="19"/>
      <c r="V110" s="41"/>
      <c r="W110" s="19"/>
      <c r="X110" s="19"/>
    </row>
    <row r="111" spans="1:26" ht="15" customHeight="1" x14ac:dyDescent="0.3">
      <c r="A111" s="12"/>
      <c r="B111" s="50">
        <v>44767.799547766204</v>
      </c>
      <c r="D111" s="19"/>
      <c r="E111" s="19"/>
      <c r="G111" s="19"/>
      <c r="H111" s="19"/>
      <c r="I111" s="19"/>
      <c r="J111" s="41"/>
      <c r="K111" s="19"/>
      <c r="L111" s="19"/>
      <c r="M111" s="19"/>
      <c r="P111" s="19"/>
      <c r="Q111" s="19"/>
      <c r="R111" s="41"/>
      <c r="S111" s="19"/>
      <c r="T111" s="19"/>
      <c r="U111" s="19"/>
      <c r="V111" s="41"/>
      <c r="W111" s="19"/>
      <c r="X111" s="19"/>
    </row>
    <row r="112" spans="1:26" ht="15" customHeight="1" x14ac:dyDescent="0.3">
      <c r="A112" s="12"/>
      <c r="B112" s="57" t="s">
        <v>298</v>
      </c>
      <c r="D112" s="19"/>
      <c r="E112" s="19"/>
      <c r="G112" s="19"/>
      <c r="H112" s="19"/>
      <c r="I112" s="19"/>
      <c r="J112" s="41"/>
      <c r="K112" s="19"/>
      <c r="L112" s="19"/>
      <c r="M112" s="19"/>
      <c r="P112" s="19"/>
      <c r="Q112" s="19"/>
      <c r="R112" s="41"/>
      <c r="S112" s="19"/>
      <c r="T112" s="19"/>
      <c r="U112" s="19"/>
      <c r="V112" s="41"/>
      <c r="W112" s="19"/>
      <c r="X112" s="19"/>
    </row>
    <row r="113" spans="1:24" ht="15" customHeight="1" x14ac:dyDescent="0.3">
      <c r="A113" s="12"/>
      <c r="B113" s="51"/>
      <c r="D113" s="19"/>
      <c r="E113" s="19"/>
      <c r="G113" s="19"/>
      <c r="H113" s="19"/>
      <c r="I113" s="19"/>
      <c r="J113" s="41"/>
      <c r="K113" s="19"/>
      <c r="L113" s="19"/>
      <c r="M113" s="19"/>
      <c r="P113" s="19"/>
      <c r="Q113" s="19"/>
      <c r="R113" s="41"/>
      <c r="S113" s="19"/>
      <c r="T113" s="19"/>
      <c r="U113" s="19"/>
      <c r="V113" s="41"/>
      <c r="W113" s="19"/>
      <c r="X113" s="19"/>
    </row>
    <row r="114" spans="1:24" ht="15" customHeight="1" x14ac:dyDescent="0.3">
      <c r="D114" s="19"/>
      <c r="E114" s="19"/>
      <c r="G114" s="19"/>
      <c r="H114" s="19"/>
      <c r="I114" s="19"/>
      <c r="J114" s="41"/>
      <c r="K114" s="19"/>
      <c r="L114" s="19"/>
      <c r="M114" s="19"/>
      <c r="P114" s="19"/>
      <c r="Q114" s="19"/>
      <c r="R114" s="41"/>
      <c r="S114" s="19"/>
      <c r="T114" s="19"/>
      <c r="U114" s="19"/>
      <c r="V114" s="41"/>
      <c r="W114" s="19"/>
      <c r="X114" s="19"/>
    </row>
  </sheetData>
  <pageMargins left="0.25" right="0.25" top="0.75" bottom="0.75" header="0.3" footer="0.3"/>
  <pageSetup scale="55" orientation="landscape" r:id="rId1"/>
  <headerFooter>
    <oddHeader>&amp;RPre-Audit</oddHeader>
    <oddFooter>&amp;L&amp;C&amp;R</oddFooter>
    <evenHeader>&amp;L&amp;C&amp;R</evenHeader>
    <evenFooter>&amp;L&amp;C&amp;R</even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3F59F-E7FC-4535-CA95-E3A048190387}">
  <sheetPr>
    <tabColor rgb="FFFFFF00"/>
    <outlinePr summaryBelow="0" summaryRight="0"/>
  </sheetPr>
  <dimension ref="A2:Z105"/>
  <sheetViews>
    <sheetView showGridLines="0" defaultGridColor="0" colorId="8" zoomScale="80" workbookViewId="0">
      <pane xSplit="3" ySplit="10" topLeftCell="D11" activePane="bottomRight" state="frozen"/>
      <selection activeCell="D78" sqref="D78"/>
      <selection pane="topRight" activeCell="D78" sqref="D78"/>
      <selection pane="bottomLeft" activeCell="D78" sqref="D78"/>
      <selection pane="bottomRight" activeCell="D78" sqref="D78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3" t="s">
        <v>276</v>
      </c>
    </row>
    <row r="3" spans="1:26" ht="15" customHeight="1" x14ac:dyDescent="0.3">
      <c r="D3" s="53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3" t="str">
        <f>CONCATENATE("Period ",RIGHT(202212,2),", ",2022)</f>
        <v>Period 12,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5"/>
      <c r="D5" s="60">
        <v>44742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5"/>
      <c r="B6" s="47"/>
      <c r="C6" s="47"/>
      <c r="D6" s="25" t="s">
        <v>305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4"/>
    </row>
    <row r="8" spans="1:26" ht="15" customHeight="1" x14ac:dyDescent="0.3">
      <c r="B8" s="54"/>
    </row>
    <row r="9" spans="1:26" ht="15" customHeight="1" x14ac:dyDescent="0.3">
      <c r="B9" s="12"/>
      <c r="C9" s="12"/>
      <c r="D9" s="16" t="s">
        <v>279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280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ht="15" customHeight="1" x14ac:dyDescent="0.3">
      <c r="A10" s="13"/>
      <c r="B10" s="52"/>
      <c r="C10" s="13"/>
      <c r="D10" s="40" t="s">
        <v>281</v>
      </c>
      <c r="E10" s="32"/>
      <c r="F10" s="39" t="s">
        <v>282</v>
      </c>
      <c r="G10" s="32"/>
      <c r="H10" s="45" t="s">
        <v>283</v>
      </c>
      <c r="I10" s="32"/>
      <c r="J10" s="42" t="s">
        <v>284</v>
      </c>
      <c r="K10" s="13"/>
      <c r="L10" s="40" t="s">
        <v>285</v>
      </c>
      <c r="M10" s="13"/>
      <c r="N10" s="39" t="s">
        <v>286</v>
      </c>
      <c r="O10" s="13"/>
      <c r="P10" s="55" t="s">
        <v>281</v>
      </c>
      <c r="Q10" s="32"/>
      <c r="R10" s="39" t="s">
        <v>282</v>
      </c>
      <c r="S10" s="32"/>
      <c r="T10" s="45" t="s">
        <v>283</v>
      </c>
      <c r="U10" s="32"/>
      <c r="V10" s="42" t="s">
        <v>284</v>
      </c>
      <c r="W10" s="13"/>
      <c r="X10" s="40" t="s">
        <v>285</v>
      </c>
      <c r="Y10" s="13"/>
      <c r="Z10" s="39" t="s">
        <v>286</v>
      </c>
    </row>
    <row r="11" spans="1:26" ht="16.5" customHeight="1" x14ac:dyDescent="0.3">
      <c r="A11" s="12"/>
      <c r="B11" s="58"/>
      <c r="C11" s="12"/>
      <c r="D11" s="12"/>
      <c r="E11" s="12"/>
      <c r="F11" s="10"/>
      <c r="G11" s="12"/>
      <c r="H11" s="12"/>
      <c r="I11" s="12"/>
      <c r="J11" s="43"/>
      <c r="K11" s="12"/>
      <c r="L11" s="12"/>
      <c r="M11" s="12"/>
      <c r="N11" s="10"/>
      <c r="P11" s="12"/>
      <c r="Q11" s="12"/>
      <c r="R11" s="10"/>
      <c r="S11" s="12"/>
      <c r="T11" s="12"/>
      <c r="U11" s="12"/>
      <c r="V11" s="43"/>
      <c r="W11" s="12"/>
      <c r="X11" s="12"/>
      <c r="Y11" s="12"/>
      <c r="Z11" s="10"/>
    </row>
    <row r="12" spans="1:26" s="63" customFormat="1" ht="15" customHeight="1" collapsed="1" x14ac:dyDescent="0.3">
      <c r="A12" s="13"/>
      <c r="B12" s="28" t="s">
        <v>287</v>
      </c>
      <c r="C12" s="13"/>
      <c r="D12" s="8">
        <f>SUM(OSRRefD13x_0)</f>
        <v>462.00000000000017</v>
      </c>
      <c r="E12" s="8"/>
      <c r="F12" s="14"/>
      <c r="G12" s="8"/>
      <c r="H12" s="8">
        <f>SUM(OSRRefH13x_0)</f>
        <v>22192</v>
      </c>
      <c r="I12" s="8"/>
      <c r="J12" s="14"/>
      <c r="K12" s="8"/>
      <c r="L12" s="8">
        <f t="shared" ref="L12:L17" si="0">+D12-H12</f>
        <v>-21730</v>
      </c>
      <c r="M12" s="8"/>
      <c r="N12" s="14">
        <f t="shared" ref="N12:N17" si="1">IF(H12=0,0,L12/H12)</f>
        <v>-0.97918168709444842</v>
      </c>
      <c r="O12" s="13"/>
      <c r="P12" s="8">
        <f>SUM(OSRRefP13x_0)</f>
        <v>2235825.7499999995</v>
      </c>
      <c r="Q12" s="8"/>
      <c r="R12" s="14"/>
      <c r="S12" s="8"/>
      <c r="T12" s="8">
        <f>SUM(OSRRefT13x_0)</f>
        <v>4771541</v>
      </c>
      <c r="U12" s="8"/>
      <c r="V12" s="14"/>
      <c r="W12" s="8"/>
      <c r="X12" s="8">
        <f t="shared" ref="X12:X17" si="2">+P12-T12</f>
        <v>-2535715.2500000005</v>
      </c>
      <c r="Y12" s="8"/>
      <c r="Z12" s="14">
        <f t="shared" ref="Z12:Z17" si="3">IF(T12=0,0,X12/T12)</f>
        <v>-0.53142480594843478</v>
      </c>
    </row>
    <row r="13" spans="1:26" s="70" customFormat="1" ht="15" hidden="1" customHeight="1" outlineLevel="1" x14ac:dyDescent="0.3">
      <c r="A13" s="48"/>
      <c r="B13" s="9" t="str">
        <f>CONCATENATE("          ","4000"," - ","TAXABLE SALES")</f>
        <v xml:space="preserve">          4000 - TAXABLE SALES</v>
      </c>
      <c r="C13" s="9"/>
      <c r="D13" s="3">
        <f>--12329.17</f>
        <v>12329.17</v>
      </c>
      <c r="E13" s="3"/>
      <c r="F13" s="26"/>
      <c r="G13" s="3"/>
      <c r="H13" s="3">
        <v>22192</v>
      </c>
      <c r="I13" s="3"/>
      <c r="J13" s="26"/>
      <c r="K13" s="3"/>
      <c r="L13" s="3">
        <f t="shared" si="0"/>
        <v>-9862.83</v>
      </c>
      <c r="M13" s="3"/>
      <c r="N13" s="26">
        <f t="shared" si="1"/>
        <v>-0.44443177721701516</v>
      </c>
      <c r="O13" s="9"/>
      <c r="P13" s="3">
        <f>--1708346.63</f>
        <v>1708346.63</v>
      </c>
      <c r="Q13" s="3"/>
      <c r="R13" s="26"/>
      <c r="S13" s="3"/>
      <c r="T13" s="3">
        <v>4771541</v>
      </c>
      <c r="U13" s="3"/>
      <c r="V13" s="26"/>
      <c r="W13" s="3"/>
      <c r="X13" s="3">
        <f t="shared" si="2"/>
        <v>-3063194.37</v>
      </c>
      <c r="Y13" s="3"/>
      <c r="Z13" s="26">
        <f t="shared" si="3"/>
        <v>-0.64197171731312797</v>
      </c>
    </row>
    <row r="14" spans="1:26" s="70" customFormat="1" ht="15" hidden="1" customHeight="1" outlineLevel="1" x14ac:dyDescent="0.3">
      <c r="A14" s="48"/>
      <c r="B14" s="9" t="str">
        <f>CONCATENATE("          ","4100"," - ","NON-TAXABLE SALES")</f>
        <v xml:space="preserve">          4100 - NON-TAXABLE SALES</v>
      </c>
      <c r="C14" s="9"/>
      <c r="D14" s="3">
        <f>-9090.5</f>
        <v>-9090.5</v>
      </c>
      <c r="E14" s="3"/>
      <c r="F14" s="26"/>
      <c r="G14" s="3"/>
      <c r="H14" s="3"/>
      <c r="I14" s="3"/>
      <c r="J14" s="26"/>
      <c r="K14" s="3"/>
      <c r="L14" s="3">
        <f t="shared" si="0"/>
        <v>-9090.5</v>
      </c>
      <c r="M14" s="3"/>
      <c r="N14" s="26">
        <f t="shared" si="1"/>
        <v>0</v>
      </c>
      <c r="O14" s="9"/>
      <c r="P14" s="3">
        <f>--635096.23</f>
        <v>635096.23</v>
      </c>
      <c r="Q14" s="3"/>
      <c r="R14" s="26"/>
      <c r="S14" s="3"/>
      <c r="T14" s="3">
        <v>0</v>
      </c>
      <c r="U14" s="3"/>
      <c r="V14" s="26"/>
      <c r="W14" s="3"/>
      <c r="X14" s="3">
        <f t="shared" si="2"/>
        <v>635096.23</v>
      </c>
      <c r="Y14" s="3"/>
      <c r="Z14" s="26">
        <f t="shared" si="3"/>
        <v>0</v>
      </c>
    </row>
    <row r="15" spans="1:26" s="70" customFormat="1" ht="15" hidden="1" customHeight="1" outlineLevel="1" x14ac:dyDescent="0.3">
      <c r="A15" s="48"/>
      <c r="B15" s="9" t="str">
        <f>CONCATENATE("          ","4200"," - ","TAXABLE RETURNS")</f>
        <v xml:space="preserve">          4200 - TAXABLE RETURNS</v>
      </c>
      <c r="C15" s="9"/>
      <c r="D15" s="3">
        <f>-1412.75</f>
        <v>-1412.75</v>
      </c>
      <c r="E15" s="3"/>
      <c r="F15" s="26"/>
      <c r="G15" s="3"/>
      <c r="H15" s="3"/>
      <c r="I15" s="3"/>
      <c r="J15" s="26"/>
      <c r="K15" s="3"/>
      <c r="L15" s="3">
        <f t="shared" si="0"/>
        <v>-1412.75</v>
      </c>
      <c r="M15" s="3"/>
      <c r="N15" s="26">
        <f t="shared" si="1"/>
        <v>0</v>
      </c>
      <c r="O15" s="9"/>
      <c r="P15" s="3">
        <f>-60219.77</f>
        <v>-60219.77</v>
      </c>
      <c r="Q15" s="3"/>
      <c r="R15" s="26"/>
      <c r="S15" s="3"/>
      <c r="T15" s="3"/>
      <c r="U15" s="3"/>
      <c r="V15" s="26"/>
      <c r="W15" s="3"/>
      <c r="X15" s="3">
        <f t="shared" si="2"/>
        <v>-60219.77</v>
      </c>
      <c r="Y15" s="3"/>
      <c r="Z15" s="26">
        <f t="shared" si="3"/>
        <v>0</v>
      </c>
    </row>
    <row r="16" spans="1:26" s="70" customFormat="1" ht="15" hidden="1" customHeight="1" outlineLevel="1" x14ac:dyDescent="0.3">
      <c r="A16" s="48"/>
      <c r="B16" s="9" t="str">
        <f>CONCATENATE("          ","4300"," - ","NON-TAX RETURNS")</f>
        <v xml:space="preserve">          4300 - NON-TAX RETURNS</v>
      </c>
      <c r="C16" s="9"/>
      <c r="D16" s="3">
        <f>-1149.62</f>
        <v>-1149.6199999999999</v>
      </c>
      <c r="E16" s="3"/>
      <c r="F16" s="26"/>
      <c r="G16" s="3"/>
      <c r="H16" s="3"/>
      <c r="I16" s="3"/>
      <c r="J16" s="26"/>
      <c r="K16" s="3"/>
      <c r="L16" s="3">
        <f t="shared" si="0"/>
        <v>-1149.6199999999999</v>
      </c>
      <c r="M16" s="3"/>
      <c r="N16" s="26">
        <f t="shared" si="1"/>
        <v>0</v>
      </c>
      <c r="O16" s="9"/>
      <c r="P16" s="3">
        <f>-39423.99</f>
        <v>-39423.99</v>
      </c>
      <c r="Q16" s="3"/>
      <c r="R16" s="26"/>
      <c r="S16" s="3"/>
      <c r="T16" s="3"/>
      <c r="U16" s="3"/>
      <c r="V16" s="26"/>
      <c r="W16" s="3"/>
      <c r="X16" s="3">
        <f t="shared" si="2"/>
        <v>-39423.99</v>
      </c>
      <c r="Y16" s="3"/>
      <c r="Z16" s="26">
        <f t="shared" si="3"/>
        <v>0</v>
      </c>
    </row>
    <row r="17" spans="1:26" s="70" customFormat="1" ht="15" hidden="1" customHeight="1" outlineLevel="1" x14ac:dyDescent="0.3">
      <c r="A17" s="48"/>
      <c r="B17" s="9" t="str">
        <f>CONCATENATE("          ","4500"," - ","SALES DISCOUNT")</f>
        <v xml:space="preserve">          4500 - SALES DISCOUNT</v>
      </c>
      <c r="C17" s="9"/>
      <c r="D17" s="3">
        <f>-214.3</f>
        <v>-214.3</v>
      </c>
      <c r="E17" s="3"/>
      <c r="F17" s="26"/>
      <c r="G17" s="3"/>
      <c r="H17" s="3"/>
      <c r="I17" s="3"/>
      <c r="J17" s="26"/>
      <c r="K17" s="3"/>
      <c r="L17" s="3">
        <f t="shared" si="0"/>
        <v>-214.3</v>
      </c>
      <c r="M17" s="3"/>
      <c r="N17" s="26">
        <f t="shared" si="1"/>
        <v>0</v>
      </c>
      <c r="O17" s="9"/>
      <c r="P17" s="3">
        <f>-7973.35</f>
        <v>-7973.35</v>
      </c>
      <c r="Q17" s="3"/>
      <c r="R17" s="26"/>
      <c r="S17" s="3"/>
      <c r="T17" s="3"/>
      <c r="U17" s="3"/>
      <c r="V17" s="26"/>
      <c r="W17" s="3"/>
      <c r="X17" s="3">
        <f t="shared" si="2"/>
        <v>-7973.35</v>
      </c>
      <c r="Y17" s="3"/>
      <c r="Z17" s="26">
        <f t="shared" si="3"/>
        <v>0</v>
      </c>
    </row>
    <row r="18" spans="1:26" ht="15" customHeight="1" x14ac:dyDescent="0.3">
      <c r="A18" s="12"/>
      <c r="B18" s="13"/>
      <c r="C18" s="12"/>
      <c r="D18" s="4"/>
      <c r="E18" s="4"/>
      <c r="F18" s="10"/>
      <c r="G18" s="4"/>
      <c r="H18" s="4"/>
      <c r="I18" s="4"/>
      <c r="J18" s="10"/>
      <c r="K18" s="4"/>
      <c r="L18" s="4"/>
      <c r="M18" s="4"/>
      <c r="N18" s="10"/>
      <c r="P18" s="4"/>
      <c r="Q18" s="4"/>
      <c r="R18" s="10"/>
      <c r="S18" s="4"/>
      <c r="T18" s="4"/>
      <c r="U18" s="4"/>
      <c r="V18" s="10"/>
      <c r="W18" s="4"/>
      <c r="X18" s="4"/>
      <c r="Y18" s="4"/>
      <c r="Z18" s="10"/>
    </row>
    <row r="19" spans="1:26" s="63" customFormat="1" ht="15" customHeight="1" collapsed="1" x14ac:dyDescent="0.3">
      <c r="A19" s="13"/>
      <c r="B19" s="28" t="s">
        <v>288</v>
      </c>
      <c r="C19" s="13"/>
      <c r="D19" s="8">
        <f>SUM(OSRRefD16x_0)</f>
        <v>151107.86000000002</v>
      </c>
      <c r="E19" s="8"/>
      <c r="F19" s="14">
        <f t="shared" ref="F19:F29" si="4">IF(D$12=0,0,D19/D$12)</f>
        <v>327.07329004328994</v>
      </c>
      <c r="G19" s="8"/>
      <c r="H19" s="8">
        <f>SUM(OSRRefH16x_0)</f>
        <v>16024</v>
      </c>
      <c r="I19" s="8"/>
      <c r="J19" s="14">
        <f t="shared" ref="J19:J29" si="5">IF(H$12=0,0,H19/H$12)</f>
        <v>0.72206200432588319</v>
      </c>
      <c r="K19" s="8"/>
      <c r="L19" s="8">
        <f t="shared" ref="L19:L29" si="6">+D19-H19</f>
        <v>135083.86000000002</v>
      </c>
      <c r="M19" s="8"/>
      <c r="N19" s="14">
        <f t="shared" ref="N19:N29" si="7">IF(H19=0,0,L19/H19)</f>
        <v>8.4300961058412387</v>
      </c>
      <c r="O19" s="13"/>
      <c r="P19" s="8">
        <f>SUM(OSRRefP16x_0)</f>
        <v>1856399.9800000002</v>
      </c>
      <c r="Q19" s="8"/>
      <c r="R19" s="14">
        <f t="shared" ref="R19:R29" si="8">IF(P$12=0,0,P19/P$12)</f>
        <v>0.83029725371040231</v>
      </c>
      <c r="S19" s="8"/>
      <c r="T19" s="8">
        <f>SUM(OSRRefT16x_0)</f>
        <v>3451278</v>
      </c>
      <c r="U19" s="8"/>
      <c r="V19" s="14">
        <f t="shared" ref="V19:V29" si="9">IF(T$12=0,0,T19/T$12)</f>
        <v>0.72330469338941028</v>
      </c>
      <c r="W19" s="8"/>
      <c r="X19" s="8">
        <f t="shared" ref="X19:X29" si="10">+P19-T19</f>
        <v>-1594878.0199999998</v>
      </c>
      <c r="Y19" s="8"/>
      <c r="Z19" s="14">
        <f t="shared" ref="Z19:Z29" si="11">IF(T19=0,0,X19/T19)</f>
        <v>-0.46211230158799138</v>
      </c>
    </row>
    <row r="20" spans="1:26" s="70" customFormat="1" ht="15" hidden="1" customHeight="1" outlineLevel="1" x14ac:dyDescent="0.3">
      <c r="A20" s="48"/>
      <c r="B20" s="9" t="str">
        <f>CONCATENATE("          ","5000"," - ","PURCHASES @ COST")</f>
        <v xml:space="preserve">          5000 - PURCHASES @ COST</v>
      </c>
      <c r="C20" s="9"/>
      <c r="D20" s="3">
        <v>139295.32</v>
      </c>
      <c r="E20" s="3"/>
      <c r="F20" s="26">
        <f t="shared" si="4"/>
        <v>301.50502164502154</v>
      </c>
      <c r="G20" s="3"/>
      <c r="H20" s="3">
        <v>16024</v>
      </c>
      <c r="I20" s="3"/>
      <c r="J20" s="26">
        <f t="shared" si="5"/>
        <v>0.72206200432588319</v>
      </c>
      <c r="K20" s="3"/>
      <c r="L20" s="3">
        <f t="shared" si="6"/>
        <v>123271.32</v>
      </c>
      <c r="M20" s="3"/>
      <c r="N20" s="26">
        <f t="shared" si="7"/>
        <v>7.6929181228157768</v>
      </c>
      <c r="O20" s="9"/>
      <c r="P20" s="3">
        <v>1652258.87</v>
      </c>
      <c r="Q20" s="3"/>
      <c r="R20" s="26">
        <f t="shared" si="8"/>
        <v>0.73899268312837008</v>
      </c>
      <c r="S20" s="3"/>
      <c r="T20" s="3">
        <v>3451278</v>
      </c>
      <c r="U20" s="3"/>
      <c r="V20" s="26">
        <f t="shared" si="9"/>
        <v>0.72330469338941028</v>
      </c>
      <c r="W20" s="3"/>
      <c r="X20" s="3">
        <f t="shared" si="10"/>
        <v>-1799019.13</v>
      </c>
      <c r="Y20" s="3"/>
      <c r="Z20" s="26">
        <f t="shared" si="11"/>
        <v>-0.52126172681539995</v>
      </c>
    </row>
    <row r="21" spans="1:26" s="70" customFormat="1" ht="15" hidden="1" customHeight="1" outlineLevel="1" x14ac:dyDescent="0.3">
      <c r="A21" s="48"/>
      <c r="B21" s="9" t="str">
        <f>CONCATENATE("          ","5001"," - ","PURCHASES @ COST-NEW TEXT")</f>
        <v xml:space="preserve">          5001 - PURCHASES @ COST-NEW TEXT</v>
      </c>
      <c r="C21" s="9"/>
      <c r="D21" s="3"/>
      <c r="E21" s="3"/>
      <c r="F21" s="26">
        <f t="shared" si="4"/>
        <v>0</v>
      </c>
      <c r="G21" s="3"/>
      <c r="H21" s="3"/>
      <c r="I21" s="3"/>
      <c r="J21" s="26">
        <f t="shared" si="5"/>
        <v>0</v>
      </c>
      <c r="K21" s="3"/>
      <c r="L21" s="3">
        <f t="shared" si="6"/>
        <v>0</v>
      </c>
      <c r="M21" s="3"/>
      <c r="N21" s="26">
        <f t="shared" si="7"/>
        <v>0</v>
      </c>
      <c r="O21" s="9"/>
      <c r="P21" s="3">
        <v>0</v>
      </c>
      <c r="Q21" s="3"/>
      <c r="R21" s="26">
        <f t="shared" si="8"/>
        <v>0</v>
      </c>
      <c r="S21" s="3"/>
      <c r="T21" s="3"/>
      <c r="U21" s="3"/>
      <c r="V21" s="26">
        <f t="shared" si="9"/>
        <v>0</v>
      </c>
      <c r="W21" s="3"/>
      <c r="X21" s="3">
        <f t="shared" si="10"/>
        <v>0</v>
      </c>
      <c r="Y21" s="3"/>
      <c r="Z21" s="26">
        <f t="shared" si="11"/>
        <v>0</v>
      </c>
    </row>
    <row r="22" spans="1:26" s="70" customFormat="1" ht="15" hidden="1" customHeight="1" outlineLevel="1" x14ac:dyDescent="0.3">
      <c r="A22" s="48"/>
      <c r="B22" s="9" t="str">
        <f>CONCATENATE("          ","5002"," - ","PURCHASES @ COST-USED TEXT")</f>
        <v xml:space="preserve">          5002 - PURCHASES @ COST-USED TEXT</v>
      </c>
      <c r="C22" s="9"/>
      <c r="D22" s="3"/>
      <c r="E22" s="3"/>
      <c r="F22" s="26">
        <f t="shared" si="4"/>
        <v>0</v>
      </c>
      <c r="G22" s="3"/>
      <c r="H22" s="3"/>
      <c r="I22" s="3"/>
      <c r="J22" s="26">
        <f t="shared" si="5"/>
        <v>0</v>
      </c>
      <c r="K22" s="3"/>
      <c r="L22" s="3">
        <f t="shared" si="6"/>
        <v>0</v>
      </c>
      <c r="M22" s="3"/>
      <c r="N22" s="26">
        <f t="shared" si="7"/>
        <v>0</v>
      </c>
      <c r="O22" s="9"/>
      <c r="P22" s="3">
        <v>0</v>
      </c>
      <c r="Q22" s="3"/>
      <c r="R22" s="26">
        <f t="shared" si="8"/>
        <v>0</v>
      </c>
      <c r="S22" s="3"/>
      <c r="T22" s="3"/>
      <c r="U22" s="3"/>
      <c r="V22" s="26">
        <f t="shared" si="9"/>
        <v>0</v>
      </c>
      <c r="W22" s="3"/>
      <c r="X22" s="3">
        <f t="shared" si="10"/>
        <v>0</v>
      </c>
      <c r="Y22" s="3"/>
      <c r="Z22" s="26">
        <f t="shared" si="11"/>
        <v>0</v>
      </c>
    </row>
    <row r="23" spans="1:26" s="70" customFormat="1" ht="15" hidden="1" customHeight="1" outlineLevel="1" x14ac:dyDescent="0.3">
      <c r="A23" s="48"/>
      <c r="B23" s="9" t="str">
        <f>CONCATENATE("          ","5004"," - ","PURCHASES @ COST-DIGITAL TEXT")</f>
        <v xml:space="preserve">          5004 - PURCHASES @ COST-DIGITAL TEXT</v>
      </c>
      <c r="C23" s="9"/>
      <c r="D23" s="3"/>
      <c r="E23" s="3"/>
      <c r="F23" s="26">
        <f t="shared" si="4"/>
        <v>0</v>
      </c>
      <c r="G23" s="3"/>
      <c r="H23" s="3"/>
      <c r="I23" s="3"/>
      <c r="J23" s="26">
        <f t="shared" si="5"/>
        <v>0</v>
      </c>
      <c r="K23" s="3"/>
      <c r="L23" s="3">
        <f t="shared" si="6"/>
        <v>0</v>
      </c>
      <c r="M23" s="3"/>
      <c r="N23" s="26">
        <f t="shared" si="7"/>
        <v>0</v>
      </c>
      <c r="O23" s="9"/>
      <c r="P23" s="3">
        <v>0</v>
      </c>
      <c r="Q23" s="3"/>
      <c r="R23" s="26">
        <f t="shared" si="8"/>
        <v>0</v>
      </c>
      <c r="S23" s="3"/>
      <c r="T23" s="3"/>
      <c r="U23" s="3"/>
      <c r="V23" s="26">
        <f t="shared" si="9"/>
        <v>0</v>
      </c>
      <c r="W23" s="3"/>
      <c r="X23" s="3">
        <f t="shared" si="10"/>
        <v>0</v>
      </c>
      <c r="Y23" s="3"/>
      <c r="Z23" s="26">
        <f t="shared" si="11"/>
        <v>0</v>
      </c>
    </row>
    <row r="24" spans="1:26" s="70" customFormat="1" ht="15" hidden="1" customHeight="1" outlineLevel="1" x14ac:dyDescent="0.3">
      <c r="A24" s="48"/>
      <c r="B24" s="9" t="str">
        <f>CONCATENATE("          ","5200"," - ","PURCHASES OFFSET")</f>
        <v xml:space="preserve">          5200 - PURCHASES OFFSET</v>
      </c>
      <c r="C24" s="9"/>
      <c r="D24" s="3">
        <v>-1500.2</v>
      </c>
      <c r="E24" s="3"/>
      <c r="F24" s="26">
        <f t="shared" si="4"/>
        <v>-3.2471861471861461</v>
      </c>
      <c r="G24" s="3"/>
      <c r="H24" s="3"/>
      <c r="I24" s="3"/>
      <c r="J24" s="26">
        <f t="shared" si="5"/>
        <v>0</v>
      </c>
      <c r="K24" s="3"/>
      <c r="L24" s="3">
        <f t="shared" si="6"/>
        <v>-1500.2</v>
      </c>
      <c r="M24" s="3"/>
      <c r="N24" s="26">
        <f t="shared" si="7"/>
        <v>0</v>
      </c>
      <c r="O24" s="9"/>
      <c r="P24" s="3">
        <v>-1290287.46</v>
      </c>
      <c r="Q24" s="3"/>
      <c r="R24" s="26">
        <f t="shared" si="8"/>
        <v>-0.57709660960832943</v>
      </c>
      <c r="S24" s="3"/>
      <c r="T24" s="3"/>
      <c r="U24" s="3"/>
      <c r="V24" s="26">
        <f t="shared" si="9"/>
        <v>0</v>
      </c>
      <c r="W24" s="3"/>
      <c r="X24" s="3">
        <f t="shared" si="10"/>
        <v>-1290287.46</v>
      </c>
      <c r="Y24" s="3"/>
      <c r="Z24" s="26">
        <f t="shared" si="11"/>
        <v>0</v>
      </c>
    </row>
    <row r="25" spans="1:26" s="70" customFormat="1" ht="15" hidden="1" customHeight="1" outlineLevel="1" x14ac:dyDescent="0.3">
      <c r="A25" s="48"/>
      <c r="B25" s="9" t="str">
        <f>CONCATENATE("          ","5300"," - ","COG$ OFFSET")</f>
        <v xml:space="preserve">          5300 - COG$ OFFSET</v>
      </c>
      <c r="C25" s="9"/>
      <c r="D25" s="3">
        <v>12278.45</v>
      </c>
      <c r="E25" s="3"/>
      <c r="F25" s="26">
        <f t="shared" si="4"/>
        <v>26.576731601731595</v>
      </c>
      <c r="G25" s="3"/>
      <c r="H25" s="3"/>
      <c r="I25" s="3"/>
      <c r="J25" s="26">
        <f t="shared" si="5"/>
        <v>0</v>
      </c>
      <c r="K25" s="3"/>
      <c r="L25" s="3">
        <f t="shared" si="6"/>
        <v>12278.45</v>
      </c>
      <c r="M25" s="3"/>
      <c r="N25" s="26">
        <f t="shared" si="7"/>
        <v>0</v>
      </c>
      <c r="O25" s="9"/>
      <c r="P25" s="3">
        <v>1412686.75</v>
      </c>
      <c r="Q25" s="3"/>
      <c r="R25" s="26">
        <f t="shared" si="8"/>
        <v>0.63184116651308819</v>
      </c>
      <c r="S25" s="3"/>
      <c r="T25" s="3"/>
      <c r="U25" s="3"/>
      <c r="V25" s="26">
        <f t="shared" si="9"/>
        <v>0</v>
      </c>
      <c r="W25" s="3"/>
      <c r="X25" s="3">
        <f t="shared" si="10"/>
        <v>1412686.75</v>
      </c>
      <c r="Y25" s="3"/>
      <c r="Z25" s="26">
        <f t="shared" si="11"/>
        <v>0</v>
      </c>
    </row>
    <row r="26" spans="1:26" s="70" customFormat="1" ht="15" hidden="1" customHeight="1" outlineLevel="1" x14ac:dyDescent="0.3">
      <c r="A26" s="48"/>
      <c r="B26" s="9" t="str">
        <f>CONCATENATE("          ","5500"," - ","FREIGHT-IN")</f>
        <v xml:space="preserve">          5500 - FREIGHT-IN</v>
      </c>
      <c r="C26" s="9"/>
      <c r="D26" s="3">
        <v>1034.29</v>
      </c>
      <c r="E26" s="3"/>
      <c r="F26" s="26">
        <f t="shared" si="4"/>
        <v>2.238722943722943</v>
      </c>
      <c r="G26" s="3"/>
      <c r="H26" s="3"/>
      <c r="I26" s="3"/>
      <c r="J26" s="26">
        <f t="shared" si="5"/>
        <v>0</v>
      </c>
      <c r="K26" s="3"/>
      <c r="L26" s="3">
        <f t="shared" si="6"/>
        <v>1034.29</v>
      </c>
      <c r="M26" s="3"/>
      <c r="N26" s="26">
        <f t="shared" si="7"/>
        <v>0</v>
      </c>
      <c r="O26" s="9"/>
      <c r="P26" s="3">
        <v>81741.820000000007</v>
      </c>
      <c r="Q26" s="3"/>
      <c r="R26" s="26">
        <f t="shared" si="8"/>
        <v>3.6560013677273386E-2</v>
      </c>
      <c r="S26" s="3"/>
      <c r="T26" s="3"/>
      <c r="U26" s="3"/>
      <c r="V26" s="26">
        <f t="shared" si="9"/>
        <v>0</v>
      </c>
      <c r="W26" s="3"/>
      <c r="X26" s="3">
        <f t="shared" si="10"/>
        <v>81741.820000000007</v>
      </c>
      <c r="Y26" s="3"/>
      <c r="Z26" s="26">
        <f t="shared" si="11"/>
        <v>0</v>
      </c>
    </row>
    <row r="27" spans="1:26" s="70" customFormat="1" ht="15" hidden="1" customHeight="1" outlineLevel="1" x14ac:dyDescent="0.3">
      <c r="A27" s="48"/>
      <c r="B27" s="9" t="str">
        <f>CONCATENATE("          ","5501"," - ","FREIGHT-IN-NEW TEXT")</f>
        <v xml:space="preserve">          5501 - FREIGHT-IN-NEW TEXT</v>
      </c>
      <c r="C27" s="9"/>
      <c r="D27" s="3"/>
      <c r="E27" s="3"/>
      <c r="F27" s="26">
        <f t="shared" si="4"/>
        <v>0</v>
      </c>
      <c r="G27" s="3"/>
      <c r="H27" s="3"/>
      <c r="I27" s="3"/>
      <c r="J27" s="26">
        <f t="shared" si="5"/>
        <v>0</v>
      </c>
      <c r="K27" s="3"/>
      <c r="L27" s="3">
        <f t="shared" si="6"/>
        <v>0</v>
      </c>
      <c r="M27" s="3"/>
      <c r="N27" s="26">
        <f t="shared" si="7"/>
        <v>0</v>
      </c>
      <c r="O27" s="9"/>
      <c r="P27" s="3">
        <v>0</v>
      </c>
      <c r="Q27" s="3"/>
      <c r="R27" s="26">
        <f t="shared" si="8"/>
        <v>0</v>
      </c>
      <c r="S27" s="3"/>
      <c r="T27" s="3"/>
      <c r="U27" s="3"/>
      <c r="V27" s="26">
        <f t="shared" si="9"/>
        <v>0</v>
      </c>
      <c r="W27" s="3"/>
      <c r="X27" s="3">
        <f t="shared" si="10"/>
        <v>0</v>
      </c>
      <c r="Y27" s="3"/>
      <c r="Z27" s="26">
        <f t="shared" si="11"/>
        <v>0</v>
      </c>
    </row>
    <row r="28" spans="1:26" s="70" customFormat="1" ht="15" hidden="1" customHeight="1" outlineLevel="1" x14ac:dyDescent="0.3">
      <c r="A28" s="48"/>
      <c r="B28" s="9" t="str">
        <f>CONCATENATE("          ","5502"," - ","FREIGHT-IN-USED TEXT")</f>
        <v xml:space="preserve">          5502 - FREIGHT-IN-USED TEXT</v>
      </c>
      <c r="C28" s="9"/>
      <c r="D28" s="3"/>
      <c r="E28" s="3"/>
      <c r="F28" s="26">
        <f t="shared" si="4"/>
        <v>0</v>
      </c>
      <c r="G28" s="3"/>
      <c r="H28" s="3"/>
      <c r="I28" s="3"/>
      <c r="J28" s="26">
        <f t="shared" si="5"/>
        <v>0</v>
      </c>
      <c r="K28" s="3"/>
      <c r="L28" s="3">
        <f t="shared" si="6"/>
        <v>0</v>
      </c>
      <c r="M28" s="3"/>
      <c r="N28" s="26">
        <f t="shared" si="7"/>
        <v>0</v>
      </c>
      <c r="O28" s="9"/>
      <c r="P28" s="3">
        <v>0</v>
      </c>
      <c r="Q28" s="3"/>
      <c r="R28" s="26">
        <f t="shared" si="8"/>
        <v>0</v>
      </c>
      <c r="S28" s="3"/>
      <c r="T28" s="3"/>
      <c r="U28" s="3"/>
      <c r="V28" s="26">
        <f t="shared" si="9"/>
        <v>0</v>
      </c>
      <c r="W28" s="3"/>
      <c r="X28" s="3">
        <f t="shared" si="10"/>
        <v>0</v>
      </c>
      <c r="Y28" s="3"/>
      <c r="Z28" s="26">
        <f t="shared" si="11"/>
        <v>0</v>
      </c>
    </row>
    <row r="29" spans="1:26" s="70" customFormat="1" ht="15" hidden="1" customHeight="1" outlineLevel="1" x14ac:dyDescent="0.3">
      <c r="A29" s="48"/>
      <c r="B29" s="9" t="str">
        <f>CONCATENATE("          ","5518"," - ","FREIGHT-IN-STUDY GUIDES")</f>
        <v xml:space="preserve">          5518 - FREIGHT-IN-STUDY GUIDES</v>
      </c>
      <c r="C29" s="9"/>
      <c r="D29" s="3"/>
      <c r="E29" s="3"/>
      <c r="F29" s="26">
        <f t="shared" si="4"/>
        <v>0</v>
      </c>
      <c r="G29" s="3"/>
      <c r="H29" s="3"/>
      <c r="I29" s="3"/>
      <c r="J29" s="26">
        <f t="shared" si="5"/>
        <v>0</v>
      </c>
      <c r="K29" s="3"/>
      <c r="L29" s="3">
        <f t="shared" si="6"/>
        <v>0</v>
      </c>
      <c r="M29" s="3"/>
      <c r="N29" s="26">
        <f t="shared" si="7"/>
        <v>0</v>
      </c>
      <c r="O29" s="9"/>
      <c r="P29" s="3">
        <v>0</v>
      </c>
      <c r="Q29" s="3"/>
      <c r="R29" s="26">
        <f t="shared" si="8"/>
        <v>0</v>
      </c>
      <c r="S29" s="3"/>
      <c r="T29" s="3"/>
      <c r="U29" s="3"/>
      <c r="V29" s="26">
        <f t="shared" si="9"/>
        <v>0</v>
      </c>
      <c r="W29" s="3"/>
      <c r="X29" s="3">
        <f t="shared" si="10"/>
        <v>0</v>
      </c>
      <c r="Y29" s="3"/>
      <c r="Z29" s="26">
        <f t="shared" si="11"/>
        <v>0</v>
      </c>
    </row>
    <row r="30" spans="1:26" ht="15" customHeight="1" x14ac:dyDescent="0.3">
      <c r="A30" s="12"/>
      <c r="B30" s="13"/>
      <c r="C30" s="13"/>
      <c r="D30" s="4"/>
      <c r="E30" s="4"/>
      <c r="F30" s="10"/>
      <c r="G30" s="4"/>
      <c r="H30" s="4"/>
      <c r="I30" s="4"/>
      <c r="J30" s="10"/>
      <c r="K30" s="4"/>
      <c r="L30" s="4"/>
      <c r="M30" s="4"/>
      <c r="N30" s="10"/>
      <c r="O30" s="13"/>
      <c r="P30" s="4"/>
      <c r="Q30" s="4"/>
      <c r="R30" s="10"/>
      <c r="S30" s="4"/>
      <c r="T30" s="4"/>
      <c r="U30" s="4"/>
      <c r="V30" s="10"/>
      <c r="W30" s="4"/>
      <c r="X30" s="4"/>
      <c r="Y30" s="4"/>
      <c r="Z30" s="10"/>
    </row>
    <row r="31" spans="1:26" s="63" customFormat="1" ht="15" customHeight="1" x14ac:dyDescent="0.3">
      <c r="A31" s="13"/>
      <c r="B31" s="27" t="s">
        <v>289</v>
      </c>
      <c r="C31" s="27"/>
      <c r="D31" s="23">
        <f>D12-D19</f>
        <v>-150645.86000000002</v>
      </c>
      <c r="E31" s="15"/>
      <c r="F31" s="22">
        <f>IF(D$12=0,0,D31/D$12)</f>
        <v>-326.07329004328994</v>
      </c>
      <c r="G31" s="15"/>
      <c r="H31" s="23">
        <f>H12-H19</f>
        <v>6168</v>
      </c>
      <c r="I31" s="15"/>
      <c r="J31" s="22">
        <f>IF(H$12=0,0,H31/H$12)</f>
        <v>0.27793799567411681</v>
      </c>
      <c r="K31" s="17"/>
      <c r="L31" s="23">
        <f>+D31-H31</f>
        <v>-156813.86000000002</v>
      </c>
      <c r="M31" s="17"/>
      <c r="N31" s="22">
        <f>IF(H31=0,0,L31/H31)</f>
        <v>-25.423777561608304</v>
      </c>
      <c r="O31" s="28"/>
      <c r="P31" s="23">
        <f>P12-P19</f>
        <v>379425.76999999932</v>
      </c>
      <c r="Q31" s="15"/>
      <c r="R31" s="22">
        <f>IF(P$12=0,0,P31/P$12)</f>
        <v>0.16970274628959767</v>
      </c>
      <c r="S31" s="15"/>
      <c r="T31" s="23">
        <f>T12-T19</f>
        <v>1320263</v>
      </c>
      <c r="U31" s="15"/>
      <c r="V31" s="22">
        <f>IF(T$12=0,0,T31/T$12)</f>
        <v>0.27669530661058972</v>
      </c>
      <c r="W31" s="17"/>
      <c r="X31" s="23">
        <f>+P31-T31</f>
        <v>-940837.23000000068</v>
      </c>
      <c r="Y31" s="17"/>
      <c r="Z31" s="22">
        <f>IF(T31=0,0,X31/T31)</f>
        <v>-0.71261349443254918</v>
      </c>
    </row>
    <row r="32" spans="1:26" ht="15" customHeight="1" x14ac:dyDescent="0.3">
      <c r="A32" s="12"/>
      <c r="B32" s="13"/>
      <c r="C32" s="12"/>
      <c r="D32" s="2"/>
      <c r="E32" s="2"/>
      <c r="F32" s="5"/>
      <c r="G32" s="2"/>
      <c r="H32" s="2"/>
      <c r="I32" s="2"/>
      <c r="J32" s="5"/>
      <c r="K32" s="2"/>
      <c r="L32" s="2"/>
      <c r="M32" s="2"/>
      <c r="N32" s="5"/>
      <c r="O32" s="36"/>
      <c r="P32" s="2"/>
      <c r="Q32" s="2"/>
      <c r="R32" s="5"/>
      <c r="S32" s="2"/>
      <c r="T32" s="2"/>
      <c r="U32" s="2"/>
      <c r="V32" s="5"/>
      <c r="W32" s="2"/>
      <c r="X32" s="2"/>
      <c r="Y32" s="2"/>
      <c r="Z32" s="5"/>
    </row>
    <row r="33" spans="1:26" s="63" customFormat="1" ht="15" customHeight="1" x14ac:dyDescent="0.3">
      <c r="A33" s="13"/>
      <c r="B33" s="28" t="s">
        <v>290</v>
      </c>
      <c r="C33" s="13"/>
      <c r="D33" s="24" cm="1">
        <f t="array" ref="D33">SUM(OSRRefD22x_0)</f>
        <v>20932.970000000005</v>
      </c>
      <c r="E33" s="24"/>
      <c r="F33" s="34">
        <f t="shared" ref="F33:F64" si="12">IF(D$12=0,0,D33/D$12)</f>
        <v>45.309458874458869</v>
      </c>
      <c r="G33" s="24"/>
      <c r="H33" s="24" cm="1">
        <f t="array" ref="H33">SUM(OSRRefH22x_0)</f>
        <v>58386.963591039719</v>
      </c>
      <c r="I33" s="24"/>
      <c r="J33" s="34">
        <f t="shared" ref="J33:J64" si="13">IF(H$12=0,0,H33/H$12)</f>
        <v>2.630991510050456</v>
      </c>
      <c r="K33" s="8"/>
      <c r="L33" s="24">
        <f t="shared" ref="L33:L64" si="14">+D33-H33</f>
        <v>-37453.993591039718</v>
      </c>
      <c r="M33" s="8"/>
      <c r="N33" s="34">
        <f t="shared" ref="N33:N64" si="15">IF(H33=0,0,L33/H33)</f>
        <v>-0.64147870153651132</v>
      </c>
      <c r="O33" s="13"/>
      <c r="P33" s="24" cm="1">
        <f t="array" ref="P33">SUM(OSRRefP22x_0)</f>
        <v>503706.05999999994</v>
      </c>
      <c r="Q33" s="24"/>
      <c r="R33" s="34">
        <f t="shared" ref="R33:R64" si="16">IF(P$12=0,0,P33/P$12)</f>
        <v>0.22528860310335008</v>
      </c>
      <c r="S33" s="24"/>
      <c r="T33" s="24" cm="1">
        <f t="array" ref="T33">SUM(OSRRefT22x_0)</f>
        <v>653759.38269291713</v>
      </c>
      <c r="U33" s="24"/>
      <c r="V33" s="34">
        <f t="shared" ref="V33:V64" si="17">IF(T$12=0,0,T33/T$12)</f>
        <v>0.1370122110850388</v>
      </c>
      <c r="W33" s="8"/>
      <c r="X33" s="24">
        <f t="shared" ref="X33:X64" si="18">+P33-T33</f>
        <v>-150053.32269291719</v>
      </c>
      <c r="Y33" s="8"/>
      <c r="Z33" s="34">
        <f t="shared" ref="Z33:Z64" si="19">IF(T33=0,0,X33/T33)</f>
        <v>-0.22952377688994485</v>
      </c>
    </row>
    <row r="34" spans="1:26" s="69" customFormat="1" ht="15" customHeight="1" outlineLevel="1" collapsed="1" x14ac:dyDescent="0.3">
      <c r="A34" s="20"/>
      <c r="B34" s="11" t="str">
        <f>CONCATENATE("     ","*Benefits                                         ")</f>
        <v xml:space="preserve">     *Benefits                                         </v>
      </c>
      <c r="C34" s="11"/>
      <c r="D34" s="2">
        <f>SUM(OSRRefD22_0x_0)</f>
        <v>10024.030000000001</v>
      </c>
      <c r="E34" s="2"/>
      <c r="F34" s="5">
        <f t="shared" si="12"/>
        <v>21.697034632034626</v>
      </c>
      <c r="G34" s="2"/>
      <c r="H34" s="2">
        <f>SUM(OSRRefH22_0x_0)</f>
        <v>13686.585045785916</v>
      </c>
      <c r="I34" s="2"/>
      <c r="J34" s="5">
        <f t="shared" si="13"/>
        <v>0.61673508677838484</v>
      </c>
      <c r="K34" s="2"/>
      <c r="L34" s="2">
        <f t="shared" si="14"/>
        <v>-3662.5550457859154</v>
      </c>
      <c r="M34" s="2"/>
      <c r="N34" s="5">
        <f t="shared" si="15"/>
        <v>-0.26760181838884728</v>
      </c>
      <c r="O34" s="11"/>
      <c r="P34" s="2">
        <f>SUM(OSRRefP22_0x_0)</f>
        <v>127769.86000000002</v>
      </c>
      <c r="Q34" s="2"/>
      <c r="R34" s="5">
        <f t="shared" si="16"/>
        <v>5.7146609032479409E-2</v>
      </c>
      <c r="S34" s="2"/>
      <c r="T34" s="2">
        <f>SUM(OSRRefT22_0x_0)</f>
        <v>175010.80660461698</v>
      </c>
      <c r="U34" s="2"/>
      <c r="V34" s="5">
        <f t="shared" si="17"/>
        <v>3.6678047323625007E-2</v>
      </c>
      <c r="W34" s="2"/>
      <c r="X34" s="2">
        <f t="shared" si="18"/>
        <v>-47240.946604616969</v>
      </c>
      <c r="Y34" s="2"/>
      <c r="Z34" s="5">
        <f t="shared" si="19"/>
        <v>-0.26993159748896728</v>
      </c>
    </row>
    <row r="35" spans="1:26" s="70" customFormat="1" ht="15" hidden="1" customHeight="1" outlineLevel="2" x14ac:dyDescent="0.3">
      <c r="A35" s="21"/>
      <c r="B35" s="9" t="str">
        <f>CONCATENATE("          ","6111"," - ","F.I.C.A.")</f>
        <v xml:space="preserve">          6111 - F.I.C.A.</v>
      </c>
      <c r="C35" s="9"/>
      <c r="D35" s="6">
        <v>1695.53</v>
      </c>
      <c r="E35" s="3"/>
      <c r="F35" s="7">
        <f t="shared" si="12"/>
        <v>3.6699783549783538</v>
      </c>
      <c r="G35" s="3"/>
      <c r="H35" s="6">
        <v>2120.9943225297702</v>
      </c>
      <c r="I35" s="3"/>
      <c r="J35" s="7">
        <f t="shared" si="13"/>
        <v>9.5574726141391952E-2</v>
      </c>
      <c r="K35" s="3"/>
      <c r="L35" s="6">
        <f t="shared" si="14"/>
        <v>-425.46432252977024</v>
      </c>
      <c r="M35" s="3"/>
      <c r="N35" s="7">
        <f t="shared" si="15"/>
        <v>-0.20059663432870808</v>
      </c>
      <c r="O35" s="9"/>
      <c r="P35" s="6">
        <v>25120.240000000002</v>
      </c>
      <c r="Q35" s="3"/>
      <c r="R35" s="7">
        <f t="shared" si="16"/>
        <v>1.1235329944652444E-2</v>
      </c>
      <c r="S35" s="3"/>
      <c r="T35" s="6">
        <v>27743.513858786999</v>
      </c>
      <c r="U35" s="3"/>
      <c r="V35" s="7">
        <f t="shared" si="17"/>
        <v>5.8143718892464721E-3</v>
      </c>
      <c r="W35" s="3"/>
      <c r="X35" s="6">
        <f t="shared" si="18"/>
        <v>-2623.2738587869972</v>
      </c>
      <c r="Y35" s="3"/>
      <c r="Z35" s="7">
        <f t="shared" si="19"/>
        <v>-9.4554491984660663E-2</v>
      </c>
    </row>
    <row r="36" spans="1:26" s="70" customFormat="1" ht="15" hidden="1" customHeight="1" outlineLevel="2" x14ac:dyDescent="0.3">
      <c r="A36" s="21"/>
      <c r="B36" s="9" t="str">
        <f>CONCATENATE("          ","6112"," - ","COMPENSATION INSURANCE")</f>
        <v xml:space="preserve">          6112 - COMPENSATION INSURANCE</v>
      </c>
      <c r="C36" s="9"/>
      <c r="D36" s="6">
        <v>-945.08</v>
      </c>
      <c r="E36" s="3"/>
      <c r="F36" s="7">
        <f t="shared" si="12"/>
        <v>-2.0456277056277048</v>
      </c>
      <c r="G36" s="3"/>
      <c r="H36" s="6">
        <v>469.73483748000001</v>
      </c>
      <c r="I36" s="3"/>
      <c r="J36" s="7">
        <f t="shared" si="13"/>
        <v>2.1166854608868062E-2</v>
      </c>
      <c r="K36" s="3"/>
      <c r="L36" s="6">
        <f t="shared" si="14"/>
        <v>-1414.8148374800001</v>
      </c>
      <c r="M36" s="3"/>
      <c r="N36" s="7">
        <f t="shared" si="15"/>
        <v>-3.0119436000746673</v>
      </c>
      <c r="O36" s="9"/>
      <c r="P36" s="6">
        <v>3520.31</v>
      </c>
      <c r="Q36" s="3"/>
      <c r="R36" s="7">
        <f t="shared" si="16"/>
        <v>1.5745010540289201E-3</v>
      </c>
      <c r="S36" s="3"/>
      <c r="T36" s="6">
        <v>6778.5019052400003</v>
      </c>
      <c r="U36" s="3"/>
      <c r="V36" s="7">
        <f t="shared" si="17"/>
        <v>1.4206106382068184E-3</v>
      </c>
      <c r="W36" s="3"/>
      <c r="X36" s="6">
        <f t="shared" si="18"/>
        <v>-3258.1919052400003</v>
      </c>
      <c r="Y36" s="3"/>
      <c r="Z36" s="7">
        <f t="shared" si="19"/>
        <v>-0.48066548490918221</v>
      </c>
    </row>
    <row r="37" spans="1:26" s="70" customFormat="1" ht="15" hidden="1" customHeight="1" outlineLevel="2" x14ac:dyDescent="0.3">
      <c r="A37" s="21"/>
      <c r="B37" s="9" t="str">
        <f>CONCATENATE("          ","6113"," - ","GROUP INSURANCE")</f>
        <v xml:space="preserve">          6113 - GROUP INSURANCE</v>
      </c>
      <c r="C37" s="9"/>
      <c r="D37" s="6">
        <v>4226.1400000000003</v>
      </c>
      <c r="E37" s="3"/>
      <c r="F37" s="7">
        <f t="shared" si="12"/>
        <v>9.1474891774891756</v>
      </c>
      <c r="G37" s="3"/>
      <c r="H37" s="6">
        <v>5314</v>
      </c>
      <c r="I37" s="3"/>
      <c r="J37" s="7">
        <f t="shared" si="13"/>
        <v>0.23945565969718818</v>
      </c>
      <c r="K37" s="3"/>
      <c r="L37" s="6">
        <f t="shared" si="14"/>
        <v>-1087.8599999999997</v>
      </c>
      <c r="M37" s="3"/>
      <c r="N37" s="7">
        <f t="shared" si="15"/>
        <v>-0.20471584493789982</v>
      </c>
      <c r="O37" s="9"/>
      <c r="P37" s="6">
        <v>52049.97</v>
      </c>
      <c r="Q37" s="3"/>
      <c r="R37" s="7">
        <f t="shared" si="16"/>
        <v>2.3279976089371011E-2</v>
      </c>
      <c r="S37" s="3"/>
      <c r="T37" s="6">
        <v>64992</v>
      </c>
      <c r="U37" s="3"/>
      <c r="V37" s="7">
        <f t="shared" si="17"/>
        <v>1.362075690012933E-2</v>
      </c>
      <c r="W37" s="3"/>
      <c r="X37" s="6">
        <f t="shared" si="18"/>
        <v>-12942.029999999999</v>
      </c>
      <c r="Y37" s="3"/>
      <c r="Z37" s="7">
        <f t="shared" si="19"/>
        <v>-0.19913266248153616</v>
      </c>
    </row>
    <row r="38" spans="1:26" s="70" customFormat="1" ht="15" hidden="1" customHeight="1" outlineLevel="2" x14ac:dyDescent="0.3">
      <c r="A38" s="21"/>
      <c r="B38" s="9" t="str">
        <f>CONCATENATE("          ","6114"," - ","STATE UNEMPLOYMENT INSURANCE")</f>
        <v xml:space="preserve">          6114 - STATE UNEMPLOYMENT INSURANCE</v>
      </c>
      <c r="C38" s="9"/>
      <c r="D38" s="6"/>
      <c r="E38" s="3"/>
      <c r="F38" s="7">
        <f t="shared" si="12"/>
        <v>0</v>
      </c>
      <c r="G38" s="3"/>
      <c r="H38" s="6">
        <v>63.233535814615401</v>
      </c>
      <c r="I38" s="3"/>
      <c r="J38" s="7">
        <f t="shared" si="13"/>
        <v>2.8493842742707011E-3</v>
      </c>
      <c r="K38" s="3"/>
      <c r="L38" s="6">
        <f t="shared" si="14"/>
        <v>-63.233535814615401</v>
      </c>
      <c r="M38" s="3"/>
      <c r="N38" s="7">
        <f t="shared" si="15"/>
        <v>-1</v>
      </c>
      <c r="O38" s="9"/>
      <c r="P38" s="6">
        <v>885.1</v>
      </c>
      <c r="Q38" s="3"/>
      <c r="R38" s="7">
        <f t="shared" si="16"/>
        <v>3.9587163713451291E-4</v>
      </c>
      <c r="S38" s="3"/>
      <c r="T38" s="6">
        <v>912.49064108999903</v>
      </c>
      <c r="U38" s="3"/>
      <c r="V38" s="7">
        <f t="shared" si="17"/>
        <v>1.9123604745091764E-4</v>
      </c>
      <c r="W38" s="3"/>
      <c r="X38" s="6">
        <f t="shared" si="18"/>
        <v>-27.390641089999008</v>
      </c>
      <c r="Y38" s="3"/>
      <c r="Z38" s="7">
        <f t="shared" si="19"/>
        <v>-3.0017448789699384E-2</v>
      </c>
    </row>
    <row r="39" spans="1:26" s="70" customFormat="1" ht="15" hidden="1" customHeight="1" outlineLevel="2" x14ac:dyDescent="0.3">
      <c r="A39" s="21"/>
      <c r="B39" s="9" t="str">
        <f>CONCATENATE("          ","6115"," - ","P.E.R.S.")</f>
        <v xml:space="preserve">          6115 - P.E.R.S.</v>
      </c>
      <c r="C39" s="9"/>
      <c r="D39" s="6">
        <v>1504.18</v>
      </c>
      <c r="E39" s="3"/>
      <c r="F39" s="7">
        <f t="shared" si="12"/>
        <v>3.2558008658008646</v>
      </c>
      <c r="G39" s="3"/>
      <c r="H39" s="6">
        <v>1664.68278164615</v>
      </c>
      <c r="I39" s="3"/>
      <c r="J39" s="7">
        <f t="shared" si="13"/>
        <v>7.5012742503882027E-2</v>
      </c>
      <c r="K39" s="3"/>
      <c r="L39" s="6">
        <f t="shared" si="14"/>
        <v>-160.50278164614997</v>
      </c>
      <c r="M39" s="3"/>
      <c r="N39" s="7">
        <f t="shared" si="15"/>
        <v>-9.6416436462107249E-2</v>
      </c>
      <c r="O39" s="9"/>
      <c r="P39" s="6">
        <v>21652.19</v>
      </c>
      <c r="Q39" s="3"/>
      <c r="R39" s="7">
        <f t="shared" si="16"/>
        <v>9.6842028051604655E-3</v>
      </c>
      <c r="S39" s="3"/>
      <c r="T39" s="6">
        <v>21640.8761614</v>
      </c>
      <c r="U39" s="3"/>
      <c r="V39" s="7">
        <f t="shared" si="17"/>
        <v>4.5354061007544522E-3</v>
      </c>
      <c r="W39" s="3"/>
      <c r="X39" s="6">
        <f t="shared" si="18"/>
        <v>11.313838599999144</v>
      </c>
      <c r="Y39" s="3"/>
      <c r="Z39" s="7">
        <f t="shared" si="19"/>
        <v>5.2279947057685234E-4</v>
      </c>
    </row>
    <row r="40" spans="1:26" s="70" customFormat="1" ht="15" hidden="1" customHeight="1" outlineLevel="2" x14ac:dyDescent="0.3">
      <c r="A40" s="21"/>
      <c r="B40" s="9" t="str">
        <f>CONCATENATE("          ","6116"," - ","EDUCATIONAL BENEFITS")</f>
        <v xml:space="preserve">          6116 - EDUCATIONAL BENEFITS</v>
      </c>
      <c r="C40" s="9"/>
      <c r="D40" s="6"/>
      <c r="E40" s="3"/>
      <c r="F40" s="7">
        <f t="shared" si="12"/>
        <v>0</v>
      </c>
      <c r="G40" s="3"/>
      <c r="H40" s="6">
        <v>0</v>
      </c>
      <c r="I40" s="3"/>
      <c r="J40" s="7">
        <f t="shared" si="13"/>
        <v>0</v>
      </c>
      <c r="K40" s="3"/>
      <c r="L40" s="6">
        <f t="shared" si="14"/>
        <v>0</v>
      </c>
      <c r="M40" s="3"/>
      <c r="N40" s="7">
        <f t="shared" si="15"/>
        <v>0</v>
      </c>
      <c r="O40" s="9"/>
      <c r="P40" s="6"/>
      <c r="Q40" s="3"/>
      <c r="R40" s="7">
        <f t="shared" si="16"/>
        <v>0</v>
      </c>
      <c r="S40" s="3"/>
      <c r="T40" s="6">
        <v>0</v>
      </c>
      <c r="U40" s="3"/>
      <c r="V40" s="7">
        <f t="shared" si="17"/>
        <v>0</v>
      </c>
      <c r="W40" s="3"/>
      <c r="X40" s="6">
        <f t="shared" si="18"/>
        <v>0</v>
      </c>
      <c r="Y40" s="3"/>
      <c r="Z40" s="7">
        <f t="shared" si="19"/>
        <v>0</v>
      </c>
    </row>
    <row r="41" spans="1:26" s="70" customFormat="1" ht="15" hidden="1" customHeight="1" outlineLevel="2" x14ac:dyDescent="0.3">
      <c r="A41" s="21"/>
      <c r="B41" s="9" t="str">
        <f>CONCATENATE("          ","6117"," - ","RETIREMENT STAFF HOURLY")</f>
        <v xml:space="preserve">          6117 - RETIREMENT STAFF HOURLY</v>
      </c>
      <c r="C41" s="9"/>
      <c r="D41" s="6">
        <v>162.22</v>
      </c>
      <c r="E41" s="3"/>
      <c r="F41" s="7">
        <f t="shared" si="12"/>
        <v>0.35112554112554101</v>
      </c>
      <c r="G41" s="3"/>
      <c r="H41" s="6"/>
      <c r="I41" s="3"/>
      <c r="J41" s="7">
        <f t="shared" si="13"/>
        <v>0</v>
      </c>
      <c r="K41" s="3"/>
      <c r="L41" s="6">
        <f t="shared" si="14"/>
        <v>162.22</v>
      </c>
      <c r="M41" s="3"/>
      <c r="N41" s="7">
        <f t="shared" si="15"/>
        <v>0</v>
      </c>
      <c r="O41" s="9"/>
      <c r="P41" s="6">
        <v>3538.66</v>
      </c>
      <c r="Q41" s="3"/>
      <c r="R41" s="7">
        <f t="shared" si="16"/>
        <v>1.5827083125775792E-3</v>
      </c>
      <c r="S41" s="3"/>
      <c r="T41" s="6"/>
      <c r="U41" s="3"/>
      <c r="V41" s="7">
        <f t="shared" si="17"/>
        <v>0</v>
      </c>
      <c r="W41" s="3"/>
      <c r="X41" s="6">
        <f t="shared" si="18"/>
        <v>3538.66</v>
      </c>
      <c r="Y41" s="3"/>
      <c r="Z41" s="7">
        <f t="shared" si="19"/>
        <v>0</v>
      </c>
    </row>
    <row r="42" spans="1:26" s="70" customFormat="1" ht="15" hidden="1" customHeight="1" outlineLevel="2" x14ac:dyDescent="0.3">
      <c r="A42" s="21"/>
      <c r="B42" s="9" t="str">
        <f>CONCATENATE("          ","6118"," - ","VACATION")</f>
        <v xml:space="preserve">          6118 - VACATION</v>
      </c>
      <c r="C42" s="9"/>
      <c r="D42" s="6">
        <v>1393.84</v>
      </c>
      <c r="E42" s="3"/>
      <c r="F42" s="7">
        <f t="shared" si="12"/>
        <v>3.0169696969696957</v>
      </c>
      <c r="G42" s="3"/>
      <c r="H42" s="6">
        <v>1689.1935418999999</v>
      </c>
      <c r="I42" s="3"/>
      <c r="J42" s="7">
        <f t="shared" si="13"/>
        <v>7.6117228816690696E-2</v>
      </c>
      <c r="K42" s="3"/>
      <c r="L42" s="6">
        <f t="shared" si="14"/>
        <v>-295.35354189999998</v>
      </c>
      <c r="M42" s="3"/>
      <c r="N42" s="7">
        <f t="shared" si="15"/>
        <v>-0.1748488462534537</v>
      </c>
      <c r="O42" s="9"/>
      <c r="P42" s="6">
        <v>22008.02</v>
      </c>
      <c r="Q42" s="3"/>
      <c r="R42" s="7">
        <f t="shared" si="16"/>
        <v>9.8433520590770571E-3</v>
      </c>
      <c r="S42" s="3"/>
      <c r="T42" s="6">
        <v>21959.516044700002</v>
      </c>
      <c r="U42" s="3"/>
      <c r="V42" s="7">
        <f t="shared" si="17"/>
        <v>4.6021853411088789E-3</v>
      </c>
      <c r="W42" s="3"/>
      <c r="X42" s="6">
        <f t="shared" si="18"/>
        <v>48.503955299998779</v>
      </c>
      <c r="Y42" s="3"/>
      <c r="Z42" s="7">
        <f t="shared" si="19"/>
        <v>2.2087898112720639E-3</v>
      </c>
    </row>
    <row r="43" spans="1:26" s="70" customFormat="1" ht="15" hidden="1" customHeight="1" outlineLevel="2" x14ac:dyDescent="0.3">
      <c r="A43" s="21"/>
      <c r="B43" s="9" t="str">
        <f>CONCATENATE("          ","6119"," - ","SICK LEAVE")</f>
        <v xml:space="preserve">          6119 - SICK LEAVE</v>
      </c>
      <c r="C43" s="9"/>
      <c r="D43" s="6">
        <v>892.48</v>
      </c>
      <c r="E43" s="3"/>
      <c r="F43" s="7">
        <f t="shared" si="12"/>
        <v>1.9317748917748911</v>
      </c>
      <c r="G43" s="3"/>
      <c r="H43" s="6">
        <v>1314.7460264153799</v>
      </c>
      <c r="I43" s="3"/>
      <c r="J43" s="7">
        <f t="shared" si="13"/>
        <v>5.9244143223476022E-2</v>
      </c>
      <c r="K43" s="3"/>
      <c r="L43" s="6">
        <f t="shared" si="14"/>
        <v>-422.26602641537988</v>
      </c>
      <c r="M43" s="3"/>
      <c r="N43" s="7">
        <f t="shared" si="15"/>
        <v>-0.32117687974055109</v>
      </c>
      <c r="O43" s="9"/>
      <c r="P43" s="6">
        <v>-12117.86</v>
      </c>
      <c r="Q43" s="3"/>
      <c r="R43" s="7">
        <f t="shared" si="16"/>
        <v>-5.4198588597523774E-3</v>
      </c>
      <c r="S43" s="3"/>
      <c r="T43" s="6">
        <v>18383.9079934</v>
      </c>
      <c r="U43" s="3"/>
      <c r="V43" s="7">
        <f t="shared" si="17"/>
        <v>3.8528240653072036E-3</v>
      </c>
      <c r="W43" s="3"/>
      <c r="X43" s="6">
        <f t="shared" si="18"/>
        <v>-30501.767993400001</v>
      </c>
      <c r="Y43" s="3"/>
      <c r="Z43" s="7">
        <f t="shared" si="19"/>
        <v>-1.6591558228180008</v>
      </c>
    </row>
    <row r="44" spans="1:26" s="70" customFormat="1" ht="15" hidden="1" customHeight="1" outlineLevel="2" x14ac:dyDescent="0.3">
      <c r="A44" s="21"/>
      <c r="B44" s="9" t="str">
        <f>CONCATENATE("          ","6156"," - ","EMPLOYEE MEALS")</f>
        <v xml:space="preserve">          6156 - EMPLOYEE MEALS</v>
      </c>
      <c r="C44" s="9"/>
      <c r="D44" s="6">
        <v>1094.72</v>
      </c>
      <c r="E44" s="3"/>
      <c r="F44" s="7">
        <f t="shared" si="12"/>
        <v>2.3695238095238089</v>
      </c>
      <c r="G44" s="3"/>
      <c r="H44" s="6">
        <v>1050</v>
      </c>
      <c r="I44" s="3"/>
      <c r="J44" s="7">
        <f t="shared" si="13"/>
        <v>4.7314347512617157E-2</v>
      </c>
      <c r="K44" s="3"/>
      <c r="L44" s="6">
        <f t="shared" si="14"/>
        <v>44.720000000000027</v>
      </c>
      <c r="M44" s="3"/>
      <c r="N44" s="7">
        <f t="shared" si="15"/>
        <v>4.2590476190476213E-2</v>
      </c>
      <c r="O44" s="9"/>
      <c r="P44" s="6">
        <v>11113.23</v>
      </c>
      <c r="Q44" s="3"/>
      <c r="R44" s="7">
        <f t="shared" si="16"/>
        <v>4.9705259902297853E-3</v>
      </c>
      <c r="S44" s="3"/>
      <c r="T44" s="6">
        <v>12600</v>
      </c>
      <c r="U44" s="3"/>
      <c r="V44" s="7">
        <f t="shared" si="17"/>
        <v>2.640656341420937E-3</v>
      </c>
      <c r="W44" s="3"/>
      <c r="X44" s="6">
        <f t="shared" si="18"/>
        <v>-1486.7700000000004</v>
      </c>
      <c r="Y44" s="3"/>
      <c r="Z44" s="7">
        <f t="shared" si="19"/>
        <v>-0.11799761904761909</v>
      </c>
    </row>
    <row r="45" spans="1:26" s="69" customFormat="1" ht="15" customHeight="1" outlineLevel="1" collapsed="1" x14ac:dyDescent="0.3">
      <c r="A45" s="20"/>
      <c r="B45" s="11" t="str">
        <f>CONCATENATE("     ","*Payroll                                          ")</f>
        <v xml:space="preserve">     *Payroll                                          </v>
      </c>
      <c r="C45" s="11"/>
      <c r="D45" s="2">
        <f>SUM(OSRRefD22_1x_0)</f>
        <v>16568.189999999999</v>
      </c>
      <c r="E45" s="2"/>
      <c r="F45" s="5">
        <f t="shared" si="12"/>
        <v>35.861883116883099</v>
      </c>
      <c r="G45" s="2"/>
      <c r="H45" s="2">
        <f>SUM(OSRRefH22_1x_0)</f>
        <v>27620.378545253803</v>
      </c>
      <c r="I45" s="2"/>
      <c r="J45" s="5">
        <f t="shared" si="13"/>
        <v>1.2446097037334987</v>
      </c>
      <c r="K45" s="2"/>
      <c r="L45" s="2">
        <f t="shared" si="14"/>
        <v>-11052.188545253804</v>
      </c>
      <c r="M45" s="2"/>
      <c r="N45" s="5">
        <f t="shared" si="15"/>
        <v>-0.40014616480167603</v>
      </c>
      <c r="O45" s="11"/>
      <c r="P45" s="2">
        <f>SUM(OSRRefP22_1x_0)</f>
        <v>330338.53999999992</v>
      </c>
      <c r="Q45" s="2"/>
      <c r="R45" s="5">
        <f t="shared" si="16"/>
        <v>0.14774789135512909</v>
      </c>
      <c r="S45" s="2"/>
      <c r="T45" s="2">
        <f>SUM(OSRRefT22_1x_0)</f>
        <v>402138.57608829997</v>
      </c>
      <c r="U45" s="2"/>
      <c r="V45" s="5">
        <f t="shared" si="17"/>
        <v>8.4278554053774241E-2</v>
      </c>
      <c r="W45" s="2"/>
      <c r="X45" s="2">
        <f t="shared" si="18"/>
        <v>-71800.036088300054</v>
      </c>
      <c r="Y45" s="2"/>
      <c r="Z45" s="5">
        <f t="shared" si="19"/>
        <v>-0.17854550733907829</v>
      </c>
    </row>
    <row r="46" spans="1:26" s="70" customFormat="1" ht="15" hidden="1" customHeight="1" outlineLevel="2" x14ac:dyDescent="0.3">
      <c r="A46" s="21"/>
      <c r="B46" s="9" t="str">
        <f>CONCATENATE("          ","6001"," - ","ADMINISTRATIVE SALARIES")</f>
        <v xml:space="preserve">          6001 - ADMINISTRATIVE SALARIES</v>
      </c>
      <c r="C46" s="9"/>
      <c r="D46" s="6"/>
      <c r="E46" s="3"/>
      <c r="F46" s="7">
        <f t="shared" si="12"/>
        <v>0</v>
      </c>
      <c r="G46" s="3"/>
      <c r="H46" s="6">
        <v>0</v>
      </c>
      <c r="I46" s="3"/>
      <c r="J46" s="7">
        <f t="shared" si="13"/>
        <v>0</v>
      </c>
      <c r="K46" s="3"/>
      <c r="L46" s="6">
        <f t="shared" si="14"/>
        <v>0</v>
      </c>
      <c r="M46" s="3"/>
      <c r="N46" s="7">
        <f t="shared" si="15"/>
        <v>0</v>
      </c>
      <c r="O46" s="9"/>
      <c r="P46" s="6"/>
      <c r="Q46" s="3"/>
      <c r="R46" s="7">
        <f t="shared" si="16"/>
        <v>0</v>
      </c>
      <c r="S46" s="3"/>
      <c r="T46" s="6">
        <v>0</v>
      </c>
      <c r="U46" s="3"/>
      <c r="V46" s="7">
        <f t="shared" si="17"/>
        <v>0</v>
      </c>
      <c r="W46" s="3"/>
      <c r="X46" s="6">
        <f t="shared" si="18"/>
        <v>0</v>
      </c>
      <c r="Y46" s="3"/>
      <c r="Z46" s="7">
        <f t="shared" si="19"/>
        <v>0</v>
      </c>
    </row>
    <row r="47" spans="1:26" s="70" customFormat="1" ht="15" hidden="1" customHeight="1" outlineLevel="2" x14ac:dyDescent="0.3">
      <c r="A47" s="21"/>
      <c r="B47" s="9" t="str">
        <f>CONCATENATE("          ","6002"," - ","STAFF SALARIES")</f>
        <v xml:space="preserve">          6002 - STAFF SALARIES</v>
      </c>
      <c r="C47" s="9"/>
      <c r="D47" s="6">
        <v>12053.48</v>
      </c>
      <c r="E47" s="3"/>
      <c r="F47" s="7">
        <f t="shared" si="12"/>
        <v>26.08978354978354</v>
      </c>
      <c r="G47" s="3"/>
      <c r="H47" s="6">
        <v>17293.700777253802</v>
      </c>
      <c r="I47" s="3"/>
      <c r="J47" s="7">
        <f t="shared" si="13"/>
        <v>0.77927635081352753</v>
      </c>
      <c r="K47" s="3"/>
      <c r="L47" s="6">
        <f t="shared" si="14"/>
        <v>-5240.2207772538022</v>
      </c>
      <c r="M47" s="3"/>
      <c r="N47" s="7">
        <f t="shared" si="15"/>
        <v>-0.30301326735953488</v>
      </c>
      <c r="O47" s="9"/>
      <c r="P47" s="6">
        <v>215099.65</v>
      </c>
      <c r="Q47" s="3"/>
      <c r="R47" s="7">
        <f t="shared" si="16"/>
        <v>9.6205909606327786E-2</v>
      </c>
      <c r="S47" s="3"/>
      <c r="T47" s="6">
        <v>224818.11010429999</v>
      </c>
      <c r="U47" s="3"/>
      <c r="V47" s="7">
        <f t="shared" si="17"/>
        <v>4.7116457786761129E-2</v>
      </c>
      <c r="W47" s="3"/>
      <c r="X47" s="6">
        <f t="shared" si="18"/>
        <v>-9718.4601043000002</v>
      </c>
      <c r="Y47" s="3"/>
      <c r="Z47" s="7">
        <f t="shared" si="19"/>
        <v>-4.3228101596403022E-2</v>
      </c>
    </row>
    <row r="48" spans="1:26" s="70" customFormat="1" ht="15" hidden="1" customHeight="1" outlineLevel="2" x14ac:dyDescent="0.3">
      <c r="A48" s="21"/>
      <c r="B48" s="9" t="str">
        <f>CONCATENATE("          ","6003"," - ","STAFF HOURLY-9 MONTH")</f>
        <v xml:space="preserve">          6003 - STAFF HOURLY-9 MONTH</v>
      </c>
      <c r="C48" s="9"/>
      <c r="D48" s="6"/>
      <c r="E48" s="3"/>
      <c r="F48" s="7">
        <f t="shared" si="12"/>
        <v>0</v>
      </c>
      <c r="G48" s="3"/>
      <c r="H48" s="6">
        <v>0</v>
      </c>
      <c r="I48" s="3"/>
      <c r="J48" s="7">
        <f t="shared" si="13"/>
        <v>0</v>
      </c>
      <c r="K48" s="3"/>
      <c r="L48" s="6">
        <f t="shared" si="14"/>
        <v>0</v>
      </c>
      <c r="M48" s="3"/>
      <c r="N48" s="7">
        <f t="shared" si="15"/>
        <v>0</v>
      </c>
      <c r="O48" s="9"/>
      <c r="P48" s="6"/>
      <c r="Q48" s="3"/>
      <c r="R48" s="7">
        <f t="shared" si="16"/>
        <v>0</v>
      </c>
      <c r="S48" s="3"/>
      <c r="T48" s="6">
        <v>0</v>
      </c>
      <c r="U48" s="3"/>
      <c r="V48" s="7">
        <f t="shared" si="17"/>
        <v>0</v>
      </c>
      <c r="W48" s="3"/>
      <c r="X48" s="6">
        <f t="shared" si="18"/>
        <v>0</v>
      </c>
      <c r="Y48" s="3"/>
      <c r="Z48" s="7">
        <f t="shared" si="19"/>
        <v>0</v>
      </c>
    </row>
    <row r="49" spans="1:26" s="70" customFormat="1" ht="15" hidden="1" customHeight="1" outlineLevel="2" x14ac:dyDescent="0.3">
      <c r="A49" s="21"/>
      <c r="B49" s="9" t="str">
        <f>CONCATENATE("          ","6004"," - ","STAFF HOURLY")</f>
        <v xml:space="preserve">          6004 - STAFF HOURLY</v>
      </c>
      <c r="C49" s="9"/>
      <c r="D49" s="6">
        <v>2910.87</v>
      </c>
      <c r="E49" s="3"/>
      <c r="F49" s="7">
        <f t="shared" si="12"/>
        <v>6.3005844155844128</v>
      </c>
      <c r="G49" s="3"/>
      <c r="H49" s="6">
        <v>5928.5827680000002</v>
      </c>
      <c r="I49" s="3"/>
      <c r="J49" s="7">
        <f t="shared" si="13"/>
        <v>0.26714954794520551</v>
      </c>
      <c r="K49" s="3"/>
      <c r="L49" s="6">
        <f t="shared" si="14"/>
        <v>-3017.7127680000003</v>
      </c>
      <c r="M49" s="3"/>
      <c r="N49" s="7">
        <f t="shared" si="15"/>
        <v>-0.50901081862065689</v>
      </c>
      <c r="O49" s="9"/>
      <c r="P49" s="6">
        <v>68101.929999999993</v>
      </c>
      <c r="Q49" s="3"/>
      <c r="R49" s="7">
        <f t="shared" si="16"/>
        <v>3.0459408565269457E-2</v>
      </c>
      <c r="S49" s="3"/>
      <c r="T49" s="6">
        <v>77071.575983999996</v>
      </c>
      <c r="U49" s="3"/>
      <c r="V49" s="7">
        <f t="shared" si="17"/>
        <v>1.6152344909956762E-2</v>
      </c>
      <c r="W49" s="3"/>
      <c r="X49" s="6">
        <f t="shared" si="18"/>
        <v>-8969.6459840000025</v>
      </c>
      <c r="Y49" s="3"/>
      <c r="Z49" s="7">
        <f t="shared" si="19"/>
        <v>-0.11638072622080668</v>
      </c>
    </row>
    <row r="50" spans="1:26" s="70" customFormat="1" ht="15" hidden="1" customHeight="1" outlineLevel="2" x14ac:dyDescent="0.3">
      <c r="A50" s="21"/>
      <c r="B50" s="9" t="str">
        <f>CONCATENATE("          ","6005"," - ","TEMPORARY WAGES-HOURLY")</f>
        <v xml:space="preserve">          6005 - TEMPORARY WAGES-HOURLY</v>
      </c>
      <c r="C50" s="9"/>
      <c r="D50" s="6"/>
      <c r="E50" s="3"/>
      <c r="F50" s="7">
        <f t="shared" si="12"/>
        <v>0</v>
      </c>
      <c r="G50" s="3"/>
      <c r="H50" s="6">
        <v>2396.66</v>
      </c>
      <c r="I50" s="3"/>
      <c r="J50" s="7">
        <f t="shared" si="13"/>
        <v>0.10799657534246575</v>
      </c>
      <c r="K50" s="3"/>
      <c r="L50" s="6">
        <f t="shared" si="14"/>
        <v>-2396.66</v>
      </c>
      <c r="M50" s="3"/>
      <c r="N50" s="7">
        <f t="shared" si="15"/>
        <v>-1</v>
      </c>
      <c r="O50" s="9"/>
      <c r="P50" s="6">
        <v>14698.31</v>
      </c>
      <c r="Q50" s="3"/>
      <c r="R50" s="7">
        <f t="shared" si="16"/>
        <v>6.5739962069942181E-3</v>
      </c>
      <c r="S50" s="3"/>
      <c r="T50" s="6">
        <v>36028.160000000003</v>
      </c>
      <c r="U50" s="3"/>
      <c r="V50" s="7">
        <f t="shared" si="17"/>
        <v>7.5506340614069972E-3</v>
      </c>
      <c r="W50" s="3"/>
      <c r="X50" s="6">
        <f t="shared" si="18"/>
        <v>-21329.850000000006</v>
      </c>
      <c r="Y50" s="3"/>
      <c r="Z50" s="7">
        <f t="shared" si="19"/>
        <v>-0.59203273217394403</v>
      </c>
    </row>
    <row r="51" spans="1:26" s="70" customFormat="1" ht="15" hidden="1" customHeight="1" outlineLevel="2" x14ac:dyDescent="0.3">
      <c r="A51" s="21"/>
      <c r="B51" s="9" t="str">
        <f>CONCATENATE("          ","6006"," - ","TEMPORARY PART TIME")</f>
        <v xml:space="preserve">          6006 - TEMPORARY PART TIME</v>
      </c>
      <c r="C51" s="9"/>
      <c r="D51" s="6"/>
      <c r="E51" s="3"/>
      <c r="F51" s="7">
        <f t="shared" si="12"/>
        <v>0</v>
      </c>
      <c r="G51" s="3"/>
      <c r="H51" s="6">
        <v>0</v>
      </c>
      <c r="I51" s="3"/>
      <c r="J51" s="7">
        <f t="shared" si="13"/>
        <v>0</v>
      </c>
      <c r="K51" s="3"/>
      <c r="L51" s="6">
        <f t="shared" si="14"/>
        <v>0</v>
      </c>
      <c r="M51" s="3"/>
      <c r="N51" s="7">
        <f t="shared" si="15"/>
        <v>0</v>
      </c>
      <c r="O51" s="9"/>
      <c r="P51" s="6"/>
      <c r="Q51" s="3"/>
      <c r="R51" s="7">
        <f t="shared" si="16"/>
        <v>0</v>
      </c>
      <c r="S51" s="3"/>
      <c r="T51" s="6">
        <v>0</v>
      </c>
      <c r="U51" s="3"/>
      <c r="V51" s="7">
        <f t="shared" si="17"/>
        <v>0</v>
      </c>
      <c r="W51" s="3"/>
      <c r="X51" s="6">
        <f t="shared" si="18"/>
        <v>0</v>
      </c>
      <c r="Y51" s="3"/>
      <c r="Z51" s="7">
        <f t="shared" si="19"/>
        <v>0</v>
      </c>
    </row>
    <row r="52" spans="1:26" s="70" customFormat="1" ht="15" hidden="1" customHeight="1" outlineLevel="2" x14ac:dyDescent="0.3">
      <c r="A52" s="21"/>
      <c r="B52" s="9" t="str">
        <f>CONCATENATE("          ","6007"," - ","STUDENT HOURLY")</f>
        <v xml:space="preserve">          6007 - STUDENT HOURLY</v>
      </c>
      <c r="C52" s="9"/>
      <c r="D52" s="6">
        <v>1603.84</v>
      </c>
      <c r="E52" s="3"/>
      <c r="F52" s="7">
        <f t="shared" si="12"/>
        <v>3.4715151515151499</v>
      </c>
      <c r="G52" s="3"/>
      <c r="H52" s="6">
        <v>2001.4349999999999</v>
      </c>
      <c r="I52" s="3"/>
      <c r="J52" s="7">
        <f t="shared" si="13"/>
        <v>9.0187229632299928E-2</v>
      </c>
      <c r="K52" s="3"/>
      <c r="L52" s="6">
        <f t="shared" si="14"/>
        <v>-397.59500000000003</v>
      </c>
      <c r="M52" s="3"/>
      <c r="N52" s="7">
        <f t="shared" si="15"/>
        <v>-0.19865496506256763</v>
      </c>
      <c r="O52" s="9"/>
      <c r="P52" s="6">
        <v>28472.17</v>
      </c>
      <c r="Q52" s="3"/>
      <c r="R52" s="7">
        <f t="shared" si="16"/>
        <v>1.2734521015334045E-2</v>
      </c>
      <c r="S52" s="3"/>
      <c r="T52" s="6">
        <v>28247.685000000001</v>
      </c>
      <c r="U52" s="3"/>
      <c r="V52" s="7">
        <f t="shared" si="17"/>
        <v>5.9200340099770706E-3</v>
      </c>
      <c r="W52" s="3"/>
      <c r="X52" s="6">
        <f t="shared" si="18"/>
        <v>224.48499999999694</v>
      </c>
      <c r="Y52" s="3"/>
      <c r="Z52" s="7">
        <f t="shared" si="19"/>
        <v>7.9470229153290588E-3</v>
      </c>
    </row>
    <row r="53" spans="1:26" s="70" customFormat="1" ht="15" hidden="1" customHeight="1" outlineLevel="2" x14ac:dyDescent="0.3">
      <c r="A53" s="21"/>
      <c r="B53" s="9" t="str">
        <f>CONCATENATE("          ","6008"," - ","STUDENT HOURLY-FICA EXEMPT")</f>
        <v xml:space="preserve">          6008 - STUDENT HOURLY-FICA EXEMPT</v>
      </c>
      <c r="C53" s="9"/>
      <c r="D53" s="6"/>
      <c r="E53" s="3"/>
      <c r="F53" s="7">
        <f t="shared" si="12"/>
        <v>0</v>
      </c>
      <c r="G53" s="3"/>
      <c r="H53" s="6">
        <v>0</v>
      </c>
      <c r="I53" s="3"/>
      <c r="J53" s="7">
        <f t="shared" si="13"/>
        <v>0</v>
      </c>
      <c r="K53" s="3"/>
      <c r="L53" s="6">
        <f t="shared" si="14"/>
        <v>0</v>
      </c>
      <c r="M53" s="3"/>
      <c r="N53" s="7">
        <f t="shared" si="15"/>
        <v>0</v>
      </c>
      <c r="O53" s="9"/>
      <c r="P53" s="6">
        <v>3966.48</v>
      </c>
      <c r="Q53" s="3"/>
      <c r="R53" s="7">
        <f t="shared" si="16"/>
        <v>1.774055961203596E-3</v>
      </c>
      <c r="S53" s="3"/>
      <c r="T53" s="6">
        <v>35973.044999999998</v>
      </c>
      <c r="U53" s="3"/>
      <c r="V53" s="7">
        <f t="shared" si="17"/>
        <v>7.5390832856722803E-3</v>
      </c>
      <c r="W53" s="3"/>
      <c r="X53" s="6">
        <f t="shared" si="18"/>
        <v>-32006.564999999999</v>
      </c>
      <c r="Y53" s="3"/>
      <c r="Z53" s="7">
        <f t="shared" si="19"/>
        <v>-0.88973744090888052</v>
      </c>
    </row>
    <row r="54" spans="1:26" s="70" customFormat="1" ht="15" hidden="1" customHeight="1" outlineLevel="2" x14ac:dyDescent="0.3">
      <c r="A54" s="21"/>
      <c r="B54" s="9" t="str">
        <f>CONCATENATE("          ","6009"," - ","TEMPORARY-SEASONAL")</f>
        <v xml:space="preserve">          6009 - TEMPORARY-SEASONAL</v>
      </c>
      <c r="C54" s="9"/>
      <c r="D54" s="6"/>
      <c r="E54" s="3"/>
      <c r="F54" s="7">
        <f t="shared" si="12"/>
        <v>0</v>
      </c>
      <c r="G54" s="3"/>
      <c r="H54" s="6">
        <v>0</v>
      </c>
      <c r="I54" s="3"/>
      <c r="J54" s="7">
        <f t="shared" si="13"/>
        <v>0</v>
      </c>
      <c r="K54" s="3"/>
      <c r="L54" s="6">
        <f t="shared" si="14"/>
        <v>0</v>
      </c>
      <c r="M54" s="3"/>
      <c r="N54" s="7">
        <f t="shared" si="15"/>
        <v>0</v>
      </c>
      <c r="O54" s="9"/>
      <c r="P54" s="6"/>
      <c r="Q54" s="3"/>
      <c r="R54" s="7">
        <f t="shared" si="16"/>
        <v>0</v>
      </c>
      <c r="S54" s="3"/>
      <c r="T54" s="6">
        <v>0</v>
      </c>
      <c r="U54" s="3"/>
      <c r="V54" s="7">
        <f t="shared" si="17"/>
        <v>0</v>
      </c>
      <c r="W54" s="3"/>
      <c r="X54" s="6">
        <f t="shared" si="18"/>
        <v>0</v>
      </c>
      <c r="Y54" s="3"/>
      <c r="Z54" s="7">
        <f t="shared" si="19"/>
        <v>0</v>
      </c>
    </row>
    <row r="55" spans="1:26" s="70" customFormat="1" ht="15" hidden="1" customHeight="1" outlineLevel="2" x14ac:dyDescent="0.3">
      <c r="A55" s="21"/>
      <c r="B55" s="9" t="str">
        <f>CONCATENATE("          ","6010"," - ","GRATUITY")</f>
        <v xml:space="preserve">          6010 - GRATUITY</v>
      </c>
      <c r="C55" s="9"/>
      <c r="D55" s="6"/>
      <c r="E55" s="3"/>
      <c r="F55" s="7">
        <f t="shared" si="12"/>
        <v>0</v>
      </c>
      <c r="G55" s="3"/>
      <c r="H55" s="6">
        <v>0</v>
      </c>
      <c r="I55" s="3"/>
      <c r="J55" s="7">
        <f t="shared" si="13"/>
        <v>0</v>
      </c>
      <c r="K55" s="3"/>
      <c r="L55" s="6">
        <f t="shared" si="14"/>
        <v>0</v>
      </c>
      <c r="M55" s="3"/>
      <c r="N55" s="7">
        <f t="shared" si="15"/>
        <v>0</v>
      </c>
      <c r="O55" s="9"/>
      <c r="P55" s="6"/>
      <c r="Q55" s="3"/>
      <c r="R55" s="7">
        <f t="shared" si="16"/>
        <v>0</v>
      </c>
      <c r="S55" s="3"/>
      <c r="T55" s="6">
        <v>0</v>
      </c>
      <c r="U55" s="3"/>
      <c r="V55" s="7">
        <f t="shared" si="17"/>
        <v>0</v>
      </c>
      <c r="W55" s="3"/>
      <c r="X55" s="6">
        <f t="shared" si="18"/>
        <v>0</v>
      </c>
      <c r="Y55" s="3"/>
      <c r="Z55" s="7">
        <f t="shared" si="19"/>
        <v>0</v>
      </c>
    </row>
    <row r="56" spans="1:26" s="69" customFormat="1" ht="15" customHeight="1" outlineLevel="1" collapsed="1" x14ac:dyDescent="0.3">
      <c r="A56" s="20"/>
      <c r="B56" s="11" t="str">
        <f>CONCATENATE("     ","Advertising/Promo                                 ")</f>
        <v xml:space="preserve">     Advertising/Promo                                 </v>
      </c>
      <c r="C56" s="11"/>
      <c r="D56" s="2">
        <f>SUM(OSRRefD22_2x_0)</f>
        <v>82.68</v>
      </c>
      <c r="E56" s="2"/>
      <c r="F56" s="5">
        <f t="shared" si="12"/>
        <v>0.1789610389610389</v>
      </c>
      <c r="G56" s="2"/>
      <c r="H56" s="2">
        <f>SUM(OSRRefH22_2x_0)</f>
        <v>100</v>
      </c>
      <c r="I56" s="2"/>
      <c r="J56" s="5">
        <f t="shared" si="13"/>
        <v>4.5061283345349673E-3</v>
      </c>
      <c r="K56" s="2"/>
      <c r="L56" s="2">
        <f t="shared" si="14"/>
        <v>-17.319999999999993</v>
      </c>
      <c r="M56" s="2"/>
      <c r="N56" s="5">
        <f t="shared" si="15"/>
        <v>-0.17319999999999994</v>
      </c>
      <c r="O56" s="11"/>
      <c r="P56" s="2">
        <f>SUM(OSRRefP22_2x_0)</f>
        <v>1047.68</v>
      </c>
      <c r="Q56" s="2"/>
      <c r="R56" s="5">
        <f t="shared" si="16"/>
        <v>4.6858750061358777E-4</v>
      </c>
      <c r="S56" s="2"/>
      <c r="T56" s="2">
        <f>SUM(OSRRefT22_2x_0)</f>
        <v>3300</v>
      </c>
      <c r="U56" s="2"/>
      <c r="V56" s="5">
        <f t="shared" si="17"/>
        <v>6.916004703721502E-4</v>
      </c>
      <c r="W56" s="2"/>
      <c r="X56" s="2">
        <f t="shared" si="18"/>
        <v>-2252.3199999999997</v>
      </c>
      <c r="Y56" s="2"/>
      <c r="Z56" s="5">
        <f t="shared" si="19"/>
        <v>-0.68252121212121208</v>
      </c>
    </row>
    <row r="57" spans="1:26" s="70" customFormat="1" ht="15" hidden="1" customHeight="1" outlineLevel="2" x14ac:dyDescent="0.3">
      <c r="A57" s="21"/>
      <c r="B57" s="9" t="str">
        <f>CONCATENATE("          ","6362"," - ","ADVERTISING EXPENSE")</f>
        <v xml:space="preserve">          6362 - ADVERTISING EXPENSE</v>
      </c>
      <c r="C57" s="9"/>
      <c r="D57" s="6">
        <v>82.68</v>
      </c>
      <c r="E57" s="3"/>
      <c r="F57" s="7">
        <f t="shared" si="12"/>
        <v>0.1789610389610389</v>
      </c>
      <c r="G57" s="3"/>
      <c r="H57" s="6">
        <v>100</v>
      </c>
      <c r="I57" s="3"/>
      <c r="J57" s="7">
        <f t="shared" si="13"/>
        <v>4.5061283345349673E-3</v>
      </c>
      <c r="K57" s="3"/>
      <c r="L57" s="6">
        <f t="shared" si="14"/>
        <v>-17.319999999999993</v>
      </c>
      <c r="M57" s="3"/>
      <c r="N57" s="7">
        <f t="shared" si="15"/>
        <v>-0.17319999999999994</v>
      </c>
      <c r="O57" s="9"/>
      <c r="P57" s="6">
        <v>1047.68</v>
      </c>
      <c r="Q57" s="3"/>
      <c r="R57" s="7">
        <f t="shared" si="16"/>
        <v>4.6858750061358777E-4</v>
      </c>
      <c r="S57" s="3"/>
      <c r="T57" s="6">
        <v>3300</v>
      </c>
      <c r="U57" s="3"/>
      <c r="V57" s="7">
        <f t="shared" si="17"/>
        <v>6.916004703721502E-4</v>
      </c>
      <c r="W57" s="3"/>
      <c r="X57" s="6">
        <f t="shared" si="18"/>
        <v>-2252.3199999999997</v>
      </c>
      <c r="Y57" s="3"/>
      <c r="Z57" s="7">
        <f t="shared" si="19"/>
        <v>-0.68252121212121208</v>
      </c>
    </row>
    <row r="58" spans="1:26" s="69" customFormat="1" ht="15" customHeight="1" outlineLevel="1" collapsed="1" x14ac:dyDescent="0.3">
      <c r="A58" s="20"/>
      <c r="B58" s="11" t="str">
        <f>CONCATENATE("     ","Discounts and Markdowns                           ")</f>
        <v xml:space="preserve">     Discounts and Markdowns                           </v>
      </c>
      <c r="C58" s="11"/>
      <c r="D58" s="2">
        <f>SUM(OSRRefD22_3x_0)</f>
        <v>0</v>
      </c>
      <c r="E58" s="2"/>
      <c r="F58" s="5">
        <f t="shared" si="12"/>
        <v>0</v>
      </c>
      <c r="G58" s="2"/>
      <c r="H58" s="2">
        <f>SUM(OSRRefH22_3x_0)</f>
        <v>0</v>
      </c>
      <c r="I58" s="2"/>
      <c r="J58" s="5">
        <f t="shared" si="13"/>
        <v>0</v>
      </c>
      <c r="K58" s="2"/>
      <c r="L58" s="2">
        <f t="shared" si="14"/>
        <v>0</v>
      </c>
      <c r="M58" s="2"/>
      <c r="N58" s="5">
        <f t="shared" si="15"/>
        <v>0</v>
      </c>
      <c r="O58" s="11"/>
      <c r="P58" s="2">
        <f>SUM(OSRRefP22_3x_0)</f>
        <v>1.35</v>
      </c>
      <c r="Q58" s="2"/>
      <c r="R58" s="5">
        <f t="shared" si="16"/>
        <v>6.0380376243542251E-7</v>
      </c>
      <c r="S58" s="2"/>
      <c r="T58" s="2">
        <f>SUM(OSRRefT22_3x_0)</f>
        <v>0</v>
      </c>
      <c r="U58" s="2"/>
      <c r="V58" s="5">
        <f t="shared" si="17"/>
        <v>0</v>
      </c>
      <c r="W58" s="2"/>
      <c r="X58" s="2">
        <f t="shared" si="18"/>
        <v>1.35</v>
      </c>
      <c r="Y58" s="2"/>
      <c r="Z58" s="5">
        <f t="shared" si="19"/>
        <v>0</v>
      </c>
    </row>
    <row r="59" spans="1:26" s="70" customFormat="1" ht="15" hidden="1" customHeight="1" outlineLevel="2" x14ac:dyDescent="0.3">
      <c r="A59" s="21"/>
      <c r="B59" s="9" t="str">
        <f>CONCATENATE("          ","6382"," - ","DISCOUNTS/MARK DOWNS")</f>
        <v xml:space="preserve">          6382 - DISCOUNTS/MARK DOWNS</v>
      </c>
      <c r="C59" s="9"/>
      <c r="D59" s="6"/>
      <c r="E59" s="3"/>
      <c r="F59" s="7">
        <f t="shared" si="12"/>
        <v>0</v>
      </c>
      <c r="G59" s="3"/>
      <c r="H59" s="6"/>
      <c r="I59" s="3"/>
      <c r="J59" s="7">
        <f t="shared" si="13"/>
        <v>0</v>
      </c>
      <c r="K59" s="3"/>
      <c r="L59" s="6">
        <f t="shared" si="14"/>
        <v>0</v>
      </c>
      <c r="M59" s="3"/>
      <c r="N59" s="7">
        <f t="shared" si="15"/>
        <v>0</v>
      </c>
      <c r="O59" s="9"/>
      <c r="P59" s="6">
        <v>1.35</v>
      </c>
      <c r="Q59" s="3"/>
      <c r="R59" s="7">
        <f t="shared" si="16"/>
        <v>6.0380376243542251E-7</v>
      </c>
      <c r="S59" s="3"/>
      <c r="T59" s="6"/>
      <c r="U59" s="3"/>
      <c r="V59" s="7">
        <f t="shared" si="17"/>
        <v>0</v>
      </c>
      <c r="W59" s="3"/>
      <c r="X59" s="6">
        <f t="shared" si="18"/>
        <v>1.35</v>
      </c>
      <c r="Y59" s="3"/>
      <c r="Z59" s="7">
        <f t="shared" si="19"/>
        <v>0</v>
      </c>
    </row>
    <row r="60" spans="1:26" s="69" customFormat="1" ht="15" customHeight="1" outlineLevel="1" collapsed="1" x14ac:dyDescent="0.3">
      <c r="A60" s="20"/>
      <c r="B60" s="11" t="str">
        <f>CONCATENATE("     ","Employees' Appreciation                           ")</f>
        <v xml:space="preserve">     Employees' Appreciation                           </v>
      </c>
      <c r="C60" s="11"/>
      <c r="D60" s="2">
        <f>SUM(OSRRefD22_4x_0)</f>
        <v>0</v>
      </c>
      <c r="E60" s="2"/>
      <c r="F60" s="5">
        <f t="shared" si="12"/>
        <v>0</v>
      </c>
      <c r="G60" s="2"/>
      <c r="H60" s="2">
        <f>SUM(OSRRefH22_4x_0)</f>
        <v>50</v>
      </c>
      <c r="I60" s="2"/>
      <c r="J60" s="5">
        <f t="shared" si="13"/>
        <v>2.2530641672674837E-3</v>
      </c>
      <c r="K60" s="2"/>
      <c r="L60" s="2">
        <f t="shared" si="14"/>
        <v>-50</v>
      </c>
      <c r="M60" s="2"/>
      <c r="N60" s="5">
        <f t="shared" si="15"/>
        <v>-1</v>
      </c>
      <c r="O60" s="11"/>
      <c r="P60" s="2">
        <f>SUM(OSRRefP22_4x_0)</f>
        <v>0</v>
      </c>
      <c r="Q60" s="2"/>
      <c r="R60" s="5">
        <f t="shared" si="16"/>
        <v>0</v>
      </c>
      <c r="S60" s="2"/>
      <c r="T60" s="2">
        <f>SUM(OSRRefT22_4x_0)</f>
        <v>600</v>
      </c>
      <c r="U60" s="2"/>
      <c r="V60" s="5">
        <f t="shared" si="17"/>
        <v>1.2574554006766368E-4</v>
      </c>
      <c r="W60" s="2"/>
      <c r="X60" s="2">
        <f t="shared" si="18"/>
        <v>-600</v>
      </c>
      <c r="Y60" s="2"/>
      <c r="Z60" s="5">
        <f t="shared" si="19"/>
        <v>-1</v>
      </c>
    </row>
    <row r="61" spans="1:26" s="70" customFormat="1" ht="15" hidden="1" customHeight="1" outlineLevel="2" x14ac:dyDescent="0.3">
      <c r="A61" s="21"/>
      <c r="B61" s="9" t="str">
        <f>CONCATENATE("          ","6277"," - ","EMPLOYEE APPRECIATION")</f>
        <v xml:space="preserve">          6277 - EMPLOYEE APPRECIATION</v>
      </c>
      <c r="C61" s="9"/>
      <c r="D61" s="6"/>
      <c r="E61" s="3"/>
      <c r="F61" s="7">
        <f t="shared" si="12"/>
        <v>0</v>
      </c>
      <c r="G61" s="3"/>
      <c r="H61" s="6">
        <v>50</v>
      </c>
      <c r="I61" s="3"/>
      <c r="J61" s="7">
        <f t="shared" si="13"/>
        <v>2.2530641672674837E-3</v>
      </c>
      <c r="K61" s="3"/>
      <c r="L61" s="6">
        <f t="shared" si="14"/>
        <v>-50</v>
      </c>
      <c r="M61" s="3"/>
      <c r="N61" s="7">
        <f t="shared" si="15"/>
        <v>-1</v>
      </c>
      <c r="O61" s="9"/>
      <c r="P61" s="6"/>
      <c r="Q61" s="3"/>
      <c r="R61" s="7">
        <f t="shared" si="16"/>
        <v>0</v>
      </c>
      <c r="S61" s="3"/>
      <c r="T61" s="6">
        <v>600</v>
      </c>
      <c r="U61" s="3"/>
      <c r="V61" s="7">
        <f t="shared" si="17"/>
        <v>1.2574554006766368E-4</v>
      </c>
      <c r="W61" s="3"/>
      <c r="X61" s="6">
        <f t="shared" si="18"/>
        <v>-600</v>
      </c>
      <c r="Y61" s="3"/>
      <c r="Z61" s="7">
        <f t="shared" si="19"/>
        <v>-1</v>
      </c>
    </row>
    <row r="62" spans="1:26" s="69" customFormat="1" ht="15" customHeight="1" outlineLevel="1" collapsed="1" x14ac:dyDescent="0.3">
      <c r="A62" s="20"/>
      <c r="B62" s="11" t="str">
        <f>CONCATENATE("     ","Equipment Rental                                  ")</f>
        <v xml:space="preserve">     Equipment Rental                                  </v>
      </c>
      <c r="C62" s="11"/>
      <c r="D62" s="2">
        <f>SUM(OSRRefD22_5x_0)</f>
        <v>-11.92</v>
      </c>
      <c r="E62" s="2"/>
      <c r="F62" s="5">
        <f t="shared" si="12"/>
        <v>-2.580086580086579E-2</v>
      </c>
      <c r="G62" s="2"/>
      <c r="H62" s="2">
        <f>SUM(OSRRefH22_5x_0)</f>
        <v>100</v>
      </c>
      <c r="I62" s="2"/>
      <c r="J62" s="5">
        <f t="shared" si="13"/>
        <v>4.5061283345349673E-3</v>
      </c>
      <c r="K62" s="2"/>
      <c r="L62" s="2">
        <f t="shared" si="14"/>
        <v>-111.92</v>
      </c>
      <c r="M62" s="2"/>
      <c r="N62" s="5">
        <f t="shared" si="15"/>
        <v>-1.1192</v>
      </c>
      <c r="O62" s="11"/>
      <c r="P62" s="2">
        <f>SUM(OSRRefP22_5x_0)</f>
        <v>991.94</v>
      </c>
      <c r="Q62" s="2"/>
      <c r="R62" s="5">
        <f t="shared" si="16"/>
        <v>4.4365711415569854E-4</v>
      </c>
      <c r="S62" s="2"/>
      <c r="T62" s="2">
        <f>SUM(OSRRefT22_5x_0)</f>
        <v>1200</v>
      </c>
      <c r="U62" s="2"/>
      <c r="V62" s="5">
        <f t="shared" si="17"/>
        <v>2.5149108013532736E-4</v>
      </c>
      <c r="W62" s="2"/>
      <c r="X62" s="2">
        <f t="shared" si="18"/>
        <v>-208.05999999999995</v>
      </c>
      <c r="Y62" s="2"/>
      <c r="Z62" s="5">
        <f t="shared" si="19"/>
        <v>-0.17338333333333328</v>
      </c>
    </row>
    <row r="63" spans="1:26" s="70" customFormat="1" ht="15" hidden="1" customHeight="1" outlineLevel="2" x14ac:dyDescent="0.3">
      <c r="A63" s="21"/>
      <c r="B63" s="9" t="str">
        <f>CONCATENATE("          ","6351"," - ","EQUIPMENT RENTAL")</f>
        <v xml:space="preserve">          6351 - EQUIPMENT RENTAL</v>
      </c>
      <c r="C63" s="9"/>
      <c r="D63" s="6">
        <v>-11.92</v>
      </c>
      <c r="E63" s="3"/>
      <c r="F63" s="7">
        <f t="shared" si="12"/>
        <v>-2.580086580086579E-2</v>
      </c>
      <c r="G63" s="3"/>
      <c r="H63" s="6">
        <v>100</v>
      </c>
      <c r="I63" s="3"/>
      <c r="J63" s="7">
        <f t="shared" si="13"/>
        <v>4.5061283345349673E-3</v>
      </c>
      <c r="K63" s="3"/>
      <c r="L63" s="6">
        <f t="shared" si="14"/>
        <v>-111.92</v>
      </c>
      <c r="M63" s="3"/>
      <c r="N63" s="7">
        <f t="shared" si="15"/>
        <v>-1.1192</v>
      </c>
      <c r="O63" s="9"/>
      <c r="P63" s="6">
        <v>991.94</v>
      </c>
      <c r="Q63" s="3"/>
      <c r="R63" s="7">
        <f t="shared" si="16"/>
        <v>4.4365711415569854E-4</v>
      </c>
      <c r="S63" s="3"/>
      <c r="T63" s="6">
        <v>1200</v>
      </c>
      <c r="U63" s="3"/>
      <c r="V63" s="7">
        <f t="shared" si="17"/>
        <v>2.5149108013532736E-4</v>
      </c>
      <c r="W63" s="3"/>
      <c r="X63" s="6">
        <f t="shared" si="18"/>
        <v>-208.05999999999995</v>
      </c>
      <c r="Y63" s="3"/>
      <c r="Z63" s="7">
        <f t="shared" si="19"/>
        <v>-0.17338333333333328</v>
      </c>
    </row>
    <row r="64" spans="1:26" s="69" customFormat="1" ht="15" customHeight="1" outlineLevel="1" collapsed="1" x14ac:dyDescent="0.3">
      <c r="A64" s="20"/>
      <c r="B64" s="11" t="str">
        <f>CONCATENATE("     ","Freight out/Postage                               ")</f>
        <v xml:space="preserve">     Freight out/Postage                               </v>
      </c>
      <c r="C64" s="11"/>
      <c r="D64" s="2">
        <f>SUM(OSRRefD22_6x_0)</f>
        <v>7559.75</v>
      </c>
      <c r="E64" s="2"/>
      <c r="F64" s="5">
        <f t="shared" si="12"/>
        <v>16.363095238095234</v>
      </c>
      <c r="G64" s="2"/>
      <c r="H64" s="2">
        <f>SUM(OSRRefH22_6x_0)</f>
        <v>500</v>
      </c>
      <c r="I64" s="2"/>
      <c r="J64" s="5">
        <f t="shared" si="13"/>
        <v>2.2530641672674837E-2</v>
      </c>
      <c r="K64" s="2"/>
      <c r="L64" s="2">
        <f t="shared" si="14"/>
        <v>7059.75</v>
      </c>
      <c r="M64" s="2"/>
      <c r="N64" s="5">
        <f t="shared" si="15"/>
        <v>14.1195</v>
      </c>
      <c r="O64" s="11"/>
      <c r="P64" s="2">
        <f>SUM(OSRRefP22_6x_0)</f>
        <v>20765.87</v>
      </c>
      <c r="Q64" s="2"/>
      <c r="R64" s="5">
        <f t="shared" si="16"/>
        <v>9.287785508329531E-3</v>
      </c>
      <c r="S64" s="2"/>
      <c r="T64" s="2">
        <f>SUM(OSRRefT22_6x_0)</f>
        <v>17500</v>
      </c>
      <c r="U64" s="2"/>
      <c r="V64" s="5">
        <f t="shared" si="17"/>
        <v>3.667578251973524E-3</v>
      </c>
      <c r="W64" s="2"/>
      <c r="X64" s="2">
        <f t="shared" si="18"/>
        <v>3265.869999999999</v>
      </c>
      <c r="Y64" s="2"/>
      <c r="Z64" s="5">
        <f t="shared" si="19"/>
        <v>0.18662114285714279</v>
      </c>
    </row>
    <row r="65" spans="1:26" s="70" customFormat="1" ht="15" hidden="1" customHeight="1" outlineLevel="2" x14ac:dyDescent="0.3">
      <c r="A65" s="21"/>
      <c r="B65" s="9" t="str">
        <f>CONCATENATE("          ","6305"," - ","FREIGHT OUT")</f>
        <v xml:space="preserve">          6305 - FREIGHT OUT</v>
      </c>
      <c r="C65" s="9"/>
      <c r="D65" s="6">
        <v>7559.75</v>
      </c>
      <c r="E65" s="3"/>
      <c r="F65" s="7">
        <f t="shared" ref="F65:F85" si="20">IF(D$12=0,0,D65/D$12)</f>
        <v>16.363095238095234</v>
      </c>
      <c r="G65" s="3"/>
      <c r="H65" s="6">
        <v>500</v>
      </c>
      <c r="I65" s="3"/>
      <c r="J65" s="7">
        <f t="shared" ref="J65:J85" si="21">IF(H$12=0,0,H65/H$12)</f>
        <v>2.2530641672674837E-2</v>
      </c>
      <c r="K65" s="3"/>
      <c r="L65" s="6">
        <f t="shared" ref="L65:L85" si="22">+D65-H65</f>
        <v>7059.75</v>
      </c>
      <c r="M65" s="3"/>
      <c r="N65" s="7">
        <f t="shared" ref="N65:N85" si="23">IF(H65=0,0,L65/H65)</f>
        <v>14.1195</v>
      </c>
      <c r="O65" s="9"/>
      <c r="P65" s="6">
        <v>20764.28</v>
      </c>
      <c r="Q65" s="3"/>
      <c r="R65" s="7">
        <f t="shared" ref="R65:R85" si="24">IF(P$12=0,0,P65/P$12)</f>
        <v>9.2870743616759958E-3</v>
      </c>
      <c r="S65" s="3"/>
      <c r="T65" s="6">
        <v>17500</v>
      </c>
      <c r="U65" s="3"/>
      <c r="V65" s="7">
        <f t="shared" ref="V65:V85" si="25">IF(T$12=0,0,T65/T$12)</f>
        <v>3.667578251973524E-3</v>
      </c>
      <c r="W65" s="3"/>
      <c r="X65" s="6">
        <f t="shared" ref="X65:X85" si="26">+P65-T65</f>
        <v>3264.2799999999988</v>
      </c>
      <c r="Y65" s="3"/>
      <c r="Z65" s="7">
        <f t="shared" ref="Z65:Z85" si="27">IF(T65=0,0,X65/T65)</f>
        <v>0.18653028571428565</v>
      </c>
    </row>
    <row r="66" spans="1:26" s="70" customFormat="1" ht="15" hidden="1" customHeight="1" outlineLevel="2" x14ac:dyDescent="0.3">
      <c r="A66" s="21"/>
      <c r="B66" s="9" t="str">
        <f>CONCATENATE("          ","6307"," - ","POSTAGE")</f>
        <v xml:space="preserve">          6307 - POSTAGE</v>
      </c>
      <c r="C66" s="9"/>
      <c r="D66" s="6"/>
      <c r="E66" s="3"/>
      <c r="F66" s="7">
        <f t="shared" si="20"/>
        <v>0</v>
      </c>
      <c r="G66" s="3"/>
      <c r="H66" s="6"/>
      <c r="I66" s="3"/>
      <c r="J66" s="7">
        <f t="shared" si="21"/>
        <v>0</v>
      </c>
      <c r="K66" s="3"/>
      <c r="L66" s="6">
        <f t="shared" si="22"/>
        <v>0</v>
      </c>
      <c r="M66" s="3"/>
      <c r="N66" s="7">
        <f t="shared" si="23"/>
        <v>0</v>
      </c>
      <c r="O66" s="9"/>
      <c r="P66" s="6">
        <v>1.59</v>
      </c>
      <c r="Q66" s="3"/>
      <c r="R66" s="7">
        <f t="shared" si="24"/>
        <v>7.1114665353505313E-7</v>
      </c>
      <c r="S66" s="3"/>
      <c r="T66" s="6"/>
      <c r="U66" s="3"/>
      <c r="V66" s="7">
        <f t="shared" si="25"/>
        <v>0</v>
      </c>
      <c r="W66" s="3"/>
      <c r="X66" s="6">
        <f t="shared" si="26"/>
        <v>1.59</v>
      </c>
      <c r="Y66" s="3"/>
      <c r="Z66" s="7">
        <f t="shared" si="27"/>
        <v>0</v>
      </c>
    </row>
    <row r="67" spans="1:26" s="69" customFormat="1" ht="15" customHeight="1" outlineLevel="1" collapsed="1" x14ac:dyDescent="0.3">
      <c r="A67" s="20"/>
      <c r="B67" s="11" t="str">
        <f>CONCATENATE("     ","General                                           ")</f>
        <v xml:space="preserve">     General                                           </v>
      </c>
      <c r="C67" s="11"/>
      <c r="D67" s="2">
        <f>SUM(OSRRefD22_7x_0)</f>
        <v>0</v>
      </c>
      <c r="E67" s="2"/>
      <c r="F67" s="5">
        <f t="shared" si="20"/>
        <v>0</v>
      </c>
      <c r="G67" s="2"/>
      <c r="H67" s="2">
        <f>SUM(OSRRefH22_7x_0)</f>
        <v>0</v>
      </c>
      <c r="I67" s="2"/>
      <c r="J67" s="5">
        <f t="shared" si="21"/>
        <v>0</v>
      </c>
      <c r="K67" s="2"/>
      <c r="L67" s="2">
        <f t="shared" si="22"/>
        <v>0</v>
      </c>
      <c r="M67" s="2"/>
      <c r="N67" s="5">
        <f t="shared" si="23"/>
        <v>0</v>
      </c>
      <c r="O67" s="11"/>
      <c r="P67" s="2">
        <f>SUM(OSRRefP22_7x_0)</f>
        <v>0</v>
      </c>
      <c r="Q67" s="2"/>
      <c r="R67" s="5">
        <f t="shared" si="24"/>
        <v>0</v>
      </c>
      <c r="S67" s="2"/>
      <c r="T67" s="2">
        <f>SUM(OSRRefT22_7x_0)</f>
        <v>2750</v>
      </c>
      <c r="U67" s="2"/>
      <c r="V67" s="5">
        <f t="shared" si="25"/>
        <v>5.7633372531012516E-4</v>
      </c>
      <c r="W67" s="2"/>
      <c r="X67" s="2">
        <f t="shared" si="26"/>
        <v>-2750</v>
      </c>
      <c r="Y67" s="2"/>
      <c r="Z67" s="5">
        <f t="shared" si="27"/>
        <v>-1</v>
      </c>
    </row>
    <row r="68" spans="1:26" s="70" customFormat="1" ht="15" hidden="1" customHeight="1" outlineLevel="2" x14ac:dyDescent="0.3">
      <c r="A68" s="21"/>
      <c r="B68" s="9" t="str">
        <f>CONCATENATE("          ","6279"," - ","GENERAL EXPENSE")</f>
        <v xml:space="preserve">          6279 - GENERAL EXPENSE</v>
      </c>
      <c r="C68" s="9"/>
      <c r="D68" s="6"/>
      <c r="E68" s="3"/>
      <c r="F68" s="7">
        <f t="shared" si="20"/>
        <v>0</v>
      </c>
      <c r="G68" s="3"/>
      <c r="H68" s="6">
        <v>0</v>
      </c>
      <c r="I68" s="3"/>
      <c r="J68" s="7">
        <f t="shared" si="21"/>
        <v>0</v>
      </c>
      <c r="K68" s="3"/>
      <c r="L68" s="6">
        <f t="shared" si="22"/>
        <v>0</v>
      </c>
      <c r="M68" s="3"/>
      <c r="N68" s="7">
        <f t="shared" si="23"/>
        <v>0</v>
      </c>
      <c r="O68" s="9"/>
      <c r="P68" s="6"/>
      <c r="Q68" s="3"/>
      <c r="R68" s="7">
        <f t="shared" si="24"/>
        <v>0</v>
      </c>
      <c r="S68" s="3"/>
      <c r="T68" s="6">
        <v>2750</v>
      </c>
      <c r="U68" s="3"/>
      <c r="V68" s="7">
        <f t="shared" si="25"/>
        <v>5.7633372531012516E-4</v>
      </c>
      <c r="W68" s="3"/>
      <c r="X68" s="6">
        <f t="shared" si="26"/>
        <v>-2750</v>
      </c>
      <c r="Y68" s="3"/>
      <c r="Z68" s="7">
        <f t="shared" si="27"/>
        <v>-1</v>
      </c>
    </row>
    <row r="69" spans="1:26" s="69" customFormat="1" ht="15" customHeight="1" outlineLevel="1" collapsed="1" x14ac:dyDescent="0.3">
      <c r="A69" s="20"/>
      <c r="B69" s="11" t="str">
        <f>CONCATENATE("     ","Inventory Adjustment                              ")</f>
        <v xml:space="preserve">     Inventory Adjustment                              </v>
      </c>
      <c r="C69" s="11"/>
      <c r="D69" s="2">
        <f>SUM(OSRRefD22_8x_0)</f>
        <v>-15000</v>
      </c>
      <c r="E69" s="2"/>
      <c r="F69" s="5">
        <f t="shared" si="20"/>
        <v>-32.467532467532457</v>
      </c>
      <c r="G69" s="2"/>
      <c r="H69" s="2">
        <f>SUM(OSRRefH22_8x_0)</f>
        <v>15000</v>
      </c>
      <c r="I69" s="2"/>
      <c r="J69" s="5">
        <f t="shared" si="21"/>
        <v>0.67591925018024512</v>
      </c>
      <c r="K69" s="2"/>
      <c r="L69" s="2">
        <f t="shared" si="22"/>
        <v>-30000</v>
      </c>
      <c r="M69" s="2"/>
      <c r="N69" s="5">
        <f t="shared" si="23"/>
        <v>-2</v>
      </c>
      <c r="O69" s="11"/>
      <c r="P69" s="2">
        <f>SUM(OSRRefP22_8x_0)</f>
        <v>0</v>
      </c>
      <c r="Q69" s="2"/>
      <c r="R69" s="5">
        <f t="shared" si="24"/>
        <v>0</v>
      </c>
      <c r="S69" s="2"/>
      <c r="T69" s="2">
        <f>SUM(OSRRefT22_8x_0)</f>
        <v>30000</v>
      </c>
      <c r="U69" s="2"/>
      <c r="V69" s="5">
        <f t="shared" si="25"/>
        <v>6.2872770033831835E-3</v>
      </c>
      <c r="W69" s="2"/>
      <c r="X69" s="2">
        <f t="shared" si="26"/>
        <v>-30000</v>
      </c>
      <c r="Y69" s="2"/>
      <c r="Z69" s="5">
        <f t="shared" si="27"/>
        <v>-1</v>
      </c>
    </row>
    <row r="70" spans="1:26" s="70" customFormat="1" ht="15" hidden="1" customHeight="1" outlineLevel="2" x14ac:dyDescent="0.3">
      <c r="A70" s="21"/>
      <c r="B70" s="9" t="str">
        <f>CONCATENATE("          ","6408"," - ","INVENTORY ADJUSTMENT")</f>
        <v xml:space="preserve">          6408 - INVENTORY ADJUSTMENT</v>
      </c>
      <c r="C70" s="9"/>
      <c r="D70" s="6">
        <v>-15000</v>
      </c>
      <c r="E70" s="3"/>
      <c r="F70" s="7">
        <f t="shared" si="20"/>
        <v>-32.467532467532457</v>
      </c>
      <c r="G70" s="3"/>
      <c r="H70" s="6">
        <v>15000</v>
      </c>
      <c r="I70" s="3"/>
      <c r="J70" s="7">
        <f t="shared" si="21"/>
        <v>0.67591925018024512</v>
      </c>
      <c r="K70" s="3"/>
      <c r="L70" s="6">
        <f t="shared" si="22"/>
        <v>-30000</v>
      </c>
      <c r="M70" s="3"/>
      <c r="N70" s="7">
        <f t="shared" si="23"/>
        <v>-2</v>
      </c>
      <c r="O70" s="9"/>
      <c r="P70" s="6">
        <v>0</v>
      </c>
      <c r="Q70" s="3"/>
      <c r="R70" s="7">
        <f t="shared" si="24"/>
        <v>0</v>
      </c>
      <c r="S70" s="3"/>
      <c r="T70" s="6">
        <v>30000</v>
      </c>
      <c r="U70" s="3"/>
      <c r="V70" s="7">
        <f t="shared" si="25"/>
        <v>6.2872770033831835E-3</v>
      </c>
      <c r="W70" s="3"/>
      <c r="X70" s="6">
        <f t="shared" si="26"/>
        <v>-30000</v>
      </c>
      <c r="Y70" s="3"/>
      <c r="Z70" s="7">
        <f t="shared" si="27"/>
        <v>-1</v>
      </c>
    </row>
    <row r="71" spans="1:26" s="69" customFormat="1" ht="15" customHeight="1" outlineLevel="1" collapsed="1" x14ac:dyDescent="0.3">
      <c r="A71" s="20"/>
      <c r="B71" s="11" t="str">
        <f>CONCATENATE("     ","Repair and Maintenance                            ")</f>
        <v xml:space="preserve">     Repair and Maintenance                            </v>
      </c>
      <c r="C71" s="11"/>
      <c r="D71" s="2">
        <f>SUM(OSRRefD22_9x_0)</f>
        <v>93.41</v>
      </c>
      <c r="E71" s="2"/>
      <c r="F71" s="5">
        <f t="shared" si="20"/>
        <v>0.20218614718614711</v>
      </c>
      <c r="G71" s="2"/>
      <c r="H71" s="2">
        <f>SUM(OSRRefH22_9x_0)</f>
        <v>80</v>
      </c>
      <c r="I71" s="2"/>
      <c r="J71" s="5">
        <f t="shared" si="21"/>
        <v>3.6049026676279738E-3</v>
      </c>
      <c r="K71" s="2"/>
      <c r="L71" s="2">
        <f t="shared" si="22"/>
        <v>13.409999999999997</v>
      </c>
      <c r="M71" s="2"/>
      <c r="N71" s="5">
        <f t="shared" si="23"/>
        <v>0.16762499999999997</v>
      </c>
      <c r="O71" s="11"/>
      <c r="P71" s="2">
        <f>SUM(OSRRefP22_9x_0)</f>
        <v>6177.66</v>
      </c>
      <c r="Q71" s="2"/>
      <c r="R71" s="5">
        <f t="shared" si="24"/>
        <v>2.7630328526272682E-3</v>
      </c>
      <c r="S71" s="2"/>
      <c r="T71" s="2">
        <f>SUM(OSRRefT22_9x_0)</f>
        <v>960</v>
      </c>
      <c r="U71" s="2"/>
      <c r="V71" s="5">
        <f t="shared" si="25"/>
        <v>2.0119286410826188E-4</v>
      </c>
      <c r="W71" s="2"/>
      <c r="X71" s="2">
        <f t="shared" si="26"/>
        <v>5217.66</v>
      </c>
      <c r="Y71" s="2"/>
      <c r="Z71" s="5">
        <f t="shared" si="27"/>
        <v>5.4350624999999999</v>
      </c>
    </row>
    <row r="72" spans="1:26" s="70" customFormat="1" ht="15" hidden="1" customHeight="1" outlineLevel="2" x14ac:dyDescent="0.3">
      <c r="A72" s="21"/>
      <c r="B72" s="9" t="str">
        <f>CONCATENATE("          ","6371"," - ","COMPUTER SOFTWARE MAINTENANCE")</f>
        <v xml:space="preserve">          6371 - COMPUTER SOFTWARE MAINTENANCE</v>
      </c>
      <c r="C72" s="9"/>
      <c r="D72" s="6"/>
      <c r="E72" s="3"/>
      <c r="F72" s="7">
        <f t="shared" si="20"/>
        <v>0</v>
      </c>
      <c r="G72" s="3"/>
      <c r="H72" s="6"/>
      <c r="I72" s="3"/>
      <c r="J72" s="7">
        <f t="shared" si="21"/>
        <v>0</v>
      </c>
      <c r="K72" s="3"/>
      <c r="L72" s="6">
        <f t="shared" si="22"/>
        <v>0</v>
      </c>
      <c r="M72" s="3"/>
      <c r="N72" s="7">
        <f t="shared" si="23"/>
        <v>0</v>
      </c>
      <c r="O72" s="9"/>
      <c r="P72" s="6">
        <v>5775</v>
      </c>
      <c r="Q72" s="3"/>
      <c r="R72" s="7">
        <f t="shared" si="24"/>
        <v>2.5829383170848626E-3</v>
      </c>
      <c r="S72" s="3"/>
      <c r="T72" s="6">
        <v>0</v>
      </c>
      <c r="U72" s="3"/>
      <c r="V72" s="7">
        <f t="shared" si="25"/>
        <v>0</v>
      </c>
      <c r="W72" s="3"/>
      <c r="X72" s="6">
        <f t="shared" si="26"/>
        <v>5775</v>
      </c>
      <c r="Y72" s="3"/>
      <c r="Z72" s="7">
        <f t="shared" si="27"/>
        <v>0</v>
      </c>
    </row>
    <row r="73" spans="1:26" s="70" customFormat="1" ht="15" hidden="1" customHeight="1" outlineLevel="2" x14ac:dyDescent="0.3">
      <c r="A73" s="21"/>
      <c r="B73" s="9" t="str">
        <f>CONCATENATE("          ","6373"," - ","MAINTENANCE CONTRACTS")</f>
        <v xml:space="preserve">          6373 - MAINTENANCE CONTRACTS</v>
      </c>
      <c r="C73" s="9"/>
      <c r="D73" s="6">
        <v>93.41</v>
      </c>
      <c r="E73" s="3"/>
      <c r="F73" s="7">
        <f t="shared" si="20"/>
        <v>0.20218614718614711</v>
      </c>
      <c r="G73" s="3"/>
      <c r="H73" s="6">
        <v>40</v>
      </c>
      <c r="I73" s="3"/>
      <c r="J73" s="7">
        <f t="shared" si="21"/>
        <v>1.8024513338139869E-3</v>
      </c>
      <c r="K73" s="3"/>
      <c r="L73" s="6">
        <f t="shared" si="22"/>
        <v>53.41</v>
      </c>
      <c r="M73" s="3"/>
      <c r="N73" s="7">
        <f t="shared" si="23"/>
        <v>1.3352499999999998</v>
      </c>
      <c r="O73" s="9"/>
      <c r="P73" s="6">
        <v>265.24</v>
      </c>
      <c r="Q73" s="3"/>
      <c r="R73" s="7">
        <f t="shared" si="24"/>
        <v>1.1863178514694183E-4</v>
      </c>
      <c r="S73" s="3"/>
      <c r="T73" s="6">
        <v>480</v>
      </c>
      <c r="U73" s="3"/>
      <c r="V73" s="7">
        <f t="shared" si="25"/>
        <v>1.0059643205413094E-4</v>
      </c>
      <c r="W73" s="3"/>
      <c r="X73" s="6">
        <f t="shared" si="26"/>
        <v>-214.76</v>
      </c>
      <c r="Y73" s="3"/>
      <c r="Z73" s="7">
        <f t="shared" si="27"/>
        <v>-0.44741666666666663</v>
      </c>
    </row>
    <row r="74" spans="1:26" s="70" customFormat="1" ht="15" hidden="1" customHeight="1" outlineLevel="2" x14ac:dyDescent="0.3">
      <c r="A74" s="21"/>
      <c r="B74" s="9" t="str">
        <f>CONCATENATE("          ","6375"," - ","OUTSIDE REPAIRS &amp; MAINTENANCE")</f>
        <v xml:space="preserve">          6375 - OUTSIDE REPAIRS &amp; MAINTENANCE</v>
      </c>
      <c r="C74" s="9"/>
      <c r="D74" s="6"/>
      <c r="E74" s="3"/>
      <c r="F74" s="7">
        <f t="shared" si="20"/>
        <v>0</v>
      </c>
      <c r="G74" s="3"/>
      <c r="H74" s="6">
        <v>40</v>
      </c>
      <c r="I74" s="3"/>
      <c r="J74" s="7">
        <f t="shared" si="21"/>
        <v>1.8024513338139869E-3</v>
      </c>
      <c r="K74" s="3"/>
      <c r="L74" s="6">
        <f t="shared" si="22"/>
        <v>-40</v>
      </c>
      <c r="M74" s="3"/>
      <c r="N74" s="7">
        <f t="shared" si="23"/>
        <v>-1</v>
      </c>
      <c r="O74" s="9"/>
      <c r="P74" s="6">
        <v>137.41999999999999</v>
      </c>
      <c r="Q74" s="3"/>
      <c r="R74" s="7">
        <f t="shared" si="24"/>
        <v>6.1462750395463515E-5</v>
      </c>
      <c r="S74" s="3"/>
      <c r="T74" s="6">
        <v>480</v>
      </c>
      <c r="U74" s="3"/>
      <c r="V74" s="7">
        <f t="shared" si="25"/>
        <v>1.0059643205413094E-4</v>
      </c>
      <c r="W74" s="3"/>
      <c r="X74" s="6">
        <f t="shared" si="26"/>
        <v>-342.58000000000004</v>
      </c>
      <c r="Y74" s="3"/>
      <c r="Z74" s="7">
        <f t="shared" si="27"/>
        <v>-0.71370833333333339</v>
      </c>
    </row>
    <row r="75" spans="1:26" s="69" customFormat="1" ht="15" customHeight="1" outlineLevel="1" collapsed="1" x14ac:dyDescent="0.3">
      <c r="A75" s="20"/>
      <c r="B75" s="11" t="str">
        <f>CONCATENATE("     ","Subscriptions &amp; Dues                              ")</f>
        <v xml:space="preserve">     Subscriptions &amp; Dues                              </v>
      </c>
      <c r="C75" s="11"/>
      <c r="D75" s="2">
        <f>SUM(OSRRefD22_10x_0)</f>
        <v>272.35000000000002</v>
      </c>
      <c r="E75" s="2"/>
      <c r="F75" s="5">
        <f t="shared" si="20"/>
        <v>0.58950216450216431</v>
      </c>
      <c r="G75" s="2"/>
      <c r="H75" s="2">
        <f>SUM(OSRRefH22_10x_0)</f>
        <v>300</v>
      </c>
      <c r="I75" s="2"/>
      <c r="J75" s="5">
        <f t="shared" si="21"/>
        <v>1.3518385003604902E-2</v>
      </c>
      <c r="K75" s="2"/>
      <c r="L75" s="2">
        <f t="shared" si="22"/>
        <v>-27.649999999999977</v>
      </c>
      <c r="M75" s="2"/>
      <c r="N75" s="5">
        <f t="shared" si="23"/>
        <v>-9.2166666666666591E-2</v>
      </c>
      <c r="O75" s="11"/>
      <c r="P75" s="2">
        <f>SUM(OSRRefP22_10x_0)</f>
        <v>6700.33</v>
      </c>
      <c r="Q75" s="2"/>
      <c r="R75" s="5">
        <f t="shared" si="24"/>
        <v>2.9968033063399514E-3</v>
      </c>
      <c r="S75" s="2"/>
      <c r="T75" s="2">
        <f>SUM(OSRRefT22_10x_0)</f>
        <v>5500</v>
      </c>
      <c r="U75" s="2"/>
      <c r="V75" s="5">
        <f t="shared" si="25"/>
        <v>1.1526674506202503E-3</v>
      </c>
      <c r="W75" s="2"/>
      <c r="X75" s="2">
        <f t="shared" si="26"/>
        <v>1200.33</v>
      </c>
      <c r="Y75" s="2"/>
      <c r="Z75" s="5">
        <f t="shared" si="27"/>
        <v>0.21824181818181818</v>
      </c>
    </row>
    <row r="76" spans="1:26" s="70" customFormat="1" ht="15" hidden="1" customHeight="1" outlineLevel="2" x14ac:dyDescent="0.3">
      <c r="A76" s="21"/>
      <c r="B76" s="9" t="str">
        <f>CONCATENATE("          ","6258"," - ","MEMBERSHIP DUES")</f>
        <v xml:space="preserve">          6258 - MEMBERSHIP DUES</v>
      </c>
      <c r="C76" s="9"/>
      <c r="D76" s="6">
        <v>272.35000000000002</v>
      </c>
      <c r="E76" s="3"/>
      <c r="F76" s="7">
        <f t="shared" si="20"/>
        <v>0.58950216450216431</v>
      </c>
      <c r="G76" s="3"/>
      <c r="H76" s="6">
        <v>300</v>
      </c>
      <c r="I76" s="3"/>
      <c r="J76" s="7">
        <f t="shared" si="21"/>
        <v>1.3518385003604902E-2</v>
      </c>
      <c r="K76" s="3"/>
      <c r="L76" s="6">
        <f t="shared" si="22"/>
        <v>-27.649999999999977</v>
      </c>
      <c r="M76" s="3"/>
      <c r="N76" s="7">
        <f t="shared" si="23"/>
        <v>-9.2166666666666591E-2</v>
      </c>
      <c r="O76" s="9"/>
      <c r="P76" s="6">
        <v>3348.94</v>
      </c>
      <c r="Q76" s="3"/>
      <c r="R76" s="7">
        <f t="shared" si="24"/>
        <v>1.4978537571633214E-3</v>
      </c>
      <c r="S76" s="3"/>
      <c r="T76" s="6">
        <v>3600</v>
      </c>
      <c r="U76" s="3"/>
      <c r="V76" s="7">
        <f t="shared" si="25"/>
        <v>7.5447324040598209E-4</v>
      </c>
      <c r="W76" s="3"/>
      <c r="X76" s="6">
        <f t="shared" si="26"/>
        <v>-251.05999999999995</v>
      </c>
      <c r="Y76" s="3"/>
      <c r="Z76" s="7">
        <f t="shared" si="27"/>
        <v>-6.9738888888888878E-2</v>
      </c>
    </row>
    <row r="77" spans="1:26" s="70" customFormat="1" ht="15" hidden="1" customHeight="1" outlineLevel="2" x14ac:dyDescent="0.3">
      <c r="A77" s="21"/>
      <c r="B77" s="9" t="str">
        <f>CONCATENATE("          ","6275"," - ","SUBSCRIPTIONS")</f>
        <v xml:space="preserve">          6275 - SUBSCRIPTIONS</v>
      </c>
      <c r="C77" s="9"/>
      <c r="D77" s="6"/>
      <c r="E77" s="3"/>
      <c r="F77" s="7">
        <f t="shared" si="20"/>
        <v>0</v>
      </c>
      <c r="G77" s="3"/>
      <c r="H77" s="6"/>
      <c r="I77" s="3"/>
      <c r="J77" s="7">
        <f t="shared" si="21"/>
        <v>0</v>
      </c>
      <c r="K77" s="3"/>
      <c r="L77" s="6">
        <f t="shared" si="22"/>
        <v>0</v>
      </c>
      <c r="M77" s="3"/>
      <c r="N77" s="7">
        <f t="shared" si="23"/>
        <v>0</v>
      </c>
      <c r="O77" s="9"/>
      <c r="P77" s="6">
        <v>3351.39</v>
      </c>
      <c r="Q77" s="3"/>
      <c r="R77" s="7">
        <f t="shared" si="24"/>
        <v>1.49894954917663E-3</v>
      </c>
      <c r="S77" s="3"/>
      <c r="T77" s="6">
        <v>1900</v>
      </c>
      <c r="U77" s="3"/>
      <c r="V77" s="7">
        <f t="shared" si="25"/>
        <v>3.9819421021426829E-4</v>
      </c>
      <c r="W77" s="3"/>
      <c r="X77" s="6">
        <f t="shared" si="26"/>
        <v>1451.3899999999999</v>
      </c>
      <c r="Y77" s="3"/>
      <c r="Z77" s="7">
        <f t="shared" si="27"/>
        <v>0.76388947368421045</v>
      </c>
    </row>
    <row r="78" spans="1:26" s="69" customFormat="1" ht="15" customHeight="1" outlineLevel="1" collapsed="1" x14ac:dyDescent="0.3">
      <c r="A78" s="20"/>
      <c r="B78" s="11" t="str">
        <f>CONCATENATE("     ","Supplies                                          ")</f>
        <v xml:space="preserve">     Supplies                                          </v>
      </c>
      <c r="C78" s="11"/>
      <c r="D78" s="2">
        <f>SUM(OSRRefD22_11x_0)</f>
        <v>969.19</v>
      </c>
      <c r="E78" s="2"/>
      <c r="F78" s="5">
        <f t="shared" si="20"/>
        <v>2.0978138528138524</v>
      </c>
      <c r="G78" s="2"/>
      <c r="H78" s="2">
        <f>SUM(OSRRefH22_11x_0)</f>
        <v>600</v>
      </c>
      <c r="I78" s="2"/>
      <c r="J78" s="5">
        <f t="shared" si="21"/>
        <v>2.7036770007209804E-2</v>
      </c>
      <c r="K78" s="2"/>
      <c r="L78" s="2">
        <f t="shared" si="22"/>
        <v>369.19000000000005</v>
      </c>
      <c r="M78" s="2"/>
      <c r="N78" s="5">
        <f t="shared" si="23"/>
        <v>0.61531666666666673</v>
      </c>
      <c r="O78" s="11"/>
      <c r="P78" s="2">
        <f>SUM(OSRRefP22_11x_0)</f>
        <v>3452.94</v>
      </c>
      <c r="Q78" s="2"/>
      <c r="R78" s="5">
        <f t="shared" si="24"/>
        <v>1.5443690099731613E-3</v>
      </c>
      <c r="S78" s="2"/>
      <c r="T78" s="2">
        <f>SUM(OSRRefT22_11x_0)</f>
        <v>10000</v>
      </c>
      <c r="U78" s="2"/>
      <c r="V78" s="5">
        <f t="shared" si="25"/>
        <v>2.0957590011277281E-3</v>
      </c>
      <c r="W78" s="2"/>
      <c r="X78" s="2">
        <f t="shared" si="26"/>
        <v>-6547.0599999999995</v>
      </c>
      <c r="Y78" s="2"/>
      <c r="Z78" s="5">
        <f t="shared" si="27"/>
        <v>-0.6547059999999999</v>
      </c>
    </row>
    <row r="79" spans="1:26" s="70" customFormat="1" ht="15" hidden="1" customHeight="1" outlineLevel="2" x14ac:dyDescent="0.3">
      <c r="A79" s="21"/>
      <c r="B79" s="9" t="str">
        <f>CONCATENATE("          ","6241"," - ","OFFICE EXPENSE")</f>
        <v xml:space="preserve">          6241 - OFFICE EXPENSE</v>
      </c>
      <c r="C79" s="9"/>
      <c r="D79" s="6">
        <v>228.31</v>
      </c>
      <c r="E79" s="3"/>
      <c r="F79" s="7">
        <f t="shared" si="20"/>
        <v>0.49417748917748899</v>
      </c>
      <c r="G79" s="3"/>
      <c r="H79" s="6">
        <v>200</v>
      </c>
      <c r="I79" s="3"/>
      <c r="J79" s="7">
        <f t="shared" si="21"/>
        <v>9.0122566690699346E-3</v>
      </c>
      <c r="K79" s="3"/>
      <c r="L79" s="6">
        <f t="shared" si="22"/>
        <v>28.310000000000002</v>
      </c>
      <c r="M79" s="3"/>
      <c r="N79" s="7">
        <f t="shared" si="23"/>
        <v>0.14155000000000001</v>
      </c>
      <c r="O79" s="9"/>
      <c r="P79" s="6">
        <v>2000.68</v>
      </c>
      <c r="Q79" s="3"/>
      <c r="R79" s="7">
        <f t="shared" si="24"/>
        <v>8.9482823068837115E-4</v>
      </c>
      <c r="S79" s="3"/>
      <c r="T79" s="6">
        <v>4700</v>
      </c>
      <c r="U79" s="3"/>
      <c r="V79" s="7">
        <f t="shared" si="25"/>
        <v>9.8500673053003216E-4</v>
      </c>
      <c r="W79" s="3"/>
      <c r="X79" s="6">
        <f t="shared" si="26"/>
        <v>-2699.3199999999997</v>
      </c>
      <c r="Y79" s="3"/>
      <c r="Z79" s="7">
        <f t="shared" si="27"/>
        <v>-0.57432340425531914</v>
      </c>
    </row>
    <row r="80" spans="1:26" s="70" customFormat="1" ht="15" hidden="1" customHeight="1" outlineLevel="2" x14ac:dyDescent="0.3">
      <c r="A80" s="21"/>
      <c r="B80" s="9" t="str">
        <f>CONCATENATE("          ","6247"," - ","STORE SUPPLIES")</f>
        <v xml:space="preserve">          6247 - STORE SUPPLIES</v>
      </c>
      <c r="C80" s="9"/>
      <c r="D80" s="6">
        <v>740.88</v>
      </c>
      <c r="E80" s="3"/>
      <c r="F80" s="7">
        <f t="shared" si="20"/>
        <v>1.6036363636363631</v>
      </c>
      <c r="G80" s="3"/>
      <c r="H80" s="6">
        <v>400</v>
      </c>
      <c r="I80" s="3"/>
      <c r="J80" s="7">
        <f t="shared" si="21"/>
        <v>1.8024513338139869E-2</v>
      </c>
      <c r="K80" s="3"/>
      <c r="L80" s="6">
        <f t="shared" si="22"/>
        <v>340.88</v>
      </c>
      <c r="M80" s="3"/>
      <c r="N80" s="7">
        <f t="shared" si="23"/>
        <v>0.85219999999999996</v>
      </c>
      <c r="O80" s="9"/>
      <c r="P80" s="6">
        <v>1452.26</v>
      </c>
      <c r="Q80" s="3"/>
      <c r="R80" s="7">
        <f t="shared" si="24"/>
        <v>6.4954077928479012E-4</v>
      </c>
      <c r="S80" s="3"/>
      <c r="T80" s="6">
        <v>5300</v>
      </c>
      <c r="U80" s="3"/>
      <c r="V80" s="7">
        <f t="shared" si="25"/>
        <v>1.1107522705976957E-3</v>
      </c>
      <c r="W80" s="3"/>
      <c r="X80" s="6">
        <f t="shared" si="26"/>
        <v>-3847.74</v>
      </c>
      <c r="Y80" s="3"/>
      <c r="Z80" s="7">
        <f t="shared" si="27"/>
        <v>-0.72598867924528299</v>
      </c>
    </row>
    <row r="81" spans="1:26" s="69" customFormat="1" ht="15" customHeight="1" outlineLevel="1" collapsed="1" x14ac:dyDescent="0.3">
      <c r="A81" s="20"/>
      <c r="B81" s="11" t="str">
        <f>CONCATENATE("     ","Telephone/Data Lines                              ")</f>
        <v xml:space="preserve">     Telephone/Data Lines                              </v>
      </c>
      <c r="C81" s="11"/>
      <c r="D81" s="2">
        <f>SUM(OSRRefD22_12x_0)</f>
        <v>375.29</v>
      </c>
      <c r="E81" s="2"/>
      <c r="F81" s="5">
        <f t="shared" si="20"/>
        <v>0.8123160173160171</v>
      </c>
      <c r="G81" s="2"/>
      <c r="H81" s="2">
        <f>SUM(OSRRefH22_12x_0)</f>
        <v>350</v>
      </c>
      <c r="I81" s="2"/>
      <c r="J81" s="5">
        <f t="shared" si="21"/>
        <v>1.5771449170872386E-2</v>
      </c>
      <c r="K81" s="2"/>
      <c r="L81" s="2">
        <f t="shared" si="22"/>
        <v>25.29000000000002</v>
      </c>
      <c r="M81" s="2"/>
      <c r="N81" s="5">
        <f t="shared" si="23"/>
        <v>7.2257142857142923E-2</v>
      </c>
      <c r="O81" s="11"/>
      <c r="P81" s="2">
        <f>SUM(OSRRefP22_12x_0)</f>
        <v>6334.89</v>
      </c>
      <c r="Q81" s="2"/>
      <c r="R81" s="5">
        <f t="shared" si="24"/>
        <v>2.8333558641589138E-3</v>
      </c>
      <c r="S81" s="2"/>
      <c r="T81" s="2">
        <f>SUM(OSRRefT22_12x_0)</f>
        <v>4800</v>
      </c>
      <c r="U81" s="2"/>
      <c r="V81" s="5">
        <f t="shared" si="25"/>
        <v>1.0059643205413095E-3</v>
      </c>
      <c r="W81" s="2"/>
      <c r="X81" s="2">
        <f t="shared" si="26"/>
        <v>1534.8900000000003</v>
      </c>
      <c r="Y81" s="2"/>
      <c r="Z81" s="5">
        <f t="shared" si="27"/>
        <v>0.31976875000000005</v>
      </c>
    </row>
    <row r="82" spans="1:26" s="70" customFormat="1" ht="15" hidden="1" customHeight="1" outlineLevel="2" x14ac:dyDescent="0.3">
      <c r="A82" s="21"/>
      <c r="B82" s="9" t="str">
        <f>CONCATENATE("          ","6303"," - ","DATA PHONE LINES")</f>
        <v xml:space="preserve">          6303 - DATA PHONE LINES</v>
      </c>
      <c r="C82" s="9"/>
      <c r="D82" s="6"/>
      <c r="E82" s="3"/>
      <c r="F82" s="7">
        <f t="shared" si="20"/>
        <v>0</v>
      </c>
      <c r="G82" s="3"/>
      <c r="H82" s="6">
        <v>0</v>
      </c>
      <c r="I82" s="3"/>
      <c r="J82" s="7">
        <f t="shared" si="21"/>
        <v>0</v>
      </c>
      <c r="K82" s="3"/>
      <c r="L82" s="6">
        <f t="shared" si="22"/>
        <v>0</v>
      </c>
      <c r="M82" s="3"/>
      <c r="N82" s="7">
        <f t="shared" si="23"/>
        <v>0</v>
      </c>
      <c r="O82" s="9"/>
      <c r="P82" s="6">
        <v>295</v>
      </c>
      <c r="Q82" s="3"/>
      <c r="R82" s="7">
        <f t="shared" si="24"/>
        <v>1.3194230364329602E-4</v>
      </c>
      <c r="S82" s="3"/>
      <c r="T82" s="6">
        <v>0</v>
      </c>
      <c r="U82" s="3"/>
      <c r="V82" s="7">
        <f t="shared" si="25"/>
        <v>0</v>
      </c>
      <c r="W82" s="3"/>
      <c r="X82" s="6">
        <f t="shared" si="26"/>
        <v>295</v>
      </c>
      <c r="Y82" s="3"/>
      <c r="Z82" s="7">
        <f t="shared" si="27"/>
        <v>0</v>
      </c>
    </row>
    <row r="83" spans="1:26" s="70" customFormat="1" ht="15" hidden="1" customHeight="1" outlineLevel="2" x14ac:dyDescent="0.3">
      <c r="A83" s="21"/>
      <c r="B83" s="9" t="str">
        <f>CONCATENATE("          ","6309"," - ","TELEPHONE")</f>
        <v xml:space="preserve">          6309 - TELEPHONE</v>
      </c>
      <c r="C83" s="9"/>
      <c r="D83" s="6">
        <v>375.29</v>
      </c>
      <c r="E83" s="3"/>
      <c r="F83" s="7">
        <f t="shared" si="20"/>
        <v>0.8123160173160171</v>
      </c>
      <c r="G83" s="3"/>
      <c r="H83" s="6">
        <v>350</v>
      </c>
      <c r="I83" s="3"/>
      <c r="J83" s="7">
        <f t="shared" si="21"/>
        <v>1.5771449170872386E-2</v>
      </c>
      <c r="K83" s="3"/>
      <c r="L83" s="6">
        <f t="shared" si="22"/>
        <v>25.29000000000002</v>
      </c>
      <c r="M83" s="3"/>
      <c r="N83" s="7">
        <f t="shared" si="23"/>
        <v>7.2257142857142923E-2</v>
      </c>
      <c r="O83" s="9"/>
      <c r="P83" s="6">
        <v>6039.89</v>
      </c>
      <c r="Q83" s="3"/>
      <c r="R83" s="7">
        <f t="shared" si="24"/>
        <v>2.701413560515618E-3</v>
      </c>
      <c r="S83" s="3"/>
      <c r="T83" s="6">
        <v>4800</v>
      </c>
      <c r="U83" s="3"/>
      <c r="V83" s="7">
        <f t="shared" si="25"/>
        <v>1.0059643205413095E-3</v>
      </c>
      <c r="W83" s="3"/>
      <c r="X83" s="6">
        <f t="shared" si="26"/>
        <v>1239.8900000000003</v>
      </c>
      <c r="Y83" s="3"/>
      <c r="Z83" s="7">
        <f t="shared" si="27"/>
        <v>0.25831041666666671</v>
      </c>
    </row>
    <row r="84" spans="1:26" s="69" customFormat="1" ht="15" customHeight="1" outlineLevel="1" collapsed="1" x14ac:dyDescent="0.3">
      <c r="A84" s="20"/>
      <c r="B84" s="11" t="str">
        <f>CONCATENATE("     ","Training                                          ")</f>
        <v xml:space="preserve">     Training                                          </v>
      </c>
      <c r="C84" s="11"/>
      <c r="D84" s="2">
        <f>SUM(OSRRefD22_13x_0)</f>
        <v>0</v>
      </c>
      <c r="E84" s="2"/>
      <c r="F84" s="5">
        <f t="shared" si="20"/>
        <v>0</v>
      </c>
      <c r="G84" s="2"/>
      <c r="H84" s="2">
        <f>SUM(OSRRefH22_13x_0)</f>
        <v>0</v>
      </c>
      <c r="I84" s="2"/>
      <c r="J84" s="5">
        <f t="shared" si="21"/>
        <v>0</v>
      </c>
      <c r="K84" s="2"/>
      <c r="L84" s="2">
        <f t="shared" si="22"/>
        <v>0</v>
      </c>
      <c r="M84" s="2"/>
      <c r="N84" s="5">
        <f t="shared" si="23"/>
        <v>0</v>
      </c>
      <c r="O84" s="11"/>
      <c r="P84" s="2">
        <f>SUM(OSRRefP22_13x_0)</f>
        <v>125</v>
      </c>
      <c r="Q84" s="2"/>
      <c r="R84" s="5">
        <f t="shared" si="24"/>
        <v>5.5907755781057636E-5</v>
      </c>
      <c r="S84" s="2"/>
      <c r="T84" s="2">
        <f>SUM(OSRRefT22_13x_0)</f>
        <v>0</v>
      </c>
      <c r="U84" s="2"/>
      <c r="V84" s="5">
        <f t="shared" si="25"/>
        <v>0</v>
      </c>
      <c r="W84" s="2"/>
      <c r="X84" s="2">
        <f t="shared" si="26"/>
        <v>125</v>
      </c>
      <c r="Y84" s="2"/>
      <c r="Z84" s="5">
        <f t="shared" si="27"/>
        <v>0</v>
      </c>
    </row>
    <row r="85" spans="1:26" s="70" customFormat="1" ht="15" hidden="1" customHeight="1" outlineLevel="2" x14ac:dyDescent="0.3">
      <c r="A85" s="21"/>
      <c r="B85" s="9" t="str">
        <f>CONCATENATE("          ","6376"," - ","TRAINING")</f>
        <v xml:space="preserve">          6376 - TRAINING</v>
      </c>
      <c r="C85" s="9"/>
      <c r="D85" s="6"/>
      <c r="E85" s="3"/>
      <c r="F85" s="7">
        <f t="shared" si="20"/>
        <v>0</v>
      </c>
      <c r="G85" s="3"/>
      <c r="H85" s="6"/>
      <c r="I85" s="3"/>
      <c r="J85" s="7">
        <f t="shared" si="21"/>
        <v>0</v>
      </c>
      <c r="K85" s="3"/>
      <c r="L85" s="6">
        <f t="shared" si="22"/>
        <v>0</v>
      </c>
      <c r="M85" s="3"/>
      <c r="N85" s="7">
        <f t="shared" si="23"/>
        <v>0</v>
      </c>
      <c r="O85" s="9"/>
      <c r="P85" s="6">
        <v>125</v>
      </c>
      <c r="Q85" s="3"/>
      <c r="R85" s="7">
        <f t="shared" si="24"/>
        <v>5.5907755781057636E-5</v>
      </c>
      <c r="S85" s="3"/>
      <c r="T85" s="6">
        <v>0</v>
      </c>
      <c r="U85" s="3"/>
      <c r="V85" s="7">
        <f t="shared" si="25"/>
        <v>0</v>
      </c>
      <c r="W85" s="3"/>
      <c r="X85" s="6">
        <f t="shared" si="26"/>
        <v>125</v>
      </c>
      <c r="Y85" s="3"/>
      <c r="Z85" s="7">
        <f t="shared" si="27"/>
        <v>0</v>
      </c>
    </row>
    <row r="86" spans="1:26" s="65" customFormat="1" ht="15" customHeight="1" x14ac:dyDescent="0.3">
      <c r="A86" s="36"/>
      <c r="B86" s="36"/>
      <c r="C86" s="36"/>
      <c r="D86" s="2"/>
      <c r="E86" s="2"/>
      <c r="F86" s="5"/>
      <c r="G86" s="2"/>
      <c r="H86" s="2"/>
      <c r="I86" s="2"/>
      <c r="J86" s="5"/>
      <c r="K86" s="2"/>
      <c r="L86" s="2"/>
      <c r="M86" s="2"/>
      <c r="N86" s="5"/>
      <c r="O86" s="36"/>
      <c r="P86" s="2"/>
      <c r="Q86" s="2"/>
      <c r="R86" s="5"/>
      <c r="S86" s="2"/>
      <c r="T86" s="2"/>
      <c r="U86" s="2"/>
      <c r="V86" s="5"/>
      <c r="W86" s="2"/>
      <c r="X86" s="2"/>
      <c r="Y86" s="2"/>
      <c r="Z86" s="5"/>
    </row>
    <row r="87" spans="1:26" s="63" customFormat="1" ht="15" customHeight="1" collapsed="1" x14ac:dyDescent="0.3">
      <c r="A87" s="13"/>
      <c r="B87" s="28" t="s">
        <v>291</v>
      </c>
      <c r="C87" s="13"/>
      <c r="D87" s="8">
        <f>SUM(OSRRefD25x_0)</f>
        <v>6599.43</v>
      </c>
      <c r="E87" s="8"/>
      <c r="F87" s="14">
        <f>IF(D$12=0,0,D87/D$12)</f>
        <v>14.284480519480514</v>
      </c>
      <c r="G87" s="8"/>
      <c r="H87" s="8">
        <f>SUM(OSRRefH25x_0)</f>
        <v>8042</v>
      </c>
      <c r="I87" s="8"/>
      <c r="J87" s="14">
        <f>IF(H$12=0,0,H87/H$12)</f>
        <v>0.36238284066330206</v>
      </c>
      <c r="K87" s="8"/>
      <c r="L87" s="8">
        <f>+D87-H87</f>
        <v>-1442.5699999999997</v>
      </c>
      <c r="M87" s="8"/>
      <c r="N87" s="14">
        <f>IF(H87=0,0,L87/H87)</f>
        <v>-0.17937950758517779</v>
      </c>
      <c r="O87" s="13"/>
      <c r="P87" s="8">
        <f>SUM(OSRRefP25x_0)</f>
        <v>366276.3</v>
      </c>
      <c r="Q87" s="8"/>
      <c r="R87" s="14">
        <f>IF(P$12=0,0,P87/P$12)</f>
        <v>0.16382148743031522</v>
      </c>
      <c r="S87" s="8"/>
      <c r="T87" s="8">
        <f>SUM(OSRRefT25x_0)</f>
        <v>374812.23</v>
      </c>
      <c r="U87" s="8"/>
      <c r="V87" s="14">
        <f>IF(T$12=0,0,T87/T$12)</f>
        <v>7.8551610475525613E-2</v>
      </c>
      <c r="W87" s="8"/>
      <c r="X87" s="8">
        <f>+P87-T87</f>
        <v>-8535.929999999993</v>
      </c>
      <c r="Y87" s="8"/>
      <c r="Z87" s="14">
        <f>IF(T87=0,0,X87/T87)</f>
        <v>-2.277388333886542E-2</v>
      </c>
    </row>
    <row r="88" spans="1:26" s="70" customFormat="1" ht="15" hidden="1" customHeight="1" outlineLevel="1" x14ac:dyDescent="0.3">
      <c r="A88" s="48"/>
      <c r="B88" s="9" t="str">
        <f>CONCATENATE("          ","9150"," - ","MISC. INCOME")</f>
        <v xml:space="preserve">          9150 - MISC. INCOME</v>
      </c>
      <c r="C88" s="9"/>
      <c r="D88" s="3">
        <f>--2283.85</f>
        <v>2283.85</v>
      </c>
      <c r="E88" s="3"/>
      <c r="F88" s="26">
        <f>IF(D$12=0,0,D88/D$12)</f>
        <v>4.9433982683982665</v>
      </c>
      <c r="G88" s="3"/>
      <c r="H88" s="3">
        <v>2925</v>
      </c>
      <c r="I88" s="3"/>
      <c r="J88" s="26">
        <f>IF(H$12=0,0,H88/H$12)</f>
        <v>0.13180425378514779</v>
      </c>
      <c r="K88" s="3"/>
      <c r="L88" s="3">
        <f>+D88-H88</f>
        <v>-641.15000000000009</v>
      </c>
      <c r="M88" s="3"/>
      <c r="N88" s="26">
        <f>IF(H88=0,0,L88/H88)</f>
        <v>-0.21919658119658122</v>
      </c>
      <c r="O88" s="9"/>
      <c r="P88" s="3">
        <f>--32325.87</f>
        <v>32325.87</v>
      </c>
      <c r="Q88" s="3"/>
      <c r="R88" s="26">
        <f>IF(P$12=0,0,P88/P$12)</f>
        <v>1.445813476296174E-2</v>
      </c>
      <c r="S88" s="3"/>
      <c r="T88" s="3">
        <v>41833</v>
      </c>
      <c r="U88" s="3"/>
      <c r="V88" s="26">
        <f>IF(T$12=0,0,T88/T$12)</f>
        <v>8.7671886294176243E-3</v>
      </c>
      <c r="W88" s="3"/>
      <c r="X88" s="3">
        <f>+P88-T88</f>
        <v>-9507.130000000001</v>
      </c>
      <c r="Y88" s="3"/>
      <c r="Z88" s="26">
        <f>IF(T88=0,0,X88/T88)</f>
        <v>-0.22726388258073771</v>
      </c>
    </row>
    <row r="89" spans="1:26" s="70" customFormat="1" ht="15" hidden="1" customHeight="1" outlineLevel="1" x14ac:dyDescent="0.3">
      <c r="A89" s="48"/>
      <c r="B89" s="9" t="str">
        <f>CONCATENATE("          ","9151"," - ","MISC. INCOME")</f>
        <v xml:space="preserve">          9151 - MISC. INCOME</v>
      </c>
      <c r="C89" s="9"/>
      <c r="D89" s="3">
        <f>--4094.51</f>
        <v>4094.51</v>
      </c>
      <c r="E89" s="3"/>
      <c r="F89" s="26">
        <f>IF(D$12=0,0,D89/D$12)</f>
        <v>8.8625757575757547</v>
      </c>
      <c r="G89" s="3"/>
      <c r="H89" s="3">
        <v>5117</v>
      </c>
      <c r="I89" s="3"/>
      <c r="J89" s="26">
        <f>IF(H$12=0,0,H89/H$12)</f>
        <v>0.2305785868781543</v>
      </c>
      <c r="K89" s="3"/>
      <c r="L89" s="3">
        <f>+D89-H89</f>
        <v>-1022.4899999999998</v>
      </c>
      <c r="M89" s="3"/>
      <c r="N89" s="26">
        <f>IF(H89=0,0,L89/H89)</f>
        <v>-0.19982216142270859</v>
      </c>
      <c r="O89" s="9"/>
      <c r="P89" s="3">
        <f>--328482.25</f>
        <v>328482.25</v>
      </c>
      <c r="Q89" s="3"/>
      <c r="R89" s="26">
        <f>IF(P$12=0,0,P89/P$12)</f>
        <v>0.14691764329129856</v>
      </c>
      <c r="S89" s="3"/>
      <c r="T89" s="3">
        <v>332979.23</v>
      </c>
      <c r="U89" s="3"/>
      <c r="V89" s="26">
        <f>IF(T$12=0,0,T89/T$12)</f>
        <v>6.9784421846107988E-2</v>
      </c>
      <c r="W89" s="3"/>
      <c r="X89" s="3">
        <f>+P89-T89</f>
        <v>-4496.9799999999814</v>
      </c>
      <c r="Y89" s="3"/>
      <c r="Z89" s="26">
        <f>IF(T89=0,0,X89/T89)</f>
        <v>-1.350528680122175E-2</v>
      </c>
    </row>
    <row r="90" spans="1:26" s="70" customFormat="1" ht="15" hidden="1" customHeight="1" outlineLevel="1" x14ac:dyDescent="0.3">
      <c r="A90" s="48"/>
      <c r="B90" s="9" t="str">
        <f>CONCATENATE("          ","9152"," - ","MISC. INCOME")</f>
        <v xml:space="preserve">          9152 - MISC. INCOME</v>
      </c>
      <c r="C90" s="9"/>
      <c r="D90" s="3">
        <f>--221.07</f>
        <v>221.07</v>
      </c>
      <c r="E90" s="3"/>
      <c r="F90" s="26">
        <f>IF(D$12=0,0,D90/D$12)</f>
        <v>0.47850649350649332</v>
      </c>
      <c r="G90" s="3"/>
      <c r="H90" s="3"/>
      <c r="I90" s="3"/>
      <c r="J90" s="26">
        <f>IF(H$12=0,0,H90/H$12)</f>
        <v>0</v>
      </c>
      <c r="K90" s="3"/>
      <c r="L90" s="3">
        <f>+D90-H90</f>
        <v>221.07</v>
      </c>
      <c r="M90" s="3"/>
      <c r="N90" s="26">
        <f>IF(H90=0,0,L90/H90)</f>
        <v>0</v>
      </c>
      <c r="O90" s="9"/>
      <c r="P90" s="3">
        <f>--5468.18</f>
        <v>5468.18</v>
      </c>
      <c r="Q90" s="3"/>
      <c r="R90" s="26">
        <f>IF(P$12=0,0,P90/P$12)</f>
        <v>2.4457093760549102E-3</v>
      </c>
      <c r="S90" s="3"/>
      <c r="T90" s="3"/>
      <c r="U90" s="3"/>
      <c r="V90" s="26">
        <f>IF(T$12=0,0,T90/T$12)</f>
        <v>0</v>
      </c>
      <c r="W90" s="3"/>
      <c r="X90" s="3">
        <f>+P90-T90</f>
        <v>5468.18</v>
      </c>
      <c r="Y90" s="3"/>
      <c r="Z90" s="26">
        <f>IF(T90=0,0,X90/T90)</f>
        <v>0</v>
      </c>
    </row>
    <row r="91" spans="1:26" s="70" customFormat="1" ht="15" hidden="1" customHeight="1" outlineLevel="1" x14ac:dyDescent="0.3">
      <c r="A91" s="48"/>
      <c r="B91" s="9" t="str">
        <f>CONCATENATE("          ","9160"," - ","MISC. INCOME")</f>
        <v xml:space="preserve">          9160 - MISC. INCOME</v>
      </c>
      <c r="C91" s="9"/>
      <c r="D91" s="3">
        <f>0</f>
        <v>0</v>
      </c>
      <c r="E91" s="3"/>
      <c r="F91" s="26">
        <f>IF(D$12=0,0,D91/D$12)</f>
        <v>0</v>
      </c>
      <c r="G91" s="3"/>
      <c r="H91" s="3">
        <v>0</v>
      </c>
      <c r="I91" s="3"/>
      <c r="J91" s="26">
        <f>IF(H$12=0,0,H91/H$12)</f>
        <v>0</v>
      </c>
      <c r="K91" s="3"/>
      <c r="L91" s="3">
        <f>+D91-H91</f>
        <v>0</v>
      </c>
      <c r="M91" s="3"/>
      <c r="N91" s="26">
        <f>IF(H91=0,0,L91/H91)</f>
        <v>0</v>
      </c>
      <c r="O91" s="9"/>
      <c r="P91" s="3">
        <f>0</f>
        <v>0</v>
      </c>
      <c r="Q91" s="3"/>
      <c r="R91" s="26">
        <f>IF(P$12=0,0,P91/P$12)</f>
        <v>0</v>
      </c>
      <c r="S91" s="3"/>
      <c r="T91" s="3">
        <v>0</v>
      </c>
      <c r="U91" s="3"/>
      <c r="V91" s="26">
        <f>IF(T$12=0,0,T91/T$12)</f>
        <v>0</v>
      </c>
      <c r="W91" s="3"/>
      <c r="X91" s="3">
        <f>+P91-T91</f>
        <v>0</v>
      </c>
      <c r="Y91" s="3"/>
      <c r="Z91" s="26">
        <f>IF(T91=0,0,X91/T91)</f>
        <v>0</v>
      </c>
    </row>
    <row r="92" spans="1:26" ht="15" customHeight="1" x14ac:dyDescent="0.3">
      <c r="A92" s="12"/>
      <c r="B92" s="13"/>
      <c r="C92" s="13"/>
      <c r="D92" s="4"/>
      <c r="E92" s="4"/>
      <c r="F92" s="10"/>
      <c r="G92" s="4"/>
      <c r="H92" s="4"/>
      <c r="I92" s="4"/>
      <c r="J92" s="10"/>
      <c r="K92" s="4"/>
      <c r="L92" s="4"/>
      <c r="M92" s="4"/>
      <c r="N92" s="10"/>
      <c r="O92" s="13"/>
      <c r="P92" s="4"/>
      <c r="Q92" s="4"/>
      <c r="R92" s="10"/>
      <c r="S92" s="4"/>
      <c r="T92" s="4"/>
      <c r="U92" s="4"/>
      <c r="V92" s="10"/>
      <c r="W92" s="4"/>
      <c r="X92" s="4"/>
      <c r="Y92" s="4"/>
      <c r="Z92" s="10"/>
    </row>
    <row r="93" spans="1:26" s="63" customFormat="1" ht="15" customHeight="1" x14ac:dyDescent="0.3">
      <c r="A93" s="13"/>
      <c r="B93" s="27" t="s">
        <v>292</v>
      </c>
      <c r="C93" s="27"/>
      <c r="D93" s="23">
        <f>+D31-D33+D87</f>
        <v>-164979.40000000002</v>
      </c>
      <c r="E93" s="15"/>
      <c r="F93" s="22">
        <f>IF(D$12=0,0,D93/D$12)</f>
        <v>-357.09826839826832</v>
      </c>
      <c r="G93" s="15"/>
      <c r="H93" s="23">
        <f>+H31-H33+H87</f>
        <v>-44176.963591039719</v>
      </c>
      <c r="I93" s="15"/>
      <c r="J93" s="22">
        <f>IF(H$12=0,0,H93/H$12)</f>
        <v>-1.9906706737130371</v>
      </c>
      <c r="K93" s="17"/>
      <c r="L93" s="23">
        <f>+D93-H93</f>
        <v>-120802.4364089603</v>
      </c>
      <c r="M93" s="17"/>
      <c r="N93" s="22">
        <f>IF(H93=0,0,L93/H93)</f>
        <v>2.7345119851890929</v>
      </c>
      <c r="O93" s="28"/>
      <c r="P93" s="23">
        <f>+P31-P33+P87</f>
        <v>241996.00999999937</v>
      </c>
      <c r="Q93" s="15"/>
      <c r="R93" s="22">
        <f>IF(P$12=0,0,P93/P$12)</f>
        <v>0.10823563061656277</v>
      </c>
      <c r="S93" s="15"/>
      <c r="T93" s="23">
        <f>+T31-T33+T87</f>
        <v>1041315.8473070828</v>
      </c>
      <c r="U93" s="15"/>
      <c r="V93" s="22">
        <f>IF(T$12=0,0,T93/T$12)</f>
        <v>0.21823470600107656</v>
      </c>
      <c r="W93" s="17"/>
      <c r="X93" s="23">
        <f>+P93-T93</f>
        <v>-799319.83730708342</v>
      </c>
      <c r="Y93" s="17"/>
      <c r="Z93" s="22">
        <f>IF(T93=0,0,X93/T93)</f>
        <v>-0.76760556307116767</v>
      </c>
    </row>
    <row r="94" spans="1:26" ht="15" customHeight="1" x14ac:dyDescent="0.3">
      <c r="A94" s="12"/>
      <c r="B94" s="13"/>
      <c r="C94" s="12"/>
      <c r="D94" s="4"/>
      <c r="E94" s="4"/>
      <c r="F94" s="10"/>
      <c r="G94" s="4"/>
      <c r="H94" s="4"/>
      <c r="I94" s="4"/>
      <c r="J94" s="10"/>
      <c r="K94" s="4"/>
      <c r="L94" s="4"/>
      <c r="M94" s="4"/>
      <c r="N94" s="10"/>
      <c r="P94" s="4"/>
      <c r="Q94" s="4"/>
      <c r="R94" s="10"/>
      <c r="S94" s="4"/>
      <c r="T94" s="4"/>
      <c r="U94" s="4"/>
      <c r="V94" s="10"/>
      <c r="W94" s="4"/>
      <c r="X94" s="4"/>
      <c r="Y94" s="4"/>
      <c r="Z94" s="10"/>
    </row>
    <row r="95" spans="1:26" s="63" customFormat="1" ht="15" customHeight="1" x14ac:dyDescent="0.3">
      <c r="A95" s="49"/>
      <c r="B95" s="13" t="s">
        <v>293</v>
      </c>
      <c r="C95" s="13"/>
      <c r="D95" s="8">
        <v>-509077.06</v>
      </c>
      <c r="E95" s="8"/>
      <c r="F95" s="14">
        <f>IF(D$12=0,0,D95/D$12)</f>
        <v>-1101.8983982683978</v>
      </c>
      <c r="G95" s="8"/>
      <c r="H95" s="8">
        <v>-47676</v>
      </c>
      <c r="I95" s="8"/>
      <c r="J95" s="14">
        <f>IF(H$12=0,0,H95/H$12)</f>
        <v>-2.1483417447728912</v>
      </c>
      <c r="K95" s="8"/>
      <c r="L95" s="8">
        <f>+D95-H95</f>
        <v>-461401.06</v>
      </c>
      <c r="M95" s="8"/>
      <c r="N95" s="14">
        <f>IF(H95=0,0,L95/H95)</f>
        <v>9.6778475543250266</v>
      </c>
      <c r="O95" s="13"/>
      <c r="P95" s="8">
        <v>-257765.5</v>
      </c>
      <c r="Q95" s="8"/>
      <c r="R95" s="14">
        <f>IF(P$12=0,0,P95/P$12)</f>
        <v>-0.1152887249822577</v>
      </c>
      <c r="S95" s="8"/>
      <c r="T95" s="8">
        <v>541063</v>
      </c>
      <c r="U95" s="8"/>
      <c r="V95" s="14">
        <f>IF(T$12=0,0,T95/T$12)</f>
        <v>0.11339376524271719</v>
      </c>
      <c r="W95" s="8"/>
      <c r="X95" s="8">
        <f>+P95-T95</f>
        <v>-798828.5</v>
      </c>
      <c r="Y95" s="8"/>
      <c r="Z95" s="14">
        <f>IF(T95=0,0,X95/T95)</f>
        <v>-1.4764057050657686</v>
      </c>
    </row>
    <row r="96" spans="1:26" ht="15" customHeight="1" x14ac:dyDescent="0.3">
      <c r="A96" s="12"/>
      <c r="B96" s="13"/>
      <c r="C96" s="13"/>
      <c r="D96" s="4"/>
      <c r="E96" s="4"/>
      <c r="F96" s="10"/>
      <c r="G96" s="4"/>
      <c r="H96" s="4"/>
      <c r="I96" s="4"/>
      <c r="J96" s="10"/>
      <c r="K96" s="4"/>
      <c r="L96" s="4"/>
      <c r="M96" s="4"/>
      <c r="N96" s="10"/>
      <c r="O96" s="13"/>
      <c r="P96" s="4"/>
      <c r="Q96" s="4"/>
      <c r="R96" s="10"/>
      <c r="S96" s="4"/>
      <c r="T96" s="4"/>
      <c r="U96" s="4"/>
      <c r="V96" s="10"/>
      <c r="W96" s="4"/>
      <c r="X96" s="4"/>
      <c r="Y96" s="4"/>
      <c r="Z96" s="10"/>
    </row>
    <row r="97" spans="1:26" s="63" customFormat="1" ht="15" customHeight="1" x14ac:dyDescent="0.3">
      <c r="A97" s="13"/>
      <c r="B97" s="27" t="s">
        <v>294</v>
      </c>
      <c r="C97" s="27"/>
      <c r="D97" s="30">
        <f>+D93-D95</f>
        <v>344097.66</v>
      </c>
      <c r="E97" s="15"/>
      <c r="F97" s="35">
        <f>IF(D$12=0,0,D97/D$12)</f>
        <v>744.80012987012958</v>
      </c>
      <c r="G97" s="15"/>
      <c r="H97" s="30">
        <f>+H93-H95</f>
        <v>3499.0364089602808</v>
      </c>
      <c r="I97" s="15"/>
      <c r="J97" s="35">
        <f>IF(H$12=0,0,H97/H$12)</f>
        <v>0.15767107105985403</v>
      </c>
      <c r="K97" s="17"/>
      <c r="L97" s="30">
        <f>D97-H97</f>
        <v>340598.62359103968</v>
      </c>
      <c r="M97" s="17"/>
      <c r="N97" s="35">
        <f>IF(H97=0,0,L97/H97)</f>
        <v>97.340691488330833</v>
      </c>
      <c r="O97" s="28"/>
      <c r="P97" s="30">
        <f>+P93-P95</f>
        <v>499761.50999999937</v>
      </c>
      <c r="Q97" s="15"/>
      <c r="R97" s="35">
        <f>IF(P$12=0,0,P97/P$12)</f>
        <v>0.22352435559882047</v>
      </c>
      <c r="S97" s="15"/>
      <c r="T97" s="30">
        <f>+T93-T95</f>
        <v>500252.84730708285</v>
      </c>
      <c r="U97" s="15"/>
      <c r="V97" s="35">
        <f>IF(T$12=0,0,T97/T$12)</f>
        <v>0.10484094075835937</v>
      </c>
      <c r="W97" s="17"/>
      <c r="X97" s="30">
        <f>P97-T97</f>
        <v>-491.33730708347866</v>
      </c>
      <c r="Y97" s="17"/>
      <c r="Z97" s="35">
        <f>IF(T97=0,0,X97/T97)</f>
        <v>-9.8217793207655384E-4</v>
      </c>
    </row>
    <row r="98" spans="1:26" ht="15" customHeight="1" x14ac:dyDescent="0.3">
      <c r="A98" s="12"/>
      <c r="B98" s="12"/>
      <c r="C98" s="12"/>
      <c r="D98" s="4"/>
      <c r="E98" s="4"/>
      <c r="F98" s="10"/>
      <c r="G98" s="4"/>
      <c r="H98" s="4"/>
      <c r="I98" s="4"/>
      <c r="J98" s="10"/>
      <c r="K98" s="4"/>
      <c r="L98" s="4"/>
      <c r="M98" s="4"/>
      <c r="N98" s="10"/>
      <c r="P98" s="4"/>
      <c r="Q98" s="4"/>
      <c r="R98" s="10"/>
      <c r="S98" s="4"/>
      <c r="T98" s="4"/>
      <c r="U98" s="4"/>
      <c r="V98" s="10"/>
      <c r="W98" s="4"/>
      <c r="X98" s="4"/>
      <c r="Y98" s="4"/>
      <c r="Z98" s="10"/>
    </row>
    <row r="99" spans="1:26" ht="15" customHeight="1" x14ac:dyDescent="0.3">
      <c r="A99" s="12"/>
      <c r="B99" s="12"/>
      <c r="C99" s="12"/>
      <c r="D99" s="4"/>
      <c r="E99" s="4"/>
      <c r="F99" s="10"/>
      <c r="G99" s="4"/>
      <c r="H99" s="4"/>
      <c r="I99" s="4"/>
      <c r="J99" s="10"/>
      <c r="K99" s="4"/>
      <c r="L99" s="4"/>
      <c r="M99" s="4"/>
      <c r="N99" s="10"/>
      <c r="P99" s="4"/>
      <c r="Q99" s="4"/>
      <c r="R99" s="10"/>
      <c r="S99" s="4"/>
      <c r="T99" s="4"/>
      <c r="U99" s="4"/>
      <c r="V99" s="10"/>
      <c r="W99" s="4"/>
      <c r="X99" s="4"/>
      <c r="Y99" s="4"/>
      <c r="Z99" s="10"/>
    </row>
    <row r="100" spans="1:26" s="63" customFormat="1" ht="15" customHeight="1" x14ac:dyDescent="0.3">
      <c r="A100" s="13"/>
      <c r="B100" s="27" t="s">
        <v>297</v>
      </c>
      <c r="C100" s="27"/>
      <c r="D100" s="33">
        <f>SUM(D97:D99)</f>
        <v>344097.66</v>
      </c>
      <c r="E100" s="15"/>
      <c r="F100" s="31">
        <f>IF(D$12=0,0,D100/D$12)</f>
        <v>744.80012987012958</v>
      </c>
      <c r="G100" s="15"/>
      <c r="H100" s="33">
        <f>SUM(H97:H99)</f>
        <v>3499.0364089602808</v>
      </c>
      <c r="I100" s="15"/>
      <c r="J100" s="31">
        <f>IF(H$12=0,0,H100/H$12)</f>
        <v>0.15767107105985403</v>
      </c>
      <c r="K100" s="17"/>
      <c r="L100" s="33">
        <f>+D100-H100</f>
        <v>340598.62359103968</v>
      </c>
      <c r="M100" s="17"/>
      <c r="N100" s="31">
        <f>IF(H100=0,0,L100/H100)</f>
        <v>97.340691488330833</v>
      </c>
      <c r="O100" s="28"/>
      <c r="P100" s="33">
        <f>SUM(P97:P99)</f>
        <v>499761.50999999937</v>
      </c>
      <c r="Q100" s="15"/>
      <c r="R100" s="31">
        <f>IF(P$12=0,0,P100/P$12)</f>
        <v>0.22352435559882047</v>
      </c>
      <c r="S100" s="15"/>
      <c r="T100" s="33">
        <f>SUM(T97:T99)</f>
        <v>500252.84730708285</v>
      </c>
      <c r="U100" s="15"/>
      <c r="V100" s="31">
        <f>IF(T$12=0,0,T100/T$12)</f>
        <v>0.10484094075835937</v>
      </c>
      <c r="W100" s="17"/>
      <c r="X100" s="33">
        <f>+P100-T100</f>
        <v>-491.33730708347866</v>
      </c>
      <c r="Y100" s="17"/>
      <c r="Z100" s="31">
        <f>IF(T100=0,0,X100/T100)</f>
        <v>-9.8217793207655384E-4</v>
      </c>
    </row>
    <row r="101" spans="1:26" ht="15" customHeight="1" x14ac:dyDescent="0.3">
      <c r="A101" s="12"/>
      <c r="C101" s="12"/>
      <c r="D101" s="19"/>
      <c r="E101" s="19"/>
      <c r="G101" s="19"/>
      <c r="H101" s="19"/>
      <c r="I101" s="19"/>
      <c r="J101" s="41"/>
      <c r="K101" s="19"/>
      <c r="L101" s="19"/>
      <c r="M101" s="19"/>
      <c r="P101" s="19"/>
      <c r="Q101" s="19"/>
      <c r="R101" s="41"/>
      <c r="S101" s="19"/>
      <c r="T101" s="19"/>
      <c r="U101" s="19"/>
      <c r="V101" s="41"/>
      <c r="W101" s="19"/>
      <c r="X101" s="19"/>
    </row>
    <row r="102" spans="1:26" ht="15" customHeight="1" x14ac:dyDescent="0.3">
      <c r="A102" s="12"/>
      <c r="B102" s="50">
        <v>44767.799523993053</v>
      </c>
      <c r="D102" s="19"/>
      <c r="E102" s="19"/>
      <c r="G102" s="19"/>
      <c r="H102" s="19"/>
      <c r="I102" s="19"/>
      <c r="J102" s="41"/>
      <c r="K102" s="19"/>
      <c r="L102" s="19"/>
      <c r="M102" s="19"/>
      <c r="P102" s="19"/>
      <c r="Q102" s="19"/>
      <c r="R102" s="41"/>
      <c r="S102" s="19"/>
      <c r="T102" s="19"/>
      <c r="U102" s="19"/>
      <c r="V102" s="41"/>
      <c r="W102" s="19"/>
      <c r="X102" s="19"/>
    </row>
    <row r="103" spans="1:26" ht="15" customHeight="1" x14ac:dyDescent="0.3">
      <c r="A103" s="12"/>
      <c r="B103" s="57" t="s">
        <v>298</v>
      </c>
      <c r="D103" s="19"/>
      <c r="E103" s="19"/>
      <c r="G103" s="19"/>
      <c r="H103" s="19"/>
      <c r="I103" s="19"/>
      <c r="J103" s="41"/>
      <c r="K103" s="19"/>
      <c r="L103" s="19"/>
      <c r="M103" s="19"/>
      <c r="P103" s="19"/>
      <c r="Q103" s="19"/>
      <c r="R103" s="41"/>
      <c r="S103" s="19"/>
      <c r="T103" s="19"/>
      <c r="U103" s="19"/>
      <c r="V103" s="41"/>
      <c r="W103" s="19"/>
      <c r="X103" s="19"/>
    </row>
    <row r="104" spans="1:26" ht="15" customHeight="1" x14ac:dyDescent="0.3">
      <c r="A104" s="12"/>
      <c r="B104" s="51"/>
      <c r="D104" s="19"/>
      <c r="E104" s="19"/>
      <c r="G104" s="19"/>
      <c r="H104" s="19"/>
      <c r="I104" s="19"/>
      <c r="J104" s="41"/>
      <c r="K104" s="19"/>
      <c r="L104" s="19"/>
      <c r="M104" s="19"/>
      <c r="P104" s="19"/>
      <c r="Q104" s="19"/>
      <c r="R104" s="41"/>
      <c r="S104" s="19"/>
      <c r="T104" s="19"/>
      <c r="U104" s="19"/>
      <c r="V104" s="41"/>
      <c r="W104" s="19"/>
      <c r="X104" s="19"/>
    </row>
    <row r="105" spans="1:26" ht="15" customHeight="1" x14ac:dyDescent="0.3">
      <c r="D105" s="19"/>
      <c r="E105" s="19"/>
      <c r="G105" s="19"/>
      <c r="H105" s="19"/>
      <c r="I105" s="19"/>
      <c r="J105" s="41"/>
      <c r="K105" s="19"/>
      <c r="L105" s="19"/>
      <c r="M105" s="19"/>
      <c r="P105" s="19"/>
      <c r="Q105" s="19"/>
      <c r="R105" s="41"/>
      <c r="S105" s="19"/>
      <c r="T105" s="19"/>
      <c r="U105" s="19"/>
      <c r="V105" s="41"/>
      <c r="W105" s="19"/>
      <c r="X105" s="19"/>
    </row>
  </sheetData>
  <pageMargins left="0.25" right="0.25" top="0.75" bottom="0.75" header="0.3" footer="0.3"/>
  <pageSetup scale="55" orientation="landscape" r:id="rId1"/>
  <headerFooter>
    <oddHeader>&amp;RPre-Audit</oddHeader>
    <oddFooter>&amp;L&amp;C&amp;R</oddFooter>
    <evenHeader>&amp;L&amp;C&amp;R</evenHeader>
    <evenFooter>&amp;L&amp;C&amp;R</even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6FEA54-4348-58A2-232C-789D7B7A5DE5}">
  <sheetPr>
    <tabColor rgb="FF92D050"/>
    <outlinePr summaryBelow="0" summaryRight="0"/>
  </sheetPr>
  <dimension ref="A2:Z105"/>
  <sheetViews>
    <sheetView showGridLines="0" defaultGridColor="0" colorId="8" zoomScale="80" workbookViewId="0">
      <pane xSplit="3" ySplit="10" topLeftCell="D11" activePane="bottomRight" state="frozen"/>
      <selection activeCell="D78" sqref="D78"/>
      <selection pane="topRight" activeCell="D78" sqref="D78"/>
      <selection pane="bottomLeft" activeCell="D78" sqref="D78"/>
      <selection pane="bottomRight" activeCell="D78" sqref="D78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3" t="s">
        <v>276</v>
      </c>
    </row>
    <row r="3" spans="1:26" ht="15" customHeight="1" x14ac:dyDescent="0.3">
      <c r="D3" s="53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3" t="str">
        <f>CONCATENATE("Period ",RIGHT(202212,2),", ",2022)</f>
        <v>Period 12,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5"/>
      <c r="D5" s="60">
        <v>44742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5"/>
      <c r="B6" s="47"/>
      <c r="C6" s="47"/>
      <c r="D6" s="25" t="str">
        <f>CONCATENATE("Department ","311"," - ","Textbooks")</f>
        <v>Department 311 - Textbooks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4"/>
    </row>
    <row r="8" spans="1:26" ht="15" customHeight="1" x14ac:dyDescent="0.3">
      <c r="B8" s="54"/>
    </row>
    <row r="9" spans="1:26" ht="15" customHeight="1" x14ac:dyDescent="0.3">
      <c r="B9" s="12"/>
      <c r="C9" s="12"/>
      <c r="D9" s="16" t="s">
        <v>279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280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ht="15" customHeight="1" x14ac:dyDescent="0.3">
      <c r="A10" s="13"/>
      <c r="B10" s="52"/>
      <c r="C10" s="13"/>
      <c r="D10" s="40" t="s">
        <v>281</v>
      </c>
      <c r="E10" s="32"/>
      <c r="F10" s="39" t="s">
        <v>282</v>
      </c>
      <c r="G10" s="32"/>
      <c r="H10" s="45" t="s">
        <v>283</v>
      </c>
      <c r="I10" s="32"/>
      <c r="J10" s="42" t="s">
        <v>284</v>
      </c>
      <c r="K10" s="13"/>
      <c r="L10" s="40" t="s">
        <v>285</v>
      </c>
      <c r="M10" s="13"/>
      <c r="N10" s="39" t="s">
        <v>286</v>
      </c>
      <c r="O10" s="13"/>
      <c r="P10" s="55" t="s">
        <v>281</v>
      </c>
      <c r="Q10" s="32"/>
      <c r="R10" s="39" t="s">
        <v>282</v>
      </c>
      <c r="S10" s="32"/>
      <c r="T10" s="45" t="s">
        <v>283</v>
      </c>
      <c r="U10" s="32"/>
      <c r="V10" s="42" t="s">
        <v>284</v>
      </c>
      <c r="W10" s="13"/>
      <c r="X10" s="40" t="s">
        <v>285</v>
      </c>
      <c r="Y10" s="13"/>
      <c r="Z10" s="39" t="s">
        <v>286</v>
      </c>
    </row>
    <row r="11" spans="1:26" ht="16.5" customHeight="1" x14ac:dyDescent="0.3">
      <c r="A11" s="12"/>
      <c r="B11" s="58"/>
      <c r="C11" s="12"/>
      <c r="D11" s="12"/>
      <c r="E11" s="12"/>
      <c r="F11" s="10"/>
      <c r="G11" s="12"/>
      <c r="H11" s="12"/>
      <c r="I11" s="12"/>
      <c r="J11" s="43"/>
      <c r="K11" s="12"/>
      <c r="L11" s="12"/>
      <c r="M11" s="12"/>
      <c r="N11" s="10"/>
      <c r="P11" s="12"/>
      <c r="Q11" s="12"/>
      <c r="R11" s="10"/>
      <c r="S11" s="12"/>
      <c r="T11" s="12"/>
      <c r="U11" s="12"/>
      <c r="V11" s="43"/>
      <c r="W11" s="12"/>
      <c r="X11" s="12"/>
      <c r="Y11" s="12"/>
      <c r="Z11" s="10"/>
    </row>
    <row r="12" spans="1:26" s="63" customFormat="1" ht="15" customHeight="1" collapsed="1" x14ac:dyDescent="0.3">
      <c r="A12" s="13"/>
      <c r="B12" s="28" t="s">
        <v>287</v>
      </c>
      <c r="C12" s="13"/>
      <c r="D12" s="8">
        <f>SUM(OSRRefD13x_0)</f>
        <v>13433.02</v>
      </c>
      <c r="E12" s="8"/>
      <c r="F12" s="14"/>
      <c r="G12" s="8"/>
      <c r="H12" s="8">
        <f>SUM(OSRRefH13x_0)</f>
        <v>25993</v>
      </c>
      <c r="I12" s="8"/>
      <c r="J12" s="14"/>
      <c r="K12" s="8"/>
      <c r="L12" s="8">
        <f t="shared" ref="L12:L17" si="0">+D12-H12</f>
        <v>-12559.98</v>
      </c>
      <c r="M12" s="8"/>
      <c r="N12" s="14">
        <f t="shared" ref="N12:N17" si="1">IF(H12=0,0,L12/H12)</f>
        <v>-0.48320624783595584</v>
      </c>
      <c r="O12" s="13"/>
      <c r="P12" s="8">
        <f>SUM(OSRRefP13x_0)</f>
        <v>1803927.22</v>
      </c>
      <c r="Q12" s="8"/>
      <c r="R12" s="14"/>
      <c r="S12" s="8"/>
      <c r="T12" s="8">
        <f>SUM(OSRRefT13x_0)</f>
        <v>3235148</v>
      </c>
      <c r="U12" s="8"/>
      <c r="V12" s="14"/>
      <c r="W12" s="8"/>
      <c r="X12" s="8">
        <f t="shared" ref="X12:X17" si="2">+P12-T12</f>
        <v>-1431220.78</v>
      </c>
      <c r="Y12" s="8"/>
      <c r="Z12" s="14">
        <f t="shared" ref="Z12:Z17" si="3">IF(T12=0,0,X12/T12)</f>
        <v>-0.44239731227133966</v>
      </c>
    </row>
    <row r="13" spans="1:26" s="70" customFormat="1" ht="15" hidden="1" customHeight="1" outlineLevel="1" x14ac:dyDescent="0.3">
      <c r="A13" s="48"/>
      <c r="B13" s="9" t="str">
        <f>CONCATENATE("          ","4000"," - ","TAXABLE SALES")</f>
        <v xml:space="preserve">          4000 - TAXABLE SALES</v>
      </c>
      <c r="C13" s="9"/>
      <c r="D13" s="3">
        <f>--11269.69</f>
        <v>11269.69</v>
      </c>
      <c r="E13" s="3"/>
      <c r="F13" s="26"/>
      <c r="G13" s="3"/>
      <c r="H13" s="3">
        <v>25993</v>
      </c>
      <c r="I13" s="3"/>
      <c r="J13" s="26"/>
      <c r="K13" s="3"/>
      <c r="L13" s="3">
        <f t="shared" si="0"/>
        <v>-14723.31</v>
      </c>
      <c r="M13" s="3"/>
      <c r="N13" s="26">
        <f t="shared" si="1"/>
        <v>-0.56643365521486555</v>
      </c>
      <c r="O13" s="9"/>
      <c r="P13" s="3">
        <f>--1429219.06</f>
        <v>1429219.06</v>
      </c>
      <c r="Q13" s="3"/>
      <c r="R13" s="26"/>
      <c r="S13" s="3"/>
      <c r="T13" s="3">
        <v>3235148</v>
      </c>
      <c r="U13" s="3"/>
      <c r="V13" s="26"/>
      <c r="W13" s="3"/>
      <c r="X13" s="3">
        <f t="shared" si="2"/>
        <v>-1805928.94</v>
      </c>
      <c r="Y13" s="3"/>
      <c r="Z13" s="26">
        <f t="shared" si="3"/>
        <v>-0.55822142912781736</v>
      </c>
    </row>
    <row r="14" spans="1:26" s="70" customFormat="1" ht="15" hidden="1" customHeight="1" outlineLevel="1" x14ac:dyDescent="0.3">
      <c r="A14" s="48"/>
      <c r="B14" s="9" t="str">
        <f>CONCATENATE("          ","4100"," - ","NON-TAXABLE SALES")</f>
        <v xml:space="preserve">          4100 - NON-TAXABLE SALES</v>
      </c>
      <c r="C14" s="9"/>
      <c r="D14" s="3">
        <f>--4940</f>
        <v>4940</v>
      </c>
      <c r="E14" s="3"/>
      <c r="F14" s="26"/>
      <c r="G14" s="3"/>
      <c r="H14" s="3"/>
      <c r="I14" s="3"/>
      <c r="J14" s="26"/>
      <c r="K14" s="3"/>
      <c r="L14" s="3">
        <f t="shared" si="0"/>
        <v>4940</v>
      </c>
      <c r="M14" s="3"/>
      <c r="N14" s="26">
        <f t="shared" si="1"/>
        <v>0</v>
      </c>
      <c r="O14" s="9"/>
      <c r="P14" s="3">
        <f>--482325.27</f>
        <v>482325.27</v>
      </c>
      <c r="Q14" s="3"/>
      <c r="R14" s="26"/>
      <c r="S14" s="3"/>
      <c r="T14" s="3">
        <v>0</v>
      </c>
      <c r="U14" s="3"/>
      <c r="V14" s="26"/>
      <c r="W14" s="3"/>
      <c r="X14" s="3">
        <f t="shared" si="2"/>
        <v>482325.27</v>
      </c>
      <c r="Y14" s="3"/>
      <c r="Z14" s="26">
        <f t="shared" si="3"/>
        <v>0</v>
      </c>
    </row>
    <row r="15" spans="1:26" s="70" customFormat="1" ht="15" hidden="1" customHeight="1" outlineLevel="1" x14ac:dyDescent="0.3">
      <c r="A15" s="48"/>
      <c r="B15" s="9" t="str">
        <f>CONCATENATE("          ","4200"," - ","TAXABLE RETURNS")</f>
        <v xml:space="preserve">          4200 - TAXABLE RETURNS</v>
      </c>
      <c r="C15" s="9"/>
      <c r="D15" s="3">
        <f>-1412.75</f>
        <v>-1412.75</v>
      </c>
      <c r="E15" s="3"/>
      <c r="F15" s="26"/>
      <c r="G15" s="3"/>
      <c r="H15" s="3"/>
      <c r="I15" s="3"/>
      <c r="J15" s="26"/>
      <c r="K15" s="3"/>
      <c r="L15" s="3">
        <f t="shared" si="0"/>
        <v>-1412.75</v>
      </c>
      <c r="M15" s="3"/>
      <c r="N15" s="26">
        <f t="shared" si="1"/>
        <v>0</v>
      </c>
      <c r="O15" s="9"/>
      <c r="P15" s="3">
        <f>-60219.77</f>
        <v>-60219.77</v>
      </c>
      <c r="Q15" s="3"/>
      <c r="R15" s="26"/>
      <c r="S15" s="3"/>
      <c r="T15" s="3"/>
      <c r="U15" s="3"/>
      <c r="V15" s="26"/>
      <c r="W15" s="3"/>
      <c r="X15" s="3">
        <f t="shared" si="2"/>
        <v>-60219.77</v>
      </c>
      <c r="Y15" s="3"/>
      <c r="Z15" s="26">
        <f t="shared" si="3"/>
        <v>0</v>
      </c>
    </row>
    <row r="16" spans="1:26" s="70" customFormat="1" ht="15" hidden="1" customHeight="1" outlineLevel="1" x14ac:dyDescent="0.3">
      <c r="A16" s="48"/>
      <c r="B16" s="9" t="str">
        <f>CONCATENATE("          ","4300"," - ","NON-TAX RETURNS")</f>
        <v xml:space="preserve">          4300 - NON-TAX RETURNS</v>
      </c>
      <c r="C16" s="9"/>
      <c r="D16" s="3">
        <f>-1149.62</f>
        <v>-1149.6199999999999</v>
      </c>
      <c r="E16" s="3"/>
      <c r="F16" s="26"/>
      <c r="G16" s="3"/>
      <c r="H16" s="3"/>
      <c r="I16" s="3"/>
      <c r="J16" s="26"/>
      <c r="K16" s="3"/>
      <c r="L16" s="3">
        <f t="shared" si="0"/>
        <v>-1149.6199999999999</v>
      </c>
      <c r="M16" s="3"/>
      <c r="N16" s="26">
        <f t="shared" si="1"/>
        <v>0</v>
      </c>
      <c r="O16" s="9"/>
      <c r="P16" s="3">
        <f>-39423.99</f>
        <v>-39423.99</v>
      </c>
      <c r="Q16" s="3"/>
      <c r="R16" s="26"/>
      <c r="S16" s="3"/>
      <c r="T16" s="3"/>
      <c r="U16" s="3"/>
      <c r="V16" s="26"/>
      <c r="W16" s="3"/>
      <c r="X16" s="3">
        <f t="shared" si="2"/>
        <v>-39423.99</v>
      </c>
      <c r="Y16" s="3"/>
      <c r="Z16" s="26">
        <f t="shared" si="3"/>
        <v>0</v>
      </c>
    </row>
    <row r="17" spans="1:26" s="70" customFormat="1" ht="15" hidden="1" customHeight="1" outlineLevel="1" x14ac:dyDescent="0.3">
      <c r="A17" s="48"/>
      <c r="B17" s="9" t="str">
        <f>CONCATENATE("          ","4500"," - ","SALES DISCOUNT")</f>
        <v xml:space="preserve">          4500 - SALES DISCOUNT</v>
      </c>
      <c r="C17" s="9"/>
      <c r="D17" s="3">
        <f>-214.3</f>
        <v>-214.3</v>
      </c>
      <c r="E17" s="3"/>
      <c r="F17" s="26"/>
      <c r="G17" s="3"/>
      <c r="H17" s="3"/>
      <c r="I17" s="3"/>
      <c r="J17" s="26"/>
      <c r="K17" s="3"/>
      <c r="L17" s="3">
        <f t="shared" si="0"/>
        <v>-214.3</v>
      </c>
      <c r="M17" s="3"/>
      <c r="N17" s="26">
        <f t="shared" si="1"/>
        <v>0</v>
      </c>
      <c r="O17" s="9"/>
      <c r="P17" s="3">
        <f>-7973.35</f>
        <v>-7973.35</v>
      </c>
      <c r="Q17" s="3"/>
      <c r="R17" s="26"/>
      <c r="S17" s="3"/>
      <c r="T17" s="3"/>
      <c r="U17" s="3"/>
      <c r="V17" s="26"/>
      <c r="W17" s="3"/>
      <c r="X17" s="3">
        <f t="shared" si="2"/>
        <v>-7973.35</v>
      </c>
      <c r="Y17" s="3"/>
      <c r="Z17" s="26">
        <f t="shared" si="3"/>
        <v>0</v>
      </c>
    </row>
    <row r="18" spans="1:26" ht="15" customHeight="1" x14ac:dyDescent="0.3">
      <c r="A18" s="12"/>
      <c r="B18" s="13"/>
      <c r="C18" s="12"/>
      <c r="D18" s="4"/>
      <c r="E18" s="4"/>
      <c r="F18" s="10"/>
      <c r="G18" s="4"/>
      <c r="H18" s="4"/>
      <c r="I18" s="4"/>
      <c r="J18" s="10"/>
      <c r="K18" s="4"/>
      <c r="L18" s="4"/>
      <c r="M18" s="4"/>
      <c r="N18" s="10"/>
      <c r="P18" s="4"/>
      <c r="Q18" s="4"/>
      <c r="R18" s="10"/>
      <c r="S18" s="4"/>
      <c r="T18" s="4"/>
      <c r="U18" s="4"/>
      <c r="V18" s="10"/>
      <c r="W18" s="4"/>
      <c r="X18" s="4"/>
      <c r="Y18" s="4"/>
      <c r="Z18" s="10"/>
    </row>
    <row r="19" spans="1:26" s="63" customFormat="1" ht="15" customHeight="1" collapsed="1" x14ac:dyDescent="0.3">
      <c r="A19" s="13"/>
      <c r="B19" s="28" t="s">
        <v>288</v>
      </c>
      <c r="C19" s="13"/>
      <c r="D19" s="8">
        <f>SUM(OSRRefD16x_0)</f>
        <v>126652.18999999999</v>
      </c>
      <c r="E19" s="8"/>
      <c r="F19" s="14">
        <f t="shared" ref="F19:F29" si="4">IF(D$12=0,0,D19/D$12)</f>
        <v>9.4284226480716899</v>
      </c>
      <c r="G19" s="8"/>
      <c r="H19" s="8">
        <f>SUM(OSRRefH16x_0)</f>
        <v>18780</v>
      </c>
      <c r="I19" s="8"/>
      <c r="J19" s="14">
        <f t="shared" ref="J19:J29" si="5">IF(H$12=0,0,H19/H$12)</f>
        <v>0.72250221213403609</v>
      </c>
      <c r="K19" s="8"/>
      <c r="L19" s="8">
        <f t="shared" ref="L19:L29" si="6">+D19-H19</f>
        <v>107872.18999999999</v>
      </c>
      <c r="M19" s="8"/>
      <c r="N19" s="14">
        <f t="shared" ref="N19:N29" si="7">IF(H19=0,0,L19/H19)</f>
        <v>5.7439930777422781</v>
      </c>
      <c r="O19" s="13"/>
      <c r="P19" s="8">
        <f>SUM(OSRRefP16x_0)</f>
        <v>1526947.3</v>
      </c>
      <c r="Q19" s="8"/>
      <c r="R19" s="14">
        <f t="shared" ref="R19:R29" si="8">IF(P$12=0,0,P19/P$12)</f>
        <v>0.84645726450094816</v>
      </c>
      <c r="S19" s="8"/>
      <c r="T19" s="8">
        <f>SUM(OSRRefT16x_0)</f>
        <v>2337393</v>
      </c>
      <c r="U19" s="8"/>
      <c r="V19" s="14">
        <f t="shared" ref="V19:V29" si="9">IF(T$12=0,0,T19/T$12)</f>
        <v>0.72249955798003673</v>
      </c>
      <c r="W19" s="8"/>
      <c r="X19" s="8">
        <f t="shared" ref="X19:X29" si="10">+P19-T19</f>
        <v>-810445.7</v>
      </c>
      <c r="Y19" s="8"/>
      <c r="Z19" s="14">
        <f t="shared" ref="Z19:Z29" si="11">IF(T19=0,0,X19/T19)</f>
        <v>-0.34673060970063657</v>
      </c>
    </row>
    <row r="20" spans="1:26" s="70" customFormat="1" ht="15" hidden="1" customHeight="1" outlineLevel="1" x14ac:dyDescent="0.3">
      <c r="A20" s="48"/>
      <c r="B20" s="9" t="str">
        <f>CONCATENATE("          ","5000"," - ","PURCHASES @ COST")</f>
        <v xml:space="preserve">          5000 - PURCHASES @ COST</v>
      </c>
      <c r="C20" s="9"/>
      <c r="D20" s="3">
        <v>114839.65</v>
      </c>
      <c r="E20" s="3"/>
      <c r="F20" s="26">
        <f t="shared" si="4"/>
        <v>8.54905672737776</v>
      </c>
      <c r="G20" s="3"/>
      <c r="H20" s="3">
        <v>18780</v>
      </c>
      <c r="I20" s="3"/>
      <c r="J20" s="26">
        <f t="shared" si="5"/>
        <v>0.72250221213403609</v>
      </c>
      <c r="K20" s="3"/>
      <c r="L20" s="3">
        <f t="shared" si="6"/>
        <v>96059.65</v>
      </c>
      <c r="M20" s="3"/>
      <c r="N20" s="26">
        <f t="shared" si="7"/>
        <v>5.1149973375931843</v>
      </c>
      <c r="O20" s="9"/>
      <c r="P20" s="3">
        <v>1322806.19</v>
      </c>
      <c r="Q20" s="3"/>
      <c r="R20" s="26">
        <f t="shared" si="8"/>
        <v>0.73329243848318892</v>
      </c>
      <c r="S20" s="3"/>
      <c r="T20" s="3">
        <v>2337393</v>
      </c>
      <c r="U20" s="3"/>
      <c r="V20" s="26">
        <f t="shared" si="9"/>
        <v>0.72249955798003673</v>
      </c>
      <c r="W20" s="3"/>
      <c r="X20" s="3">
        <f t="shared" si="10"/>
        <v>-1014586.81</v>
      </c>
      <c r="Y20" s="3"/>
      <c r="Z20" s="26">
        <f t="shared" si="11"/>
        <v>-0.43406770277826623</v>
      </c>
    </row>
    <row r="21" spans="1:26" s="70" customFormat="1" ht="15" hidden="1" customHeight="1" outlineLevel="1" x14ac:dyDescent="0.3">
      <c r="A21" s="48"/>
      <c r="B21" s="9" t="str">
        <f>CONCATENATE("          ","5001"," - ","PURCHASES @ COST-NEW TEXT")</f>
        <v xml:space="preserve">          5001 - PURCHASES @ COST-NEW TEXT</v>
      </c>
      <c r="C21" s="9"/>
      <c r="D21" s="3"/>
      <c r="E21" s="3"/>
      <c r="F21" s="26">
        <f t="shared" si="4"/>
        <v>0</v>
      </c>
      <c r="G21" s="3"/>
      <c r="H21" s="3"/>
      <c r="I21" s="3"/>
      <c r="J21" s="26">
        <f t="shared" si="5"/>
        <v>0</v>
      </c>
      <c r="K21" s="3"/>
      <c r="L21" s="3">
        <f t="shared" si="6"/>
        <v>0</v>
      </c>
      <c r="M21" s="3"/>
      <c r="N21" s="26">
        <f t="shared" si="7"/>
        <v>0</v>
      </c>
      <c r="O21" s="9"/>
      <c r="P21" s="3">
        <v>0</v>
      </c>
      <c r="Q21" s="3"/>
      <c r="R21" s="26">
        <f t="shared" si="8"/>
        <v>0</v>
      </c>
      <c r="S21" s="3"/>
      <c r="T21" s="3"/>
      <c r="U21" s="3"/>
      <c r="V21" s="26">
        <f t="shared" si="9"/>
        <v>0</v>
      </c>
      <c r="W21" s="3"/>
      <c r="X21" s="3">
        <f t="shared" si="10"/>
        <v>0</v>
      </c>
      <c r="Y21" s="3"/>
      <c r="Z21" s="26">
        <f t="shared" si="11"/>
        <v>0</v>
      </c>
    </row>
    <row r="22" spans="1:26" s="70" customFormat="1" ht="15" hidden="1" customHeight="1" outlineLevel="1" x14ac:dyDescent="0.3">
      <c r="A22" s="48"/>
      <c r="B22" s="9" t="str">
        <f>CONCATENATE("          ","5002"," - ","PURCHASES @ COST-USED TEXT")</f>
        <v xml:space="preserve">          5002 - PURCHASES @ COST-USED TEXT</v>
      </c>
      <c r="C22" s="9"/>
      <c r="D22" s="3"/>
      <c r="E22" s="3"/>
      <c r="F22" s="26">
        <f t="shared" si="4"/>
        <v>0</v>
      </c>
      <c r="G22" s="3"/>
      <c r="H22" s="3"/>
      <c r="I22" s="3"/>
      <c r="J22" s="26">
        <f t="shared" si="5"/>
        <v>0</v>
      </c>
      <c r="K22" s="3"/>
      <c r="L22" s="3">
        <f t="shared" si="6"/>
        <v>0</v>
      </c>
      <c r="M22" s="3"/>
      <c r="N22" s="26">
        <f t="shared" si="7"/>
        <v>0</v>
      </c>
      <c r="O22" s="9"/>
      <c r="P22" s="3">
        <v>0</v>
      </c>
      <c r="Q22" s="3"/>
      <c r="R22" s="26">
        <f t="shared" si="8"/>
        <v>0</v>
      </c>
      <c r="S22" s="3"/>
      <c r="T22" s="3"/>
      <c r="U22" s="3"/>
      <c r="V22" s="26">
        <f t="shared" si="9"/>
        <v>0</v>
      </c>
      <c r="W22" s="3"/>
      <c r="X22" s="3">
        <f t="shared" si="10"/>
        <v>0</v>
      </c>
      <c r="Y22" s="3"/>
      <c r="Z22" s="26">
        <f t="shared" si="11"/>
        <v>0</v>
      </c>
    </row>
    <row r="23" spans="1:26" s="70" customFormat="1" ht="15" hidden="1" customHeight="1" outlineLevel="1" x14ac:dyDescent="0.3">
      <c r="A23" s="48"/>
      <c r="B23" s="9" t="str">
        <f>CONCATENATE("          ","5004"," - ","PURCHASES @ COST-DIGITAL TEXT")</f>
        <v xml:space="preserve">          5004 - PURCHASES @ COST-DIGITAL TEXT</v>
      </c>
      <c r="C23" s="9"/>
      <c r="D23" s="3"/>
      <c r="E23" s="3"/>
      <c r="F23" s="26">
        <f t="shared" si="4"/>
        <v>0</v>
      </c>
      <c r="G23" s="3"/>
      <c r="H23" s="3"/>
      <c r="I23" s="3"/>
      <c r="J23" s="26">
        <f t="shared" si="5"/>
        <v>0</v>
      </c>
      <c r="K23" s="3"/>
      <c r="L23" s="3">
        <f t="shared" si="6"/>
        <v>0</v>
      </c>
      <c r="M23" s="3"/>
      <c r="N23" s="26">
        <f t="shared" si="7"/>
        <v>0</v>
      </c>
      <c r="O23" s="9"/>
      <c r="P23" s="3">
        <v>0</v>
      </c>
      <c r="Q23" s="3"/>
      <c r="R23" s="26">
        <f t="shared" si="8"/>
        <v>0</v>
      </c>
      <c r="S23" s="3"/>
      <c r="T23" s="3"/>
      <c r="U23" s="3"/>
      <c r="V23" s="26">
        <f t="shared" si="9"/>
        <v>0</v>
      </c>
      <c r="W23" s="3"/>
      <c r="X23" s="3">
        <f t="shared" si="10"/>
        <v>0</v>
      </c>
      <c r="Y23" s="3"/>
      <c r="Z23" s="26">
        <f t="shared" si="11"/>
        <v>0</v>
      </c>
    </row>
    <row r="24" spans="1:26" s="70" customFormat="1" ht="15" hidden="1" customHeight="1" outlineLevel="1" x14ac:dyDescent="0.3">
      <c r="A24" s="48"/>
      <c r="B24" s="9" t="str">
        <f>CONCATENATE("          ","5200"," - ","PURCHASES OFFSET")</f>
        <v xml:space="preserve">          5200 - PURCHASES OFFSET</v>
      </c>
      <c r="C24" s="9"/>
      <c r="D24" s="3">
        <v>-1500.2</v>
      </c>
      <c r="E24" s="3"/>
      <c r="F24" s="26">
        <f t="shared" si="4"/>
        <v>-0.11168002429833351</v>
      </c>
      <c r="G24" s="3"/>
      <c r="H24" s="3"/>
      <c r="I24" s="3"/>
      <c r="J24" s="26">
        <f t="shared" si="5"/>
        <v>0</v>
      </c>
      <c r="K24" s="3"/>
      <c r="L24" s="3">
        <f t="shared" si="6"/>
        <v>-1500.2</v>
      </c>
      <c r="M24" s="3"/>
      <c r="N24" s="26">
        <f t="shared" si="7"/>
        <v>0</v>
      </c>
      <c r="O24" s="9"/>
      <c r="P24" s="3">
        <v>-1290287.46</v>
      </c>
      <c r="Q24" s="3"/>
      <c r="R24" s="26">
        <f t="shared" si="8"/>
        <v>-0.71526580767487946</v>
      </c>
      <c r="S24" s="3"/>
      <c r="T24" s="3"/>
      <c r="U24" s="3"/>
      <c r="V24" s="26">
        <f t="shared" si="9"/>
        <v>0</v>
      </c>
      <c r="W24" s="3"/>
      <c r="X24" s="3">
        <f t="shared" si="10"/>
        <v>-1290287.46</v>
      </c>
      <c r="Y24" s="3"/>
      <c r="Z24" s="26">
        <f t="shared" si="11"/>
        <v>0</v>
      </c>
    </row>
    <row r="25" spans="1:26" s="70" customFormat="1" ht="15" hidden="1" customHeight="1" outlineLevel="1" x14ac:dyDescent="0.3">
      <c r="A25" s="48"/>
      <c r="B25" s="9" t="str">
        <f>CONCATENATE("          ","5300"," - ","COG$ OFFSET")</f>
        <v xml:space="preserve">          5300 - COG$ OFFSET</v>
      </c>
      <c r="C25" s="9"/>
      <c r="D25" s="3">
        <v>12278.45</v>
      </c>
      <c r="E25" s="3"/>
      <c r="F25" s="26">
        <f t="shared" si="4"/>
        <v>0.91404985624974877</v>
      </c>
      <c r="G25" s="3"/>
      <c r="H25" s="3"/>
      <c r="I25" s="3"/>
      <c r="J25" s="26">
        <f t="shared" si="5"/>
        <v>0</v>
      </c>
      <c r="K25" s="3"/>
      <c r="L25" s="3">
        <f t="shared" si="6"/>
        <v>12278.45</v>
      </c>
      <c r="M25" s="3"/>
      <c r="N25" s="26">
        <f t="shared" si="7"/>
        <v>0</v>
      </c>
      <c r="O25" s="9"/>
      <c r="P25" s="3">
        <v>1412686.75</v>
      </c>
      <c r="Q25" s="3"/>
      <c r="R25" s="26">
        <f t="shared" si="8"/>
        <v>0.78311737543380489</v>
      </c>
      <c r="S25" s="3"/>
      <c r="T25" s="3"/>
      <c r="U25" s="3"/>
      <c r="V25" s="26">
        <f t="shared" si="9"/>
        <v>0</v>
      </c>
      <c r="W25" s="3"/>
      <c r="X25" s="3">
        <f t="shared" si="10"/>
        <v>1412686.75</v>
      </c>
      <c r="Y25" s="3"/>
      <c r="Z25" s="26">
        <f t="shared" si="11"/>
        <v>0</v>
      </c>
    </row>
    <row r="26" spans="1:26" s="70" customFormat="1" ht="15" hidden="1" customHeight="1" outlineLevel="1" x14ac:dyDescent="0.3">
      <c r="A26" s="48"/>
      <c r="B26" s="9" t="str">
        <f>CONCATENATE("          ","5500"," - ","FREIGHT-IN")</f>
        <v xml:space="preserve">          5500 - FREIGHT-IN</v>
      </c>
      <c r="C26" s="9"/>
      <c r="D26" s="3">
        <v>1034.29</v>
      </c>
      <c r="E26" s="3"/>
      <c r="F26" s="26">
        <f t="shared" si="4"/>
        <v>7.6996088742516566E-2</v>
      </c>
      <c r="G26" s="3"/>
      <c r="H26" s="3"/>
      <c r="I26" s="3"/>
      <c r="J26" s="26">
        <f t="shared" si="5"/>
        <v>0</v>
      </c>
      <c r="K26" s="3"/>
      <c r="L26" s="3">
        <f t="shared" si="6"/>
        <v>1034.29</v>
      </c>
      <c r="M26" s="3"/>
      <c r="N26" s="26">
        <f t="shared" si="7"/>
        <v>0</v>
      </c>
      <c r="O26" s="9"/>
      <c r="P26" s="3">
        <v>81741.820000000007</v>
      </c>
      <c r="Q26" s="3"/>
      <c r="R26" s="26">
        <f t="shared" si="8"/>
        <v>4.5313258258833748E-2</v>
      </c>
      <c r="S26" s="3"/>
      <c r="T26" s="3"/>
      <c r="U26" s="3"/>
      <c r="V26" s="26">
        <f t="shared" si="9"/>
        <v>0</v>
      </c>
      <c r="W26" s="3"/>
      <c r="X26" s="3">
        <f t="shared" si="10"/>
        <v>81741.820000000007</v>
      </c>
      <c r="Y26" s="3"/>
      <c r="Z26" s="26">
        <f t="shared" si="11"/>
        <v>0</v>
      </c>
    </row>
    <row r="27" spans="1:26" s="70" customFormat="1" ht="15" hidden="1" customHeight="1" outlineLevel="1" x14ac:dyDescent="0.3">
      <c r="A27" s="48"/>
      <c r="B27" s="9" t="str">
        <f>CONCATENATE("          ","5501"," - ","FREIGHT-IN-NEW TEXT")</f>
        <v xml:space="preserve">          5501 - FREIGHT-IN-NEW TEXT</v>
      </c>
      <c r="C27" s="9"/>
      <c r="D27" s="3"/>
      <c r="E27" s="3"/>
      <c r="F27" s="26">
        <f t="shared" si="4"/>
        <v>0</v>
      </c>
      <c r="G27" s="3"/>
      <c r="H27" s="3"/>
      <c r="I27" s="3"/>
      <c r="J27" s="26">
        <f t="shared" si="5"/>
        <v>0</v>
      </c>
      <c r="K27" s="3"/>
      <c r="L27" s="3">
        <f t="shared" si="6"/>
        <v>0</v>
      </c>
      <c r="M27" s="3"/>
      <c r="N27" s="26">
        <f t="shared" si="7"/>
        <v>0</v>
      </c>
      <c r="O27" s="9"/>
      <c r="P27" s="3">
        <v>0</v>
      </c>
      <c r="Q27" s="3"/>
      <c r="R27" s="26">
        <f t="shared" si="8"/>
        <v>0</v>
      </c>
      <c r="S27" s="3"/>
      <c r="T27" s="3"/>
      <c r="U27" s="3"/>
      <c r="V27" s="26">
        <f t="shared" si="9"/>
        <v>0</v>
      </c>
      <c r="W27" s="3"/>
      <c r="X27" s="3">
        <f t="shared" si="10"/>
        <v>0</v>
      </c>
      <c r="Y27" s="3"/>
      <c r="Z27" s="26">
        <f t="shared" si="11"/>
        <v>0</v>
      </c>
    </row>
    <row r="28" spans="1:26" s="70" customFormat="1" ht="15" hidden="1" customHeight="1" outlineLevel="1" x14ac:dyDescent="0.3">
      <c r="A28" s="48"/>
      <c r="B28" s="9" t="str">
        <f>CONCATENATE("          ","5502"," - ","FREIGHT-IN-USED TEXT")</f>
        <v xml:space="preserve">          5502 - FREIGHT-IN-USED TEXT</v>
      </c>
      <c r="C28" s="9"/>
      <c r="D28" s="3"/>
      <c r="E28" s="3"/>
      <c r="F28" s="26">
        <f t="shared" si="4"/>
        <v>0</v>
      </c>
      <c r="G28" s="3"/>
      <c r="H28" s="3"/>
      <c r="I28" s="3"/>
      <c r="J28" s="26">
        <f t="shared" si="5"/>
        <v>0</v>
      </c>
      <c r="K28" s="3"/>
      <c r="L28" s="3">
        <f t="shared" si="6"/>
        <v>0</v>
      </c>
      <c r="M28" s="3"/>
      <c r="N28" s="26">
        <f t="shared" si="7"/>
        <v>0</v>
      </c>
      <c r="O28" s="9"/>
      <c r="P28" s="3">
        <v>0</v>
      </c>
      <c r="Q28" s="3"/>
      <c r="R28" s="26">
        <f t="shared" si="8"/>
        <v>0</v>
      </c>
      <c r="S28" s="3"/>
      <c r="T28" s="3"/>
      <c r="U28" s="3"/>
      <c r="V28" s="26">
        <f t="shared" si="9"/>
        <v>0</v>
      </c>
      <c r="W28" s="3"/>
      <c r="X28" s="3">
        <f t="shared" si="10"/>
        <v>0</v>
      </c>
      <c r="Y28" s="3"/>
      <c r="Z28" s="26">
        <f t="shared" si="11"/>
        <v>0</v>
      </c>
    </row>
    <row r="29" spans="1:26" s="70" customFormat="1" ht="15" hidden="1" customHeight="1" outlineLevel="1" x14ac:dyDescent="0.3">
      <c r="A29" s="48"/>
      <c r="B29" s="9" t="str">
        <f>CONCATENATE("          ","5518"," - ","FREIGHT-IN-STUDY GUIDES")</f>
        <v xml:space="preserve">          5518 - FREIGHT-IN-STUDY GUIDES</v>
      </c>
      <c r="C29" s="9"/>
      <c r="D29" s="3"/>
      <c r="E29" s="3"/>
      <c r="F29" s="26">
        <f t="shared" si="4"/>
        <v>0</v>
      </c>
      <c r="G29" s="3"/>
      <c r="H29" s="3"/>
      <c r="I29" s="3"/>
      <c r="J29" s="26">
        <f t="shared" si="5"/>
        <v>0</v>
      </c>
      <c r="K29" s="3"/>
      <c r="L29" s="3">
        <f t="shared" si="6"/>
        <v>0</v>
      </c>
      <c r="M29" s="3"/>
      <c r="N29" s="26">
        <f t="shared" si="7"/>
        <v>0</v>
      </c>
      <c r="O29" s="9"/>
      <c r="P29" s="3">
        <v>0</v>
      </c>
      <c r="Q29" s="3"/>
      <c r="R29" s="26">
        <f t="shared" si="8"/>
        <v>0</v>
      </c>
      <c r="S29" s="3"/>
      <c r="T29" s="3"/>
      <c r="U29" s="3"/>
      <c r="V29" s="26">
        <f t="shared" si="9"/>
        <v>0</v>
      </c>
      <c r="W29" s="3"/>
      <c r="X29" s="3">
        <f t="shared" si="10"/>
        <v>0</v>
      </c>
      <c r="Y29" s="3"/>
      <c r="Z29" s="26">
        <f t="shared" si="11"/>
        <v>0</v>
      </c>
    </row>
    <row r="30" spans="1:26" ht="15" customHeight="1" x14ac:dyDescent="0.3">
      <c r="A30" s="12"/>
      <c r="B30" s="13"/>
      <c r="C30" s="13"/>
      <c r="D30" s="4"/>
      <c r="E30" s="4"/>
      <c r="F30" s="10"/>
      <c r="G30" s="4"/>
      <c r="H30" s="4"/>
      <c r="I30" s="4"/>
      <c r="J30" s="10"/>
      <c r="K30" s="4"/>
      <c r="L30" s="4"/>
      <c r="M30" s="4"/>
      <c r="N30" s="10"/>
      <c r="O30" s="13"/>
      <c r="P30" s="4"/>
      <c r="Q30" s="4"/>
      <c r="R30" s="10"/>
      <c r="S30" s="4"/>
      <c r="T30" s="4"/>
      <c r="U30" s="4"/>
      <c r="V30" s="10"/>
      <c r="W30" s="4"/>
      <c r="X30" s="4"/>
      <c r="Y30" s="4"/>
      <c r="Z30" s="10"/>
    </row>
    <row r="31" spans="1:26" s="63" customFormat="1" ht="15" customHeight="1" x14ac:dyDescent="0.3">
      <c r="A31" s="13"/>
      <c r="B31" s="27" t="s">
        <v>289</v>
      </c>
      <c r="C31" s="27"/>
      <c r="D31" s="23">
        <f>D12-D19</f>
        <v>-113219.16999999998</v>
      </c>
      <c r="E31" s="15"/>
      <c r="F31" s="22">
        <f>IF(D$12=0,0,D31/D$12)</f>
        <v>-8.4284226480716899</v>
      </c>
      <c r="G31" s="15"/>
      <c r="H31" s="23">
        <f>H12-H19</f>
        <v>7213</v>
      </c>
      <c r="I31" s="15"/>
      <c r="J31" s="22">
        <f>IF(H$12=0,0,H31/H$12)</f>
        <v>0.27749778786596391</v>
      </c>
      <c r="K31" s="17"/>
      <c r="L31" s="23">
        <f>+D31-H31</f>
        <v>-120432.16999999998</v>
      </c>
      <c r="M31" s="17"/>
      <c r="N31" s="22">
        <f>IF(H31=0,0,L31/H31)</f>
        <v>-16.696543740468595</v>
      </c>
      <c r="O31" s="28"/>
      <c r="P31" s="23">
        <f>P12-P19</f>
        <v>276979.91999999993</v>
      </c>
      <c r="Q31" s="15"/>
      <c r="R31" s="22">
        <f>IF(P$12=0,0,P31/P$12)</f>
        <v>0.15354273549905187</v>
      </c>
      <c r="S31" s="15"/>
      <c r="T31" s="23">
        <f>T12-T19</f>
        <v>897755</v>
      </c>
      <c r="U31" s="15"/>
      <c r="V31" s="22">
        <f>IF(T$12=0,0,T31/T$12)</f>
        <v>0.27750044201996321</v>
      </c>
      <c r="W31" s="17"/>
      <c r="X31" s="23">
        <f>+P31-T31</f>
        <v>-620775.08000000007</v>
      </c>
      <c r="Y31" s="17"/>
      <c r="Z31" s="22">
        <f>IF(T31=0,0,X31/T31)</f>
        <v>-0.69147493469821952</v>
      </c>
    </row>
    <row r="32" spans="1:26" ht="15" customHeight="1" x14ac:dyDescent="0.3">
      <c r="A32" s="12"/>
      <c r="B32" s="13"/>
      <c r="C32" s="12"/>
      <c r="D32" s="2"/>
      <c r="E32" s="2"/>
      <c r="F32" s="5"/>
      <c r="G32" s="2"/>
      <c r="H32" s="2"/>
      <c r="I32" s="2"/>
      <c r="J32" s="5"/>
      <c r="K32" s="2"/>
      <c r="L32" s="2"/>
      <c r="M32" s="2"/>
      <c r="N32" s="5"/>
      <c r="O32" s="36"/>
      <c r="P32" s="2"/>
      <c r="Q32" s="2"/>
      <c r="R32" s="5"/>
      <c r="S32" s="2"/>
      <c r="T32" s="2"/>
      <c r="U32" s="2"/>
      <c r="V32" s="5"/>
      <c r="W32" s="2"/>
      <c r="X32" s="2"/>
      <c r="Y32" s="2"/>
      <c r="Z32" s="5"/>
    </row>
    <row r="33" spans="1:26" s="63" customFormat="1" ht="15" customHeight="1" x14ac:dyDescent="0.3">
      <c r="A33" s="13"/>
      <c r="B33" s="28" t="s">
        <v>290</v>
      </c>
      <c r="C33" s="13"/>
      <c r="D33" s="24" cm="1">
        <f t="array" ref="D33">SUM(OSRRefD22x_0)</f>
        <v>20932.970000000005</v>
      </c>
      <c r="E33" s="24"/>
      <c r="F33" s="34">
        <f t="shared" ref="F33:F64" si="12">IF(D$12=0,0,D33/D$12)</f>
        <v>1.5583219558967383</v>
      </c>
      <c r="G33" s="24"/>
      <c r="H33" s="24" cm="1">
        <f t="array" ref="H33">SUM(OSRRefH22x_0)</f>
        <v>58386.963591039719</v>
      </c>
      <c r="I33" s="24"/>
      <c r="J33" s="34">
        <f t="shared" ref="J33:J64" si="13">IF(H$12=0,0,H33/H$12)</f>
        <v>2.2462572073650491</v>
      </c>
      <c r="K33" s="8"/>
      <c r="L33" s="24">
        <f t="shared" ref="L33:L64" si="14">+D33-H33</f>
        <v>-37453.993591039718</v>
      </c>
      <c r="M33" s="8"/>
      <c r="N33" s="34">
        <f t="shared" ref="N33:N64" si="15">IF(H33=0,0,L33/H33)</f>
        <v>-0.64147870153651132</v>
      </c>
      <c r="O33" s="13"/>
      <c r="P33" s="24" cm="1">
        <f t="array" ref="P33">SUM(OSRRefP22x_0)</f>
        <v>503706.05999999994</v>
      </c>
      <c r="Q33" s="24"/>
      <c r="R33" s="34">
        <f t="shared" ref="R33:R64" si="16">IF(P$12=0,0,P33/P$12)</f>
        <v>0.27922748457667818</v>
      </c>
      <c r="S33" s="24"/>
      <c r="T33" s="24" cm="1">
        <f t="array" ref="T33">SUM(OSRRefT22x_0)</f>
        <v>653759.38269291713</v>
      </c>
      <c r="U33" s="24"/>
      <c r="V33" s="34">
        <f t="shared" ref="V33:V64" si="17">IF(T$12=0,0,T33/T$12)</f>
        <v>0.2020802086003228</v>
      </c>
      <c r="W33" s="8"/>
      <c r="X33" s="24">
        <f t="shared" ref="X33:X64" si="18">+P33-T33</f>
        <v>-150053.32269291719</v>
      </c>
      <c r="Y33" s="8"/>
      <c r="Z33" s="34">
        <f t="shared" ref="Z33:Z64" si="19">IF(T33=0,0,X33/T33)</f>
        <v>-0.22952377688994485</v>
      </c>
    </row>
    <row r="34" spans="1:26" s="69" customFormat="1" ht="15" customHeight="1" outlineLevel="1" collapsed="1" x14ac:dyDescent="0.3">
      <c r="A34" s="20"/>
      <c r="B34" s="11" t="str">
        <f>CONCATENATE("     ","*Benefits                                         ")</f>
        <v xml:space="preserve">     *Benefits                                         </v>
      </c>
      <c r="C34" s="11"/>
      <c r="D34" s="2">
        <f>SUM(OSRRefD22_0x_0)</f>
        <v>10024.030000000001</v>
      </c>
      <c r="E34" s="2"/>
      <c r="F34" s="5">
        <f t="shared" si="12"/>
        <v>0.74622311289642984</v>
      </c>
      <c r="G34" s="2"/>
      <c r="H34" s="2">
        <f>SUM(OSRRefH22_0x_0)</f>
        <v>13686.585045785916</v>
      </c>
      <c r="I34" s="2"/>
      <c r="J34" s="5">
        <f t="shared" si="13"/>
        <v>0.52654888030569447</v>
      </c>
      <c r="K34" s="2"/>
      <c r="L34" s="2">
        <f t="shared" si="14"/>
        <v>-3662.5550457859154</v>
      </c>
      <c r="M34" s="2"/>
      <c r="N34" s="5">
        <f t="shared" si="15"/>
        <v>-0.26760181838884728</v>
      </c>
      <c r="O34" s="11"/>
      <c r="P34" s="2">
        <f>SUM(OSRRefP22_0x_0)</f>
        <v>127769.86000000002</v>
      </c>
      <c r="Q34" s="2"/>
      <c r="R34" s="5">
        <f t="shared" si="16"/>
        <v>7.0828722236366062E-2</v>
      </c>
      <c r="S34" s="2"/>
      <c r="T34" s="2">
        <f>SUM(OSRRefT22_0x_0)</f>
        <v>175010.80660461698</v>
      </c>
      <c r="U34" s="2"/>
      <c r="V34" s="5">
        <f t="shared" si="17"/>
        <v>5.4096692517503674E-2</v>
      </c>
      <c r="W34" s="2"/>
      <c r="X34" s="2">
        <f t="shared" si="18"/>
        <v>-47240.946604616969</v>
      </c>
      <c r="Y34" s="2"/>
      <c r="Z34" s="5">
        <f t="shared" si="19"/>
        <v>-0.26993159748896728</v>
      </c>
    </row>
    <row r="35" spans="1:26" s="70" customFormat="1" ht="15" hidden="1" customHeight="1" outlineLevel="2" x14ac:dyDescent="0.3">
      <c r="A35" s="21"/>
      <c r="B35" s="9" t="str">
        <f>CONCATENATE("          ","6111"," - ","F.I.C.A.")</f>
        <v xml:space="preserve">          6111 - F.I.C.A.</v>
      </c>
      <c r="C35" s="9"/>
      <c r="D35" s="6">
        <v>1695.53</v>
      </c>
      <c r="E35" s="3"/>
      <c r="F35" s="7">
        <f t="shared" si="12"/>
        <v>0.12622105825793456</v>
      </c>
      <c r="G35" s="3"/>
      <c r="H35" s="6">
        <v>2120.9943225297702</v>
      </c>
      <c r="I35" s="3"/>
      <c r="J35" s="7">
        <f t="shared" si="13"/>
        <v>8.1598673586341333E-2</v>
      </c>
      <c r="K35" s="3"/>
      <c r="L35" s="6">
        <f t="shared" si="14"/>
        <v>-425.46432252977024</v>
      </c>
      <c r="M35" s="3"/>
      <c r="N35" s="7">
        <f t="shared" si="15"/>
        <v>-0.20059663432870808</v>
      </c>
      <c r="O35" s="9"/>
      <c r="P35" s="6">
        <v>25120.240000000002</v>
      </c>
      <c r="Q35" s="3"/>
      <c r="R35" s="7">
        <f t="shared" si="16"/>
        <v>1.3925306809218168E-2</v>
      </c>
      <c r="S35" s="3"/>
      <c r="T35" s="6">
        <v>27743.513858786999</v>
      </c>
      <c r="U35" s="3"/>
      <c r="V35" s="7">
        <f t="shared" si="17"/>
        <v>8.5756552277629957E-3</v>
      </c>
      <c r="W35" s="3"/>
      <c r="X35" s="6">
        <f t="shared" si="18"/>
        <v>-2623.2738587869972</v>
      </c>
      <c r="Y35" s="3"/>
      <c r="Z35" s="7">
        <f t="shared" si="19"/>
        <v>-9.4554491984660663E-2</v>
      </c>
    </row>
    <row r="36" spans="1:26" s="70" customFormat="1" ht="15" hidden="1" customHeight="1" outlineLevel="2" x14ac:dyDescent="0.3">
      <c r="A36" s="21"/>
      <c r="B36" s="9" t="str">
        <f>CONCATENATE("          ","6112"," - ","COMPENSATION INSURANCE")</f>
        <v xml:space="preserve">          6112 - COMPENSATION INSURANCE</v>
      </c>
      <c r="C36" s="9"/>
      <c r="D36" s="6">
        <v>-945.08</v>
      </c>
      <c r="E36" s="3"/>
      <c r="F36" s="7">
        <f t="shared" si="12"/>
        <v>-7.0354990910457965E-2</v>
      </c>
      <c r="G36" s="3"/>
      <c r="H36" s="6">
        <v>469.73483748000001</v>
      </c>
      <c r="I36" s="3"/>
      <c r="J36" s="7">
        <f t="shared" si="13"/>
        <v>1.8071589946524063E-2</v>
      </c>
      <c r="K36" s="3"/>
      <c r="L36" s="6">
        <f t="shared" si="14"/>
        <v>-1414.8148374800001</v>
      </c>
      <c r="M36" s="3"/>
      <c r="N36" s="7">
        <f t="shared" si="15"/>
        <v>-3.0119436000746673</v>
      </c>
      <c r="O36" s="9"/>
      <c r="P36" s="6">
        <v>3520.31</v>
      </c>
      <c r="Q36" s="3"/>
      <c r="R36" s="7">
        <f t="shared" si="16"/>
        <v>1.9514700820357929E-3</v>
      </c>
      <c r="S36" s="3"/>
      <c r="T36" s="6">
        <v>6778.5019052400003</v>
      </c>
      <c r="U36" s="3"/>
      <c r="V36" s="7">
        <f t="shared" si="17"/>
        <v>2.0952679460846924E-3</v>
      </c>
      <c r="W36" s="3"/>
      <c r="X36" s="6">
        <f t="shared" si="18"/>
        <v>-3258.1919052400003</v>
      </c>
      <c r="Y36" s="3"/>
      <c r="Z36" s="7">
        <f t="shared" si="19"/>
        <v>-0.48066548490918221</v>
      </c>
    </row>
    <row r="37" spans="1:26" s="70" customFormat="1" ht="15" hidden="1" customHeight="1" outlineLevel="2" x14ac:dyDescent="0.3">
      <c r="A37" s="21"/>
      <c r="B37" s="9" t="str">
        <f>CONCATENATE("          ","6113"," - ","GROUP INSURANCE")</f>
        <v xml:space="preserve">          6113 - GROUP INSURANCE</v>
      </c>
      <c r="C37" s="9"/>
      <c r="D37" s="6">
        <v>4226.1400000000003</v>
      </c>
      <c r="E37" s="3"/>
      <c r="F37" s="7">
        <f t="shared" si="12"/>
        <v>0.31460833081466416</v>
      </c>
      <c r="G37" s="3"/>
      <c r="H37" s="6">
        <v>5314</v>
      </c>
      <c r="I37" s="3"/>
      <c r="J37" s="7">
        <f t="shared" si="13"/>
        <v>0.20443965683068518</v>
      </c>
      <c r="K37" s="3"/>
      <c r="L37" s="6">
        <f t="shared" si="14"/>
        <v>-1087.8599999999997</v>
      </c>
      <c r="M37" s="3"/>
      <c r="N37" s="7">
        <f t="shared" si="15"/>
        <v>-0.20471584493789982</v>
      </c>
      <c r="O37" s="9"/>
      <c r="P37" s="6">
        <v>52049.97</v>
      </c>
      <c r="Q37" s="3"/>
      <c r="R37" s="7">
        <f t="shared" si="16"/>
        <v>2.8853697323775625E-2</v>
      </c>
      <c r="S37" s="3"/>
      <c r="T37" s="6">
        <v>64992</v>
      </c>
      <c r="U37" s="3"/>
      <c r="V37" s="7">
        <f t="shared" si="17"/>
        <v>2.0089343671448726E-2</v>
      </c>
      <c r="W37" s="3"/>
      <c r="X37" s="6">
        <f t="shared" si="18"/>
        <v>-12942.029999999999</v>
      </c>
      <c r="Y37" s="3"/>
      <c r="Z37" s="7">
        <f t="shared" si="19"/>
        <v>-0.19913266248153616</v>
      </c>
    </row>
    <row r="38" spans="1:26" s="70" customFormat="1" ht="15" hidden="1" customHeight="1" outlineLevel="2" x14ac:dyDescent="0.3">
      <c r="A38" s="21"/>
      <c r="B38" s="9" t="str">
        <f>CONCATENATE("          ","6114"," - ","STATE UNEMPLOYMENT INSURANCE")</f>
        <v xml:space="preserve">          6114 - STATE UNEMPLOYMENT INSURANCE</v>
      </c>
      <c r="C38" s="9"/>
      <c r="D38" s="6"/>
      <c r="E38" s="3"/>
      <c r="F38" s="7">
        <f t="shared" si="12"/>
        <v>0</v>
      </c>
      <c r="G38" s="3"/>
      <c r="H38" s="6">
        <v>63.233535814615401</v>
      </c>
      <c r="I38" s="3"/>
      <c r="J38" s="7">
        <f t="shared" si="13"/>
        <v>2.4327140312628555E-3</v>
      </c>
      <c r="K38" s="3"/>
      <c r="L38" s="6">
        <f t="shared" si="14"/>
        <v>-63.233535814615401</v>
      </c>
      <c r="M38" s="3"/>
      <c r="N38" s="7">
        <f t="shared" si="15"/>
        <v>-1</v>
      </c>
      <c r="O38" s="9"/>
      <c r="P38" s="6">
        <v>885.1</v>
      </c>
      <c r="Q38" s="3"/>
      <c r="R38" s="7">
        <f t="shared" si="16"/>
        <v>4.9065172374304546E-4</v>
      </c>
      <c r="S38" s="3"/>
      <c r="T38" s="6">
        <v>912.49064108999903</v>
      </c>
      <c r="U38" s="3"/>
      <c r="V38" s="7">
        <f t="shared" si="17"/>
        <v>2.820553004344775E-4</v>
      </c>
      <c r="W38" s="3"/>
      <c r="X38" s="6">
        <f t="shared" si="18"/>
        <v>-27.390641089999008</v>
      </c>
      <c r="Y38" s="3"/>
      <c r="Z38" s="7">
        <f t="shared" si="19"/>
        <v>-3.0017448789699384E-2</v>
      </c>
    </row>
    <row r="39" spans="1:26" s="70" customFormat="1" ht="15" hidden="1" customHeight="1" outlineLevel="2" x14ac:dyDescent="0.3">
      <c r="A39" s="21"/>
      <c r="B39" s="9" t="str">
        <f>CONCATENATE("          ","6115"," - ","P.E.R.S.")</f>
        <v xml:space="preserve">          6115 - P.E.R.S.</v>
      </c>
      <c r="C39" s="9"/>
      <c r="D39" s="6">
        <v>1504.18</v>
      </c>
      <c r="E39" s="3"/>
      <c r="F39" s="7">
        <f t="shared" si="12"/>
        <v>0.11197630912482823</v>
      </c>
      <c r="G39" s="3"/>
      <c r="H39" s="6">
        <v>1664.68278164615</v>
      </c>
      <c r="I39" s="3"/>
      <c r="J39" s="7">
        <f t="shared" si="13"/>
        <v>6.4043503314205746E-2</v>
      </c>
      <c r="K39" s="3"/>
      <c r="L39" s="6">
        <f t="shared" si="14"/>
        <v>-160.50278164614997</v>
      </c>
      <c r="M39" s="3"/>
      <c r="N39" s="7">
        <f t="shared" si="15"/>
        <v>-9.6416436462107249E-2</v>
      </c>
      <c r="O39" s="9"/>
      <c r="P39" s="6">
        <v>21652.19</v>
      </c>
      <c r="Q39" s="3"/>
      <c r="R39" s="7">
        <f t="shared" si="16"/>
        <v>1.200280685381531E-2</v>
      </c>
      <c r="S39" s="3"/>
      <c r="T39" s="6">
        <v>21640.8761614</v>
      </c>
      <c r="U39" s="3"/>
      <c r="V39" s="7">
        <f t="shared" si="17"/>
        <v>6.6893001993726404E-3</v>
      </c>
      <c r="W39" s="3"/>
      <c r="X39" s="6">
        <f t="shared" si="18"/>
        <v>11.313838599999144</v>
      </c>
      <c r="Y39" s="3"/>
      <c r="Z39" s="7">
        <f t="shared" si="19"/>
        <v>5.2279947057685234E-4</v>
      </c>
    </row>
    <row r="40" spans="1:26" s="70" customFormat="1" ht="15" hidden="1" customHeight="1" outlineLevel="2" x14ac:dyDescent="0.3">
      <c r="A40" s="21"/>
      <c r="B40" s="9" t="str">
        <f>CONCATENATE("          ","6116"," - ","EDUCATIONAL BENEFITS")</f>
        <v xml:space="preserve">          6116 - EDUCATIONAL BENEFITS</v>
      </c>
      <c r="C40" s="9"/>
      <c r="D40" s="6"/>
      <c r="E40" s="3"/>
      <c r="F40" s="7">
        <f t="shared" si="12"/>
        <v>0</v>
      </c>
      <c r="G40" s="3"/>
      <c r="H40" s="6">
        <v>0</v>
      </c>
      <c r="I40" s="3"/>
      <c r="J40" s="7">
        <f t="shared" si="13"/>
        <v>0</v>
      </c>
      <c r="K40" s="3"/>
      <c r="L40" s="6">
        <f t="shared" si="14"/>
        <v>0</v>
      </c>
      <c r="M40" s="3"/>
      <c r="N40" s="7">
        <f t="shared" si="15"/>
        <v>0</v>
      </c>
      <c r="O40" s="9"/>
      <c r="P40" s="6"/>
      <c r="Q40" s="3"/>
      <c r="R40" s="7">
        <f t="shared" si="16"/>
        <v>0</v>
      </c>
      <c r="S40" s="3"/>
      <c r="T40" s="6">
        <v>0</v>
      </c>
      <c r="U40" s="3"/>
      <c r="V40" s="7">
        <f t="shared" si="17"/>
        <v>0</v>
      </c>
      <c r="W40" s="3"/>
      <c r="X40" s="6">
        <f t="shared" si="18"/>
        <v>0</v>
      </c>
      <c r="Y40" s="3"/>
      <c r="Z40" s="7">
        <f t="shared" si="19"/>
        <v>0</v>
      </c>
    </row>
    <row r="41" spans="1:26" s="70" customFormat="1" ht="15" hidden="1" customHeight="1" outlineLevel="2" x14ac:dyDescent="0.3">
      <c r="A41" s="21"/>
      <c r="B41" s="9" t="str">
        <f>CONCATENATE("          ","6117"," - ","RETIREMENT STAFF HOURLY")</f>
        <v xml:space="preserve">          6117 - RETIREMENT STAFF HOURLY</v>
      </c>
      <c r="C41" s="9"/>
      <c r="D41" s="6">
        <v>162.22</v>
      </c>
      <c r="E41" s="3"/>
      <c r="F41" s="7">
        <f t="shared" si="12"/>
        <v>1.2076212199490509E-2</v>
      </c>
      <c r="G41" s="3"/>
      <c r="H41" s="6"/>
      <c r="I41" s="3"/>
      <c r="J41" s="7">
        <f t="shared" si="13"/>
        <v>0</v>
      </c>
      <c r="K41" s="3"/>
      <c r="L41" s="6">
        <f t="shared" si="14"/>
        <v>162.22</v>
      </c>
      <c r="M41" s="3"/>
      <c r="N41" s="7">
        <f t="shared" si="15"/>
        <v>0</v>
      </c>
      <c r="O41" s="9"/>
      <c r="P41" s="6">
        <v>3538.66</v>
      </c>
      <c r="Q41" s="3"/>
      <c r="R41" s="7">
        <f t="shared" si="16"/>
        <v>1.9616423327765962E-3</v>
      </c>
      <c r="S41" s="3"/>
      <c r="T41" s="6"/>
      <c r="U41" s="3"/>
      <c r="V41" s="7">
        <f t="shared" si="17"/>
        <v>0</v>
      </c>
      <c r="W41" s="3"/>
      <c r="X41" s="6">
        <f t="shared" si="18"/>
        <v>3538.66</v>
      </c>
      <c r="Y41" s="3"/>
      <c r="Z41" s="7">
        <f t="shared" si="19"/>
        <v>0</v>
      </c>
    </row>
    <row r="42" spans="1:26" s="70" customFormat="1" ht="15" hidden="1" customHeight="1" outlineLevel="2" x14ac:dyDescent="0.3">
      <c r="A42" s="21"/>
      <c r="B42" s="9" t="str">
        <f>CONCATENATE("          ","6118"," - ","VACATION")</f>
        <v xml:space="preserve">          6118 - VACATION</v>
      </c>
      <c r="C42" s="9"/>
      <c r="D42" s="6">
        <v>1393.84</v>
      </c>
      <c r="E42" s="3"/>
      <c r="F42" s="7">
        <f t="shared" si="12"/>
        <v>0.1037622217490929</v>
      </c>
      <c r="G42" s="3"/>
      <c r="H42" s="6">
        <v>1689.1935418999999</v>
      </c>
      <c r="I42" s="3"/>
      <c r="J42" s="7">
        <f t="shared" si="13"/>
        <v>6.4986478740430106E-2</v>
      </c>
      <c r="K42" s="3"/>
      <c r="L42" s="6">
        <f t="shared" si="14"/>
        <v>-295.35354189999998</v>
      </c>
      <c r="M42" s="3"/>
      <c r="N42" s="7">
        <f t="shared" si="15"/>
        <v>-0.1748488462534537</v>
      </c>
      <c r="O42" s="9"/>
      <c r="P42" s="6">
        <v>22008.02</v>
      </c>
      <c r="Q42" s="3"/>
      <c r="R42" s="7">
        <f t="shared" si="16"/>
        <v>1.2200059822812586E-2</v>
      </c>
      <c r="S42" s="3"/>
      <c r="T42" s="6">
        <v>21959.516044700002</v>
      </c>
      <c r="U42" s="3"/>
      <c r="V42" s="7">
        <f t="shared" si="17"/>
        <v>6.7877933388827963E-3</v>
      </c>
      <c r="W42" s="3"/>
      <c r="X42" s="6">
        <f t="shared" si="18"/>
        <v>48.503955299998779</v>
      </c>
      <c r="Y42" s="3"/>
      <c r="Z42" s="7">
        <f t="shared" si="19"/>
        <v>2.2087898112720639E-3</v>
      </c>
    </row>
    <row r="43" spans="1:26" s="70" customFormat="1" ht="15" hidden="1" customHeight="1" outlineLevel="2" x14ac:dyDescent="0.3">
      <c r="A43" s="21"/>
      <c r="B43" s="9" t="str">
        <f>CONCATENATE("          ","6119"," - ","SICK LEAVE")</f>
        <v xml:space="preserve">          6119 - SICK LEAVE</v>
      </c>
      <c r="C43" s="9"/>
      <c r="D43" s="6">
        <v>892.48</v>
      </c>
      <c r="E43" s="3"/>
      <c r="F43" s="7">
        <f t="shared" si="12"/>
        <v>6.643926682160825E-2</v>
      </c>
      <c r="G43" s="3"/>
      <c r="H43" s="6">
        <v>1314.7460264153799</v>
      </c>
      <c r="I43" s="3"/>
      <c r="J43" s="7">
        <f t="shared" si="13"/>
        <v>5.058077276248913E-2</v>
      </c>
      <c r="K43" s="3"/>
      <c r="L43" s="6">
        <f t="shared" si="14"/>
        <v>-422.26602641537988</v>
      </c>
      <c r="M43" s="3"/>
      <c r="N43" s="7">
        <f t="shared" si="15"/>
        <v>-0.32117687974055109</v>
      </c>
      <c r="O43" s="9"/>
      <c r="P43" s="6">
        <v>-12117.86</v>
      </c>
      <c r="Q43" s="3"/>
      <c r="R43" s="7">
        <f t="shared" si="16"/>
        <v>-6.7174883031034926E-3</v>
      </c>
      <c r="S43" s="3"/>
      <c r="T43" s="6">
        <v>18383.9079934</v>
      </c>
      <c r="U43" s="3"/>
      <c r="V43" s="7">
        <f t="shared" si="17"/>
        <v>5.6825554791929151E-3</v>
      </c>
      <c r="W43" s="3"/>
      <c r="X43" s="6">
        <f t="shared" si="18"/>
        <v>-30501.767993400001</v>
      </c>
      <c r="Y43" s="3"/>
      <c r="Z43" s="7">
        <f t="shared" si="19"/>
        <v>-1.6591558228180008</v>
      </c>
    </row>
    <row r="44" spans="1:26" s="70" customFormat="1" ht="15" hidden="1" customHeight="1" outlineLevel="2" x14ac:dyDescent="0.3">
      <c r="A44" s="21"/>
      <c r="B44" s="9" t="str">
        <f>CONCATENATE("          ","6156"," - ","EMPLOYEE MEALS")</f>
        <v xml:space="preserve">          6156 - EMPLOYEE MEALS</v>
      </c>
      <c r="C44" s="9"/>
      <c r="D44" s="6">
        <v>1094.72</v>
      </c>
      <c r="E44" s="3"/>
      <c r="F44" s="7">
        <f t="shared" si="12"/>
        <v>8.1494704839269197E-2</v>
      </c>
      <c r="G44" s="3"/>
      <c r="H44" s="6">
        <v>1050</v>
      </c>
      <c r="I44" s="3"/>
      <c r="J44" s="7">
        <f t="shared" si="13"/>
        <v>4.0395491093756009E-2</v>
      </c>
      <c r="K44" s="3"/>
      <c r="L44" s="6">
        <f t="shared" si="14"/>
        <v>44.720000000000027</v>
      </c>
      <c r="M44" s="3"/>
      <c r="N44" s="7">
        <f t="shared" si="15"/>
        <v>4.2590476190476213E-2</v>
      </c>
      <c r="O44" s="9"/>
      <c r="P44" s="6">
        <v>11113.23</v>
      </c>
      <c r="Q44" s="3"/>
      <c r="R44" s="7">
        <f t="shared" si="16"/>
        <v>6.1605755912924245E-3</v>
      </c>
      <c r="S44" s="3"/>
      <c r="T44" s="6">
        <v>12600</v>
      </c>
      <c r="U44" s="3"/>
      <c r="V44" s="7">
        <f t="shared" si="17"/>
        <v>3.894721354324439E-3</v>
      </c>
      <c r="W44" s="3"/>
      <c r="X44" s="6">
        <f t="shared" si="18"/>
        <v>-1486.7700000000004</v>
      </c>
      <c r="Y44" s="3"/>
      <c r="Z44" s="7">
        <f t="shared" si="19"/>
        <v>-0.11799761904761909</v>
      </c>
    </row>
    <row r="45" spans="1:26" s="69" customFormat="1" ht="15" customHeight="1" outlineLevel="1" collapsed="1" x14ac:dyDescent="0.3">
      <c r="A45" s="20"/>
      <c r="B45" s="11" t="str">
        <f>CONCATENATE("     ","*Payroll                                          ")</f>
        <v xml:space="preserve">     *Payroll                                          </v>
      </c>
      <c r="C45" s="11"/>
      <c r="D45" s="2">
        <f>SUM(OSRRefD22_1x_0)</f>
        <v>16568.189999999999</v>
      </c>
      <c r="E45" s="2"/>
      <c r="F45" s="5">
        <f t="shared" si="12"/>
        <v>1.2333927888144287</v>
      </c>
      <c r="G45" s="2"/>
      <c r="H45" s="2">
        <f>SUM(OSRRefH22_1x_0)</f>
        <v>27620.378545253803</v>
      </c>
      <c r="I45" s="2"/>
      <c r="J45" s="5">
        <f t="shared" si="13"/>
        <v>1.0626083386009235</v>
      </c>
      <c r="K45" s="2"/>
      <c r="L45" s="2">
        <f t="shared" si="14"/>
        <v>-11052.188545253804</v>
      </c>
      <c r="M45" s="2"/>
      <c r="N45" s="5">
        <f t="shared" si="15"/>
        <v>-0.40014616480167603</v>
      </c>
      <c r="O45" s="11"/>
      <c r="P45" s="2">
        <f>SUM(OSRRefP22_1x_0)</f>
        <v>330338.53999999992</v>
      </c>
      <c r="Q45" s="2"/>
      <c r="R45" s="5">
        <f t="shared" si="16"/>
        <v>0.18312187783274311</v>
      </c>
      <c r="S45" s="2"/>
      <c r="T45" s="2">
        <f>SUM(OSRRefT22_1x_0)</f>
        <v>402138.57608829997</v>
      </c>
      <c r="U45" s="2"/>
      <c r="V45" s="5">
        <f t="shared" si="17"/>
        <v>0.12430299203878771</v>
      </c>
      <c r="W45" s="2"/>
      <c r="X45" s="2">
        <f t="shared" si="18"/>
        <v>-71800.036088300054</v>
      </c>
      <c r="Y45" s="2"/>
      <c r="Z45" s="5">
        <f t="shared" si="19"/>
        <v>-0.17854550733907829</v>
      </c>
    </row>
    <row r="46" spans="1:26" s="70" customFormat="1" ht="15" hidden="1" customHeight="1" outlineLevel="2" x14ac:dyDescent="0.3">
      <c r="A46" s="21"/>
      <c r="B46" s="9" t="str">
        <f>CONCATENATE("          ","6001"," - ","ADMINISTRATIVE SALARIES")</f>
        <v xml:space="preserve">          6001 - ADMINISTRATIVE SALARIES</v>
      </c>
      <c r="C46" s="9"/>
      <c r="D46" s="6"/>
      <c r="E46" s="3"/>
      <c r="F46" s="7">
        <f t="shared" si="12"/>
        <v>0</v>
      </c>
      <c r="G46" s="3"/>
      <c r="H46" s="6">
        <v>0</v>
      </c>
      <c r="I46" s="3"/>
      <c r="J46" s="7">
        <f t="shared" si="13"/>
        <v>0</v>
      </c>
      <c r="K46" s="3"/>
      <c r="L46" s="6">
        <f t="shared" si="14"/>
        <v>0</v>
      </c>
      <c r="M46" s="3"/>
      <c r="N46" s="7">
        <f t="shared" si="15"/>
        <v>0</v>
      </c>
      <c r="O46" s="9"/>
      <c r="P46" s="6"/>
      <c r="Q46" s="3"/>
      <c r="R46" s="7">
        <f t="shared" si="16"/>
        <v>0</v>
      </c>
      <c r="S46" s="3"/>
      <c r="T46" s="6">
        <v>0</v>
      </c>
      <c r="U46" s="3"/>
      <c r="V46" s="7">
        <f t="shared" si="17"/>
        <v>0</v>
      </c>
      <c r="W46" s="3"/>
      <c r="X46" s="6">
        <f t="shared" si="18"/>
        <v>0</v>
      </c>
      <c r="Y46" s="3"/>
      <c r="Z46" s="7">
        <f t="shared" si="19"/>
        <v>0</v>
      </c>
    </row>
    <row r="47" spans="1:26" s="70" customFormat="1" ht="15" hidden="1" customHeight="1" outlineLevel="2" x14ac:dyDescent="0.3">
      <c r="A47" s="21"/>
      <c r="B47" s="9" t="str">
        <f>CONCATENATE("          ","6002"," - ","STAFF SALARIES")</f>
        <v xml:space="preserve">          6002 - STAFF SALARIES</v>
      </c>
      <c r="C47" s="9"/>
      <c r="D47" s="6">
        <v>12053.48</v>
      </c>
      <c r="E47" s="3"/>
      <c r="F47" s="7">
        <f t="shared" si="12"/>
        <v>0.89730231921042325</v>
      </c>
      <c r="G47" s="3"/>
      <c r="H47" s="6">
        <v>17293.700777253802</v>
      </c>
      <c r="I47" s="3"/>
      <c r="J47" s="7">
        <f t="shared" si="13"/>
        <v>0.66532146259584513</v>
      </c>
      <c r="K47" s="3"/>
      <c r="L47" s="6">
        <f t="shared" si="14"/>
        <v>-5240.2207772538022</v>
      </c>
      <c r="M47" s="3"/>
      <c r="N47" s="7">
        <f t="shared" si="15"/>
        <v>-0.30301326735953488</v>
      </c>
      <c r="O47" s="9"/>
      <c r="P47" s="6">
        <v>215099.65</v>
      </c>
      <c r="Q47" s="3"/>
      <c r="R47" s="7">
        <f t="shared" si="16"/>
        <v>0.11923964981247968</v>
      </c>
      <c r="S47" s="3"/>
      <c r="T47" s="6">
        <v>224818.11010429999</v>
      </c>
      <c r="U47" s="3"/>
      <c r="V47" s="7">
        <f t="shared" si="17"/>
        <v>6.9492372560482546E-2</v>
      </c>
      <c r="W47" s="3"/>
      <c r="X47" s="6">
        <f t="shared" si="18"/>
        <v>-9718.4601043000002</v>
      </c>
      <c r="Y47" s="3"/>
      <c r="Z47" s="7">
        <f t="shared" si="19"/>
        <v>-4.3228101596403022E-2</v>
      </c>
    </row>
    <row r="48" spans="1:26" s="70" customFormat="1" ht="15" hidden="1" customHeight="1" outlineLevel="2" x14ac:dyDescent="0.3">
      <c r="A48" s="21"/>
      <c r="B48" s="9" t="str">
        <f>CONCATENATE("          ","6003"," - ","STAFF HOURLY-9 MONTH")</f>
        <v xml:space="preserve">          6003 - STAFF HOURLY-9 MONTH</v>
      </c>
      <c r="C48" s="9"/>
      <c r="D48" s="6"/>
      <c r="E48" s="3"/>
      <c r="F48" s="7">
        <f t="shared" si="12"/>
        <v>0</v>
      </c>
      <c r="G48" s="3"/>
      <c r="H48" s="6">
        <v>0</v>
      </c>
      <c r="I48" s="3"/>
      <c r="J48" s="7">
        <f t="shared" si="13"/>
        <v>0</v>
      </c>
      <c r="K48" s="3"/>
      <c r="L48" s="6">
        <f t="shared" si="14"/>
        <v>0</v>
      </c>
      <c r="M48" s="3"/>
      <c r="N48" s="7">
        <f t="shared" si="15"/>
        <v>0</v>
      </c>
      <c r="O48" s="9"/>
      <c r="P48" s="6"/>
      <c r="Q48" s="3"/>
      <c r="R48" s="7">
        <f t="shared" si="16"/>
        <v>0</v>
      </c>
      <c r="S48" s="3"/>
      <c r="T48" s="6">
        <v>0</v>
      </c>
      <c r="U48" s="3"/>
      <c r="V48" s="7">
        <f t="shared" si="17"/>
        <v>0</v>
      </c>
      <c r="W48" s="3"/>
      <c r="X48" s="6">
        <f t="shared" si="18"/>
        <v>0</v>
      </c>
      <c r="Y48" s="3"/>
      <c r="Z48" s="7">
        <f t="shared" si="19"/>
        <v>0</v>
      </c>
    </row>
    <row r="49" spans="1:26" s="70" customFormat="1" ht="15" hidden="1" customHeight="1" outlineLevel="2" x14ac:dyDescent="0.3">
      <c r="A49" s="21"/>
      <c r="B49" s="9" t="str">
        <f>CONCATENATE("          ","6004"," - ","STAFF HOURLY")</f>
        <v xml:space="preserve">          6004 - STAFF HOURLY</v>
      </c>
      <c r="C49" s="9"/>
      <c r="D49" s="6">
        <v>2910.87</v>
      </c>
      <c r="E49" s="3"/>
      <c r="F49" s="7">
        <f t="shared" si="12"/>
        <v>0.21669512886901082</v>
      </c>
      <c r="G49" s="3"/>
      <c r="H49" s="6">
        <v>5928.5827680000002</v>
      </c>
      <c r="I49" s="3"/>
      <c r="J49" s="7">
        <f t="shared" si="13"/>
        <v>0.2280838213365137</v>
      </c>
      <c r="K49" s="3"/>
      <c r="L49" s="6">
        <f t="shared" si="14"/>
        <v>-3017.7127680000003</v>
      </c>
      <c r="M49" s="3"/>
      <c r="N49" s="7">
        <f t="shared" si="15"/>
        <v>-0.50901081862065689</v>
      </c>
      <c r="O49" s="9"/>
      <c r="P49" s="6">
        <v>68101.929999999993</v>
      </c>
      <c r="Q49" s="3"/>
      <c r="R49" s="7">
        <f t="shared" si="16"/>
        <v>3.7752038577254794E-2</v>
      </c>
      <c r="S49" s="3"/>
      <c r="T49" s="6">
        <v>77071.575983999996</v>
      </c>
      <c r="U49" s="3"/>
      <c r="V49" s="7">
        <f t="shared" si="17"/>
        <v>2.3823199428279634E-2</v>
      </c>
      <c r="W49" s="3"/>
      <c r="X49" s="6">
        <f t="shared" si="18"/>
        <v>-8969.6459840000025</v>
      </c>
      <c r="Y49" s="3"/>
      <c r="Z49" s="7">
        <f t="shared" si="19"/>
        <v>-0.11638072622080668</v>
      </c>
    </row>
    <row r="50" spans="1:26" s="70" customFormat="1" ht="15" hidden="1" customHeight="1" outlineLevel="2" x14ac:dyDescent="0.3">
      <c r="A50" s="21"/>
      <c r="B50" s="9" t="str">
        <f>CONCATENATE("          ","6005"," - ","TEMPORARY WAGES-HOURLY")</f>
        <v xml:space="preserve">          6005 - TEMPORARY WAGES-HOURLY</v>
      </c>
      <c r="C50" s="9"/>
      <c r="D50" s="6"/>
      <c r="E50" s="3"/>
      <c r="F50" s="7">
        <f t="shared" si="12"/>
        <v>0</v>
      </c>
      <c r="G50" s="3"/>
      <c r="H50" s="6">
        <v>2396.66</v>
      </c>
      <c r="I50" s="3"/>
      <c r="J50" s="7">
        <f t="shared" si="13"/>
        <v>9.2204054937867888E-2</v>
      </c>
      <c r="K50" s="3"/>
      <c r="L50" s="6">
        <f t="shared" si="14"/>
        <v>-2396.66</v>
      </c>
      <c r="M50" s="3"/>
      <c r="N50" s="7">
        <f t="shared" si="15"/>
        <v>-1</v>
      </c>
      <c r="O50" s="9"/>
      <c r="P50" s="6">
        <v>14698.31</v>
      </c>
      <c r="Q50" s="3"/>
      <c r="R50" s="7">
        <f t="shared" si="16"/>
        <v>8.1479506695397615E-3</v>
      </c>
      <c r="S50" s="3"/>
      <c r="T50" s="6">
        <v>36028.160000000003</v>
      </c>
      <c r="U50" s="3"/>
      <c r="V50" s="7">
        <f t="shared" si="17"/>
        <v>1.1136479691191872E-2</v>
      </c>
      <c r="W50" s="3"/>
      <c r="X50" s="6">
        <f t="shared" si="18"/>
        <v>-21329.850000000006</v>
      </c>
      <c r="Y50" s="3"/>
      <c r="Z50" s="7">
        <f t="shared" si="19"/>
        <v>-0.59203273217394403</v>
      </c>
    </row>
    <row r="51" spans="1:26" s="70" customFormat="1" ht="15" hidden="1" customHeight="1" outlineLevel="2" x14ac:dyDescent="0.3">
      <c r="A51" s="21"/>
      <c r="B51" s="9" t="str">
        <f>CONCATENATE("          ","6006"," - ","TEMPORARY PART TIME")</f>
        <v xml:space="preserve">          6006 - TEMPORARY PART TIME</v>
      </c>
      <c r="C51" s="9"/>
      <c r="D51" s="6"/>
      <c r="E51" s="3"/>
      <c r="F51" s="7">
        <f t="shared" si="12"/>
        <v>0</v>
      </c>
      <c r="G51" s="3"/>
      <c r="H51" s="6">
        <v>0</v>
      </c>
      <c r="I51" s="3"/>
      <c r="J51" s="7">
        <f t="shared" si="13"/>
        <v>0</v>
      </c>
      <c r="K51" s="3"/>
      <c r="L51" s="6">
        <f t="shared" si="14"/>
        <v>0</v>
      </c>
      <c r="M51" s="3"/>
      <c r="N51" s="7">
        <f t="shared" si="15"/>
        <v>0</v>
      </c>
      <c r="O51" s="9"/>
      <c r="P51" s="6"/>
      <c r="Q51" s="3"/>
      <c r="R51" s="7">
        <f t="shared" si="16"/>
        <v>0</v>
      </c>
      <c r="S51" s="3"/>
      <c r="T51" s="6">
        <v>0</v>
      </c>
      <c r="U51" s="3"/>
      <c r="V51" s="7">
        <f t="shared" si="17"/>
        <v>0</v>
      </c>
      <c r="W51" s="3"/>
      <c r="X51" s="6">
        <f t="shared" si="18"/>
        <v>0</v>
      </c>
      <c r="Y51" s="3"/>
      <c r="Z51" s="7">
        <f t="shared" si="19"/>
        <v>0</v>
      </c>
    </row>
    <row r="52" spans="1:26" s="70" customFormat="1" ht="15" hidden="1" customHeight="1" outlineLevel="2" x14ac:dyDescent="0.3">
      <c r="A52" s="21"/>
      <c r="B52" s="9" t="str">
        <f>CONCATENATE("          ","6007"," - ","STUDENT HOURLY")</f>
        <v xml:space="preserve">          6007 - STUDENT HOURLY</v>
      </c>
      <c r="C52" s="9"/>
      <c r="D52" s="6">
        <v>1603.84</v>
      </c>
      <c r="E52" s="3"/>
      <c r="F52" s="7">
        <f t="shared" si="12"/>
        <v>0.1193953407349948</v>
      </c>
      <c r="G52" s="3"/>
      <c r="H52" s="6">
        <v>2001.4349999999999</v>
      </c>
      <c r="I52" s="3"/>
      <c r="J52" s="7">
        <f t="shared" si="13"/>
        <v>7.6998999730696724E-2</v>
      </c>
      <c r="K52" s="3"/>
      <c r="L52" s="6">
        <f t="shared" si="14"/>
        <v>-397.59500000000003</v>
      </c>
      <c r="M52" s="3"/>
      <c r="N52" s="7">
        <f t="shared" si="15"/>
        <v>-0.19865496506256763</v>
      </c>
      <c r="O52" s="9"/>
      <c r="P52" s="6">
        <v>28472.17</v>
      </c>
      <c r="Q52" s="3"/>
      <c r="R52" s="7">
        <f t="shared" si="16"/>
        <v>1.5783436096717913E-2</v>
      </c>
      <c r="S52" s="3"/>
      <c r="T52" s="6">
        <v>28247.685000000001</v>
      </c>
      <c r="U52" s="3"/>
      <c r="V52" s="7">
        <f t="shared" si="17"/>
        <v>8.7314969825182647E-3</v>
      </c>
      <c r="W52" s="3"/>
      <c r="X52" s="6">
        <f t="shared" si="18"/>
        <v>224.48499999999694</v>
      </c>
      <c r="Y52" s="3"/>
      <c r="Z52" s="7">
        <f t="shared" si="19"/>
        <v>7.9470229153290588E-3</v>
      </c>
    </row>
    <row r="53" spans="1:26" s="70" customFormat="1" ht="15" hidden="1" customHeight="1" outlineLevel="2" x14ac:dyDescent="0.3">
      <c r="A53" s="21"/>
      <c r="B53" s="9" t="str">
        <f>CONCATENATE("          ","6008"," - ","STUDENT HOURLY-FICA EXEMPT")</f>
        <v xml:space="preserve">          6008 - STUDENT HOURLY-FICA EXEMPT</v>
      </c>
      <c r="C53" s="9"/>
      <c r="D53" s="6"/>
      <c r="E53" s="3"/>
      <c r="F53" s="7">
        <f t="shared" si="12"/>
        <v>0</v>
      </c>
      <c r="G53" s="3"/>
      <c r="H53" s="6">
        <v>0</v>
      </c>
      <c r="I53" s="3"/>
      <c r="J53" s="7">
        <f t="shared" si="13"/>
        <v>0</v>
      </c>
      <c r="K53" s="3"/>
      <c r="L53" s="6">
        <f t="shared" si="14"/>
        <v>0</v>
      </c>
      <c r="M53" s="3"/>
      <c r="N53" s="7">
        <f t="shared" si="15"/>
        <v>0</v>
      </c>
      <c r="O53" s="9"/>
      <c r="P53" s="6">
        <v>3966.48</v>
      </c>
      <c r="Q53" s="3"/>
      <c r="R53" s="7">
        <f t="shared" si="16"/>
        <v>2.1988026767510056E-3</v>
      </c>
      <c r="S53" s="3"/>
      <c r="T53" s="6">
        <v>35973.044999999998</v>
      </c>
      <c r="U53" s="3"/>
      <c r="V53" s="7">
        <f t="shared" si="17"/>
        <v>1.1119443376315395E-2</v>
      </c>
      <c r="W53" s="3"/>
      <c r="X53" s="6">
        <f t="shared" si="18"/>
        <v>-32006.564999999999</v>
      </c>
      <c r="Y53" s="3"/>
      <c r="Z53" s="7">
        <f t="shared" si="19"/>
        <v>-0.88973744090888052</v>
      </c>
    </row>
    <row r="54" spans="1:26" s="70" customFormat="1" ht="15" hidden="1" customHeight="1" outlineLevel="2" x14ac:dyDescent="0.3">
      <c r="A54" s="21"/>
      <c r="B54" s="9" t="str">
        <f>CONCATENATE("          ","6009"," - ","TEMPORARY-SEASONAL")</f>
        <v xml:space="preserve">          6009 - TEMPORARY-SEASONAL</v>
      </c>
      <c r="C54" s="9"/>
      <c r="D54" s="6"/>
      <c r="E54" s="3"/>
      <c r="F54" s="7">
        <f t="shared" si="12"/>
        <v>0</v>
      </c>
      <c r="G54" s="3"/>
      <c r="H54" s="6">
        <v>0</v>
      </c>
      <c r="I54" s="3"/>
      <c r="J54" s="7">
        <f t="shared" si="13"/>
        <v>0</v>
      </c>
      <c r="K54" s="3"/>
      <c r="L54" s="6">
        <f t="shared" si="14"/>
        <v>0</v>
      </c>
      <c r="M54" s="3"/>
      <c r="N54" s="7">
        <f t="shared" si="15"/>
        <v>0</v>
      </c>
      <c r="O54" s="9"/>
      <c r="P54" s="6"/>
      <c r="Q54" s="3"/>
      <c r="R54" s="7">
        <f t="shared" si="16"/>
        <v>0</v>
      </c>
      <c r="S54" s="3"/>
      <c r="T54" s="6">
        <v>0</v>
      </c>
      <c r="U54" s="3"/>
      <c r="V54" s="7">
        <f t="shared" si="17"/>
        <v>0</v>
      </c>
      <c r="W54" s="3"/>
      <c r="X54" s="6">
        <f t="shared" si="18"/>
        <v>0</v>
      </c>
      <c r="Y54" s="3"/>
      <c r="Z54" s="7">
        <f t="shared" si="19"/>
        <v>0</v>
      </c>
    </row>
    <row r="55" spans="1:26" s="70" customFormat="1" ht="15" hidden="1" customHeight="1" outlineLevel="2" x14ac:dyDescent="0.3">
      <c r="A55" s="21"/>
      <c r="B55" s="9" t="str">
        <f>CONCATENATE("          ","6010"," - ","GRATUITY")</f>
        <v xml:space="preserve">          6010 - GRATUITY</v>
      </c>
      <c r="C55" s="9"/>
      <c r="D55" s="6"/>
      <c r="E55" s="3"/>
      <c r="F55" s="7">
        <f t="shared" si="12"/>
        <v>0</v>
      </c>
      <c r="G55" s="3"/>
      <c r="H55" s="6">
        <v>0</v>
      </c>
      <c r="I55" s="3"/>
      <c r="J55" s="7">
        <f t="shared" si="13"/>
        <v>0</v>
      </c>
      <c r="K55" s="3"/>
      <c r="L55" s="6">
        <f t="shared" si="14"/>
        <v>0</v>
      </c>
      <c r="M55" s="3"/>
      <c r="N55" s="7">
        <f t="shared" si="15"/>
        <v>0</v>
      </c>
      <c r="O55" s="9"/>
      <c r="P55" s="6"/>
      <c r="Q55" s="3"/>
      <c r="R55" s="7">
        <f t="shared" si="16"/>
        <v>0</v>
      </c>
      <c r="S55" s="3"/>
      <c r="T55" s="6">
        <v>0</v>
      </c>
      <c r="U55" s="3"/>
      <c r="V55" s="7">
        <f t="shared" si="17"/>
        <v>0</v>
      </c>
      <c r="W55" s="3"/>
      <c r="X55" s="6">
        <f t="shared" si="18"/>
        <v>0</v>
      </c>
      <c r="Y55" s="3"/>
      <c r="Z55" s="7">
        <f t="shared" si="19"/>
        <v>0</v>
      </c>
    </row>
    <row r="56" spans="1:26" s="69" customFormat="1" ht="15" customHeight="1" outlineLevel="1" collapsed="1" x14ac:dyDescent="0.3">
      <c r="A56" s="20"/>
      <c r="B56" s="11" t="str">
        <f>CONCATENATE("     ","Advertising/Promo                                 ")</f>
        <v xml:space="preserve">     Advertising/Promo                                 </v>
      </c>
      <c r="C56" s="11"/>
      <c r="D56" s="2">
        <f>SUM(OSRRefD22_2x_0)</f>
        <v>82.68</v>
      </c>
      <c r="E56" s="2"/>
      <c r="F56" s="5">
        <f t="shared" si="12"/>
        <v>6.1549822750208072E-3</v>
      </c>
      <c r="G56" s="2"/>
      <c r="H56" s="2">
        <f>SUM(OSRRefH22_2x_0)</f>
        <v>100</v>
      </c>
      <c r="I56" s="2"/>
      <c r="J56" s="5">
        <f t="shared" si="13"/>
        <v>3.847189627976763E-3</v>
      </c>
      <c r="K56" s="2"/>
      <c r="L56" s="2">
        <f t="shared" si="14"/>
        <v>-17.319999999999993</v>
      </c>
      <c r="M56" s="2"/>
      <c r="N56" s="5">
        <f t="shared" si="15"/>
        <v>-0.17319999999999994</v>
      </c>
      <c r="O56" s="11"/>
      <c r="P56" s="2">
        <f>SUM(OSRRefP22_2x_0)</f>
        <v>1047.68</v>
      </c>
      <c r="Q56" s="2"/>
      <c r="R56" s="5">
        <f t="shared" si="16"/>
        <v>5.807773109604722E-4</v>
      </c>
      <c r="S56" s="2"/>
      <c r="T56" s="2">
        <f>SUM(OSRRefT22_2x_0)</f>
        <v>3300</v>
      </c>
      <c r="U56" s="2"/>
      <c r="V56" s="5">
        <f t="shared" si="17"/>
        <v>1.020046068989734E-3</v>
      </c>
      <c r="W56" s="2"/>
      <c r="X56" s="2">
        <f t="shared" si="18"/>
        <v>-2252.3199999999997</v>
      </c>
      <c r="Y56" s="2"/>
      <c r="Z56" s="5">
        <f t="shared" si="19"/>
        <v>-0.68252121212121208</v>
      </c>
    </row>
    <row r="57" spans="1:26" s="70" customFormat="1" ht="15" hidden="1" customHeight="1" outlineLevel="2" x14ac:dyDescent="0.3">
      <c r="A57" s="21"/>
      <c r="B57" s="9" t="str">
        <f>CONCATENATE("          ","6362"," - ","ADVERTISING EXPENSE")</f>
        <v xml:space="preserve">          6362 - ADVERTISING EXPENSE</v>
      </c>
      <c r="C57" s="9"/>
      <c r="D57" s="6">
        <v>82.68</v>
      </c>
      <c r="E57" s="3"/>
      <c r="F57" s="7">
        <f t="shared" si="12"/>
        <v>6.1549822750208072E-3</v>
      </c>
      <c r="G57" s="3"/>
      <c r="H57" s="6">
        <v>100</v>
      </c>
      <c r="I57" s="3"/>
      <c r="J57" s="7">
        <f t="shared" si="13"/>
        <v>3.847189627976763E-3</v>
      </c>
      <c r="K57" s="3"/>
      <c r="L57" s="6">
        <f t="shared" si="14"/>
        <v>-17.319999999999993</v>
      </c>
      <c r="M57" s="3"/>
      <c r="N57" s="7">
        <f t="shared" si="15"/>
        <v>-0.17319999999999994</v>
      </c>
      <c r="O57" s="9"/>
      <c r="P57" s="6">
        <v>1047.68</v>
      </c>
      <c r="Q57" s="3"/>
      <c r="R57" s="7">
        <f t="shared" si="16"/>
        <v>5.807773109604722E-4</v>
      </c>
      <c r="S57" s="3"/>
      <c r="T57" s="6">
        <v>3300</v>
      </c>
      <c r="U57" s="3"/>
      <c r="V57" s="7">
        <f t="shared" si="17"/>
        <v>1.020046068989734E-3</v>
      </c>
      <c r="W57" s="3"/>
      <c r="X57" s="6">
        <f t="shared" si="18"/>
        <v>-2252.3199999999997</v>
      </c>
      <c r="Y57" s="3"/>
      <c r="Z57" s="7">
        <f t="shared" si="19"/>
        <v>-0.68252121212121208</v>
      </c>
    </row>
    <row r="58" spans="1:26" s="69" customFormat="1" ht="15" customHeight="1" outlineLevel="1" collapsed="1" x14ac:dyDescent="0.3">
      <c r="A58" s="20"/>
      <c r="B58" s="11" t="str">
        <f>CONCATENATE("     ","Discounts and Markdowns                           ")</f>
        <v xml:space="preserve">     Discounts and Markdowns                           </v>
      </c>
      <c r="C58" s="11"/>
      <c r="D58" s="2">
        <f>SUM(OSRRefD22_3x_0)</f>
        <v>0</v>
      </c>
      <c r="E58" s="2"/>
      <c r="F58" s="5">
        <f t="shared" si="12"/>
        <v>0</v>
      </c>
      <c r="G58" s="2"/>
      <c r="H58" s="2">
        <f>SUM(OSRRefH22_3x_0)</f>
        <v>0</v>
      </c>
      <c r="I58" s="2"/>
      <c r="J58" s="5">
        <f t="shared" si="13"/>
        <v>0</v>
      </c>
      <c r="K58" s="2"/>
      <c r="L58" s="2">
        <f t="shared" si="14"/>
        <v>0</v>
      </c>
      <c r="M58" s="2"/>
      <c r="N58" s="5">
        <f t="shared" si="15"/>
        <v>0</v>
      </c>
      <c r="O58" s="11"/>
      <c r="P58" s="2">
        <f>SUM(OSRRefP22_3x_0)</f>
        <v>1.35</v>
      </c>
      <c r="Q58" s="2"/>
      <c r="R58" s="5">
        <f t="shared" si="16"/>
        <v>7.4836722071303974E-7</v>
      </c>
      <c r="S58" s="2"/>
      <c r="T58" s="2">
        <f>SUM(OSRRefT22_3x_0)</f>
        <v>0</v>
      </c>
      <c r="U58" s="2"/>
      <c r="V58" s="5">
        <f t="shared" si="17"/>
        <v>0</v>
      </c>
      <c r="W58" s="2"/>
      <c r="X58" s="2">
        <f t="shared" si="18"/>
        <v>1.35</v>
      </c>
      <c r="Y58" s="2"/>
      <c r="Z58" s="5">
        <f t="shared" si="19"/>
        <v>0</v>
      </c>
    </row>
    <row r="59" spans="1:26" s="70" customFormat="1" ht="15" hidden="1" customHeight="1" outlineLevel="2" x14ac:dyDescent="0.3">
      <c r="A59" s="21"/>
      <c r="B59" s="9" t="str">
        <f>CONCATENATE("          ","6382"," - ","DISCOUNTS/MARK DOWNS")</f>
        <v xml:space="preserve">          6382 - DISCOUNTS/MARK DOWNS</v>
      </c>
      <c r="C59" s="9"/>
      <c r="D59" s="6"/>
      <c r="E59" s="3"/>
      <c r="F59" s="7">
        <f t="shared" si="12"/>
        <v>0</v>
      </c>
      <c r="G59" s="3"/>
      <c r="H59" s="6"/>
      <c r="I59" s="3"/>
      <c r="J59" s="7">
        <f t="shared" si="13"/>
        <v>0</v>
      </c>
      <c r="K59" s="3"/>
      <c r="L59" s="6">
        <f t="shared" si="14"/>
        <v>0</v>
      </c>
      <c r="M59" s="3"/>
      <c r="N59" s="7">
        <f t="shared" si="15"/>
        <v>0</v>
      </c>
      <c r="O59" s="9"/>
      <c r="P59" s="6">
        <v>1.35</v>
      </c>
      <c r="Q59" s="3"/>
      <c r="R59" s="7">
        <f t="shared" si="16"/>
        <v>7.4836722071303974E-7</v>
      </c>
      <c r="S59" s="3"/>
      <c r="T59" s="6"/>
      <c r="U59" s="3"/>
      <c r="V59" s="7">
        <f t="shared" si="17"/>
        <v>0</v>
      </c>
      <c r="W59" s="3"/>
      <c r="X59" s="6">
        <f t="shared" si="18"/>
        <v>1.35</v>
      </c>
      <c r="Y59" s="3"/>
      <c r="Z59" s="7">
        <f t="shared" si="19"/>
        <v>0</v>
      </c>
    </row>
    <row r="60" spans="1:26" s="69" customFormat="1" ht="15" customHeight="1" outlineLevel="1" collapsed="1" x14ac:dyDescent="0.3">
      <c r="A60" s="20"/>
      <c r="B60" s="11" t="str">
        <f>CONCATENATE("     ","Employees' Appreciation                           ")</f>
        <v xml:space="preserve">     Employees' Appreciation                           </v>
      </c>
      <c r="C60" s="11"/>
      <c r="D60" s="2">
        <f>SUM(OSRRefD22_4x_0)</f>
        <v>0</v>
      </c>
      <c r="E60" s="2"/>
      <c r="F60" s="5">
        <f t="shared" si="12"/>
        <v>0</v>
      </c>
      <c r="G60" s="2"/>
      <c r="H60" s="2">
        <f>SUM(OSRRefH22_4x_0)</f>
        <v>50</v>
      </c>
      <c r="I60" s="2"/>
      <c r="J60" s="5">
        <f t="shared" si="13"/>
        <v>1.9235948139883815E-3</v>
      </c>
      <c r="K60" s="2"/>
      <c r="L60" s="2">
        <f t="shared" si="14"/>
        <v>-50</v>
      </c>
      <c r="M60" s="2"/>
      <c r="N60" s="5">
        <f t="shared" si="15"/>
        <v>-1</v>
      </c>
      <c r="O60" s="11"/>
      <c r="P60" s="2">
        <f>SUM(OSRRefP22_4x_0)</f>
        <v>0</v>
      </c>
      <c r="Q60" s="2"/>
      <c r="R60" s="5">
        <f t="shared" si="16"/>
        <v>0</v>
      </c>
      <c r="S60" s="2"/>
      <c r="T60" s="2">
        <f>SUM(OSRRefT22_4x_0)</f>
        <v>600</v>
      </c>
      <c r="U60" s="2"/>
      <c r="V60" s="5">
        <f t="shared" si="17"/>
        <v>1.8546292163449708E-4</v>
      </c>
      <c r="W60" s="2"/>
      <c r="X60" s="2">
        <f t="shared" si="18"/>
        <v>-600</v>
      </c>
      <c r="Y60" s="2"/>
      <c r="Z60" s="5">
        <f t="shared" si="19"/>
        <v>-1</v>
      </c>
    </row>
    <row r="61" spans="1:26" s="70" customFormat="1" ht="15" hidden="1" customHeight="1" outlineLevel="2" x14ac:dyDescent="0.3">
      <c r="A61" s="21"/>
      <c r="B61" s="9" t="str">
        <f>CONCATENATE("          ","6277"," - ","EMPLOYEE APPRECIATION")</f>
        <v xml:space="preserve">          6277 - EMPLOYEE APPRECIATION</v>
      </c>
      <c r="C61" s="9"/>
      <c r="D61" s="6"/>
      <c r="E61" s="3"/>
      <c r="F61" s="7">
        <f t="shared" si="12"/>
        <v>0</v>
      </c>
      <c r="G61" s="3"/>
      <c r="H61" s="6">
        <v>50</v>
      </c>
      <c r="I61" s="3"/>
      <c r="J61" s="7">
        <f t="shared" si="13"/>
        <v>1.9235948139883815E-3</v>
      </c>
      <c r="K61" s="3"/>
      <c r="L61" s="6">
        <f t="shared" si="14"/>
        <v>-50</v>
      </c>
      <c r="M61" s="3"/>
      <c r="N61" s="7">
        <f t="shared" si="15"/>
        <v>-1</v>
      </c>
      <c r="O61" s="9"/>
      <c r="P61" s="6"/>
      <c r="Q61" s="3"/>
      <c r="R61" s="7">
        <f t="shared" si="16"/>
        <v>0</v>
      </c>
      <c r="S61" s="3"/>
      <c r="T61" s="6">
        <v>600</v>
      </c>
      <c r="U61" s="3"/>
      <c r="V61" s="7">
        <f t="shared" si="17"/>
        <v>1.8546292163449708E-4</v>
      </c>
      <c r="W61" s="3"/>
      <c r="X61" s="6">
        <f t="shared" si="18"/>
        <v>-600</v>
      </c>
      <c r="Y61" s="3"/>
      <c r="Z61" s="7">
        <f t="shared" si="19"/>
        <v>-1</v>
      </c>
    </row>
    <row r="62" spans="1:26" s="69" customFormat="1" ht="15" customHeight="1" outlineLevel="1" collapsed="1" x14ac:dyDescent="0.3">
      <c r="A62" s="20"/>
      <c r="B62" s="11" t="str">
        <f>CONCATENATE("     ","Equipment Rental                                  ")</f>
        <v xml:space="preserve">     Equipment Rental                                  </v>
      </c>
      <c r="C62" s="11"/>
      <c r="D62" s="2">
        <f>SUM(OSRRefD22_5x_0)</f>
        <v>-11.92</v>
      </c>
      <c r="E62" s="2"/>
      <c r="F62" s="5">
        <f t="shared" si="12"/>
        <v>-8.8736561100928905E-4</v>
      </c>
      <c r="G62" s="2"/>
      <c r="H62" s="2">
        <f>SUM(OSRRefH22_5x_0)</f>
        <v>100</v>
      </c>
      <c r="I62" s="2"/>
      <c r="J62" s="5">
        <f t="shared" si="13"/>
        <v>3.847189627976763E-3</v>
      </c>
      <c r="K62" s="2"/>
      <c r="L62" s="2">
        <f t="shared" si="14"/>
        <v>-111.92</v>
      </c>
      <c r="M62" s="2"/>
      <c r="N62" s="5">
        <f t="shared" si="15"/>
        <v>-1.1192</v>
      </c>
      <c r="O62" s="11"/>
      <c r="P62" s="2">
        <f>SUM(OSRRefP22_5x_0)</f>
        <v>991.94</v>
      </c>
      <c r="Q62" s="2"/>
      <c r="R62" s="5">
        <f t="shared" si="16"/>
        <v>5.4987805993636485E-4</v>
      </c>
      <c r="S62" s="2"/>
      <c r="T62" s="2">
        <f>SUM(OSRRefT22_5x_0)</f>
        <v>1200</v>
      </c>
      <c r="U62" s="2"/>
      <c r="V62" s="5">
        <f t="shared" si="17"/>
        <v>3.7092584326899416E-4</v>
      </c>
      <c r="W62" s="2"/>
      <c r="X62" s="2">
        <f t="shared" si="18"/>
        <v>-208.05999999999995</v>
      </c>
      <c r="Y62" s="2"/>
      <c r="Z62" s="5">
        <f t="shared" si="19"/>
        <v>-0.17338333333333328</v>
      </c>
    </row>
    <row r="63" spans="1:26" s="70" customFormat="1" ht="15" hidden="1" customHeight="1" outlineLevel="2" x14ac:dyDescent="0.3">
      <c r="A63" s="21"/>
      <c r="B63" s="9" t="str">
        <f>CONCATENATE("          ","6351"," - ","EQUIPMENT RENTAL")</f>
        <v xml:space="preserve">          6351 - EQUIPMENT RENTAL</v>
      </c>
      <c r="C63" s="9"/>
      <c r="D63" s="6">
        <v>-11.92</v>
      </c>
      <c r="E63" s="3"/>
      <c r="F63" s="7">
        <f t="shared" si="12"/>
        <v>-8.8736561100928905E-4</v>
      </c>
      <c r="G63" s="3"/>
      <c r="H63" s="6">
        <v>100</v>
      </c>
      <c r="I63" s="3"/>
      <c r="J63" s="7">
        <f t="shared" si="13"/>
        <v>3.847189627976763E-3</v>
      </c>
      <c r="K63" s="3"/>
      <c r="L63" s="6">
        <f t="shared" si="14"/>
        <v>-111.92</v>
      </c>
      <c r="M63" s="3"/>
      <c r="N63" s="7">
        <f t="shared" si="15"/>
        <v>-1.1192</v>
      </c>
      <c r="O63" s="9"/>
      <c r="P63" s="6">
        <v>991.94</v>
      </c>
      <c r="Q63" s="3"/>
      <c r="R63" s="7">
        <f t="shared" si="16"/>
        <v>5.4987805993636485E-4</v>
      </c>
      <c r="S63" s="3"/>
      <c r="T63" s="6">
        <v>1200</v>
      </c>
      <c r="U63" s="3"/>
      <c r="V63" s="7">
        <f t="shared" si="17"/>
        <v>3.7092584326899416E-4</v>
      </c>
      <c r="W63" s="3"/>
      <c r="X63" s="6">
        <f t="shared" si="18"/>
        <v>-208.05999999999995</v>
      </c>
      <c r="Y63" s="3"/>
      <c r="Z63" s="7">
        <f t="shared" si="19"/>
        <v>-0.17338333333333328</v>
      </c>
    </row>
    <row r="64" spans="1:26" s="69" customFormat="1" ht="15" customHeight="1" outlineLevel="1" collapsed="1" x14ac:dyDescent="0.3">
      <c r="A64" s="20"/>
      <c r="B64" s="11" t="str">
        <f>CONCATENATE("     ","Freight out/Postage                               ")</f>
        <v xml:space="preserve">     Freight out/Postage                               </v>
      </c>
      <c r="C64" s="11"/>
      <c r="D64" s="2">
        <f>SUM(OSRRefD22_6x_0)</f>
        <v>7559.75</v>
      </c>
      <c r="E64" s="2"/>
      <c r="F64" s="5">
        <f t="shared" si="12"/>
        <v>0.562773672636533</v>
      </c>
      <c r="G64" s="2"/>
      <c r="H64" s="2">
        <f>SUM(OSRRefH22_6x_0)</f>
        <v>500</v>
      </c>
      <c r="I64" s="2"/>
      <c r="J64" s="5">
        <f t="shared" si="13"/>
        <v>1.9235948139883816E-2</v>
      </c>
      <c r="K64" s="2"/>
      <c r="L64" s="2">
        <f t="shared" si="14"/>
        <v>7059.75</v>
      </c>
      <c r="M64" s="2"/>
      <c r="N64" s="5">
        <f t="shared" si="15"/>
        <v>14.1195</v>
      </c>
      <c r="O64" s="11"/>
      <c r="P64" s="2">
        <f>SUM(OSRRefP22_6x_0)</f>
        <v>20765.87</v>
      </c>
      <c r="Q64" s="2"/>
      <c r="R64" s="5">
        <f t="shared" si="16"/>
        <v>1.1511478827843176E-2</v>
      </c>
      <c r="S64" s="2"/>
      <c r="T64" s="2">
        <f>SUM(OSRRefT22_6x_0)</f>
        <v>17500</v>
      </c>
      <c r="U64" s="2"/>
      <c r="V64" s="5">
        <f t="shared" si="17"/>
        <v>5.4093352143394988E-3</v>
      </c>
      <c r="W64" s="2"/>
      <c r="X64" s="2">
        <f t="shared" si="18"/>
        <v>3265.869999999999</v>
      </c>
      <c r="Y64" s="2"/>
      <c r="Z64" s="5">
        <f t="shared" si="19"/>
        <v>0.18662114285714279</v>
      </c>
    </row>
    <row r="65" spans="1:26" s="70" customFormat="1" ht="15" hidden="1" customHeight="1" outlineLevel="2" x14ac:dyDescent="0.3">
      <c r="A65" s="21"/>
      <c r="B65" s="9" t="str">
        <f>CONCATENATE("          ","6305"," - ","FREIGHT OUT")</f>
        <v xml:space="preserve">          6305 - FREIGHT OUT</v>
      </c>
      <c r="C65" s="9"/>
      <c r="D65" s="6">
        <v>7559.75</v>
      </c>
      <c r="E65" s="3"/>
      <c r="F65" s="7">
        <f t="shared" ref="F65:F85" si="20">IF(D$12=0,0,D65/D$12)</f>
        <v>0.562773672636533</v>
      </c>
      <c r="G65" s="3"/>
      <c r="H65" s="6">
        <v>500</v>
      </c>
      <c r="I65" s="3"/>
      <c r="J65" s="7">
        <f t="shared" ref="J65:J85" si="21">IF(H$12=0,0,H65/H$12)</f>
        <v>1.9235948139883816E-2</v>
      </c>
      <c r="K65" s="3"/>
      <c r="L65" s="6">
        <f t="shared" ref="L65:L85" si="22">+D65-H65</f>
        <v>7059.75</v>
      </c>
      <c r="M65" s="3"/>
      <c r="N65" s="7">
        <f t="shared" ref="N65:N85" si="23">IF(H65=0,0,L65/H65)</f>
        <v>14.1195</v>
      </c>
      <c r="O65" s="9"/>
      <c r="P65" s="6">
        <v>20764.28</v>
      </c>
      <c r="Q65" s="3"/>
      <c r="R65" s="7">
        <f t="shared" ref="R65:R85" si="24">IF(P$12=0,0,P65/P$12)</f>
        <v>1.1510597417561002E-2</v>
      </c>
      <c r="S65" s="3"/>
      <c r="T65" s="6">
        <v>17500</v>
      </c>
      <c r="U65" s="3"/>
      <c r="V65" s="7">
        <f t="shared" ref="V65:V85" si="25">IF(T$12=0,0,T65/T$12)</f>
        <v>5.4093352143394988E-3</v>
      </c>
      <c r="W65" s="3"/>
      <c r="X65" s="6">
        <f t="shared" ref="X65:X85" si="26">+P65-T65</f>
        <v>3264.2799999999988</v>
      </c>
      <c r="Y65" s="3"/>
      <c r="Z65" s="7">
        <f t="shared" ref="Z65:Z85" si="27">IF(T65=0,0,X65/T65)</f>
        <v>0.18653028571428565</v>
      </c>
    </row>
    <row r="66" spans="1:26" s="70" customFormat="1" ht="15" hidden="1" customHeight="1" outlineLevel="2" x14ac:dyDescent="0.3">
      <c r="A66" s="21"/>
      <c r="B66" s="9" t="str">
        <f>CONCATENATE("          ","6307"," - ","POSTAGE")</f>
        <v xml:space="preserve">          6307 - POSTAGE</v>
      </c>
      <c r="C66" s="9"/>
      <c r="D66" s="6"/>
      <c r="E66" s="3"/>
      <c r="F66" s="7">
        <f t="shared" si="20"/>
        <v>0</v>
      </c>
      <c r="G66" s="3"/>
      <c r="H66" s="6"/>
      <c r="I66" s="3"/>
      <c r="J66" s="7">
        <f t="shared" si="21"/>
        <v>0</v>
      </c>
      <c r="K66" s="3"/>
      <c r="L66" s="6">
        <f t="shared" si="22"/>
        <v>0</v>
      </c>
      <c r="M66" s="3"/>
      <c r="N66" s="7">
        <f t="shared" si="23"/>
        <v>0</v>
      </c>
      <c r="O66" s="9"/>
      <c r="P66" s="6">
        <v>1.59</v>
      </c>
      <c r="Q66" s="3"/>
      <c r="R66" s="7">
        <f t="shared" si="24"/>
        <v>8.8141028217313562E-7</v>
      </c>
      <c r="S66" s="3"/>
      <c r="T66" s="6"/>
      <c r="U66" s="3"/>
      <c r="V66" s="7">
        <f t="shared" si="25"/>
        <v>0</v>
      </c>
      <c r="W66" s="3"/>
      <c r="X66" s="6">
        <f t="shared" si="26"/>
        <v>1.59</v>
      </c>
      <c r="Y66" s="3"/>
      <c r="Z66" s="7">
        <f t="shared" si="27"/>
        <v>0</v>
      </c>
    </row>
    <row r="67" spans="1:26" s="69" customFormat="1" ht="15" customHeight="1" outlineLevel="1" collapsed="1" x14ac:dyDescent="0.3">
      <c r="A67" s="20"/>
      <c r="B67" s="11" t="str">
        <f>CONCATENATE("     ","General                                           ")</f>
        <v xml:space="preserve">     General                                           </v>
      </c>
      <c r="C67" s="11"/>
      <c r="D67" s="2">
        <f>SUM(OSRRefD22_7x_0)</f>
        <v>0</v>
      </c>
      <c r="E67" s="2"/>
      <c r="F67" s="5">
        <f t="shared" si="20"/>
        <v>0</v>
      </c>
      <c r="G67" s="2"/>
      <c r="H67" s="2">
        <f>SUM(OSRRefH22_7x_0)</f>
        <v>0</v>
      </c>
      <c r="I67" s="2"/>
      <c r="J67" s="5">
        <f t="shared" si="21"/>
        <v>0</v>
      </c>
      <c r="K67" s="2"/>
      <c r="L67" s="2">
        <f t="shared" si="22"/>
        <v>0</v>
      </c>
      <c r="M67" s="2"/>
      <c r="N67" s="5">
        <f t="shared" si="23"/>
        <v>0</v>
      </c>
      <c r="O67" s="11"/>
      <c r="P67" s="2">
        <f>SUM(OSRRefP22_7x_0)</f>
        <v>0</v>
      </c>
      <c r="Q67" s="2"/>
      <c r="R67" s="5">
        <f t="shared" si="24"/>
        <v>0</v>
      </c>
      <c r="S67" s="2"/>
      <c r="T67" s="2">
        <f>SUM(OSRRefT22_7x_0)</f>
        <v>2750</v>
      </c>
      <c r="U67" s="2"/>
      <c r="V67" s="5">
        <f t="shared" si="25"/>
        <v>8.5003839082477837E-4</v>
      </c>
      <c r="W67" s="2"/>
      <c r="X67" s="2">
        <f t="shared" si="26"/>
        <v>-2750</v>
      </c>
      <c r="Y67" s="2"/>
      <c r="Z67" s="5">
        <f t="shared" si="27"/>
        <v>-1</v>
      </c>
    </row>
    <row r="68" spans="1:26" s="70" customFormat="1" ht="15" hidden="1" customHeight="1" outlineLevel="2" x14ac:dyDescent="0.3">
      <c r="A68" s="21"/>
      <c r="B68" s="9" t="str">
        <f>CONCATENATE("          ","6279"," - ","GENERAL EXPENSE")</f>
        <v xml:space="preserve">          6279 - GENERAL EXPENSE</v>
      </c>
      <c r="C68" s="9"/>
      <c r="D68" s="6"/>
      <c r="E68" s="3"/>
      <c r="F68" s="7">
        <f t="shared" si="20"/>
        <v>0</v>
      </c>
      <c r="G68" s="3"/>
      <c r="H68" s="6">
        <v>0</v>
      </c>
      <c r="I68" s="3"/>
      <c r="J68" s="7">
        <f t="shared" si="21"/>
        <v>0</v>
      </c>
      <c r="K68" s="3"/>
      <c r="L68" s="6">
        <f t="shared" si="22"/>
        <v>0</v>
      </c>
      <c r="M68" s="3"/>
      <c r="N68" s="7">
        <f t="shared" si="23"/>
        <v>0</v>
      </c>
      <c r="O68" s="9"/>
      <c r="P68" s="6"/>
      <c r="Q68" s="3"/>
      <c r="R68" s="7">
        <f t="shared" si="24"/>
        <v>0</v>
      </c>
      <c r="S68" s="3"/>
      <c r="T68" s="6">
        <v>2750</v>
      </c>
      <c r="U68" s="3"/>
      <c r="V68" s="7">
        <f t="shared" si="25"/>
        <v>8.5003839082477837E-4</v>
      </c>
      <c r="W68" s="3"/>
      <c r="X68" s="6">
        <f t="shared" si="26"/>
        <v>-2750</v>
      </c>
      <c r="Y68" s="3"/>
      <c r="Z68" s="7">
        <f t="shared" si="27"/>
        <v>-1</v>
      </c>
    </row>
    <row r="69" spans="1:26" s="69" customFormat="1" ht="15" customHeight="1" outlineLevel="1" collapsed="1" x14ac:dyDescent="0.3">
      <c r="A69" s="20"/>
      <c r="B69" s="11" t="str">
        <f>CONCATENATE("     ","Inventory Adjustment                              ")</f>
        <v xml:space="preserve">     Inventory Adjustment                              </v>
      </c>
      <c r="C69" s="11"/>
      <c r="D69" s="2">
        <f>SUM(OSRRefD22_8x_0)</f>
        <v>-15000</v>
      </c>
      <c r="E69" s="2"/>
      <c r="F69" s="5">
        <f t="shared" si="20"/>
        <v>-1.1166513561358502</v>
      </c>
      <c r="G69" s="2"/>
      <c r="H69" s="2">
        <f>SUM(OSRRefH22_8x_0)</f>
        <v>15000</v>
      </c>
      <c r="I69" s="2"/>
      <c r="J69" s="5">
        <f t="shared" si="21"/>
        <v>0.57707844419651444</v>
      </c>
      <c r="K69" s="2"/>
      <c r="L69" s="2">
        <f t="shared" si="22"/>
        <v>-30000</v>
      </c>
      <c r="M69" s="2"/>
      <c r="N69" s="5">
        <f t="shared" si="23"/>
        <v>-2</v>
      </c>
      <c r="O69" s="11"/>
      <c r="P69" s="2">
        <f>SUM(OSRRefP22_8x_0)</f>
        <v>0</v>
      </c>
      <c r="Q69" s="2"/>
      <c r="R69" s="5">
        <f t="shared" si="24"/>
        <v>0</v>
      </c>
      <c r="S69" s="2"/>
      <c r="T69" s="2">
        <f>SUM(OSRRefT22_8x_0)</f>
        <v>30000</v>
      </c>
      <c r="U69" s="2"/>
      <c r="V69" s="5">
        <f t="shared" si="25"/>
        <v>9.2731460817248538E-3</v>
      </c>
      <c r="W69" s="2"/>
      <c r="X69" s="2">
        <f t="shared" si="26"/>
        <v>-30000</v>
      </c>
      <c r="Y69" s="2"/>
      <c r="Z69" s="5">
        <f t="shared" si="27"/>
        <v>-1</v>
      </c>
    </row>
    <row r="70" spans="1:26" s="70" customFormat="1" ht="15" hidden="1" customHeight="1" outlineLevel="2" x14ac:dyDescent="0.3">
      <c r="A70" s="21"/>
      <c r="B70" s="9" t="str">
        <f>CONCATENATE("          ","6408"," - ","INVENTORY ADJUSTMENT")</f>
        <v xml:space="preserve">          6408 - INVENTORY ADJUSTMENT</v>
      </c>
      <c r="C70" s="9"/>
      <c r="D70" s="6">
        <v>-15000</v>
      </c>
      <c r="E70" s="3"/>
      <c r="F70" s="7">
        <f t="shared" si="20"/>
        <v>-1.1166513561358502</v>
      </c>
      <c r="G70" s="3"/>
      <c r="H70" s="6">
        <v>15000</v>
      </c>
      <c r="I70" s="3"/>
      <c r="J70" s="7">
        <f t="shared" si="21"/>
        <v>0.57707844419651444</v>
      </c>
      <c r="K70" s="3"/>
      <c r="L70" s="6">
        <f t="shared" si="22"/>
        <v>-30000</v>
      </c>
      <c r="M70" s="3"/>
      <c r="N70" s="7">
        <f t="shared" si="23"/>
        <v>-2</v>
      </c>
      <c r="O70" s="9"/>
      <c r="P70" s="6">
        <v>0</v>
      </c>
      <c r="Q70" s="3"/>
      <c r="R70" s="7">
        <f t="shared" si="24"/>
        <v>0</v>
      </c>
      <c r="S70" s="3"/>
      <c r="T70" s="6">
        <v>30000</v>
      </c>
      <c r="U70" s="3"/>
      <c r="V70" s="7">
        <f t="shared" si="25"/>
        <v>9.2731460817248538E-3</v>
      </c>
      <c r="W70" s="3"/>
      <c r="X70" s="6">
        <f t="shared" si="26"/>
        <v>-30000</v>
      </c>
      <c r="Y70" s="3"/>
      <c r="Z70" s="7">
        <f t="shared" si="27"/>
        <v>-1</v>
      </c>
    </row>
    <row r="71" spans="1:26" s="69" customFormat="1" ht="15" customHeight="1" outlineLevel="1" collapsed="1" x14ac:dyDescent="0.3">
      <c r="A71" s="20"/>
      <c r="B71" s="11" t="str">
        <f>CONCATENATE("     ","Repair and Maintenance                            ")</f>
        <v xml:space="preserve">     Repair and Maintenance                            </v>
      </c>
      <c r="C71" s="11"/>
      <c r="D71" s="2">
        <f>SUM(OSRRefD22_9x_0)</f>
        <v>93.41</v>
      </c>
      <c r="E71" s="2"/>
      <c r="F71" s="5">
        <f t="shared" si="20"/>
        <v>6.9537602117766516E-3</v>
      </c>
      <c r="G71" s="2"/>
      <c r="H71" s="2">
        <f>SUM(OSRRefH22_9x_0)</f>
        <v>80</v>
      </c>
      <c r="I71" s="2"/>
      <c r="J71" s="5">
        <f t="shared" si="21"/>
        <v>3.0777517023814105E-3</v>
      </c>
      <c r="K71" s="2"/>
      <c r="L71" s="2">
        <f t="shared" si="22"/>
        <v>13.409999999999997</v>
      </c>
      <c r="M71" s="2"/>
      <c r="N71" s="5">
        <f t="shared" si="23"/>
        <v>0.16762499999999997</v>
      </c>
      <c r="O71" s="11"/>
      <c r="P71" s="2">
        <f>SUM(OSRRefP22_9x_0)</f>
        <v>6177.66</v>
      </c>
      <c r="Q71" s="2"/>
      <c r="R71" s="5">
        <f t="shared" si="24"/>
        <v>3.4245616627482343E-3</v>
      </c>
      <c r="S71" s="2"/>
      <c r="T71" s="2">
        <f>SUM(OSRRefT22_9x_0)</f>
        <v>960</v>
      </c>
      <c r="U71" s="2"/>
      <c r="V71" s="5">
        <f t="shared" si="25"/>
        <v>2.9674067461519534E-4</v>
      </c>
      <c r="W71" s="2"/>
      <c r="X71" s="2">
        <f t="shared" si="26"/>
        <v>5217.66</v>
      </c>
      <c r="Y71" s="2"/>
      <c r="Z71" s="5">
        <f t="shared" si="27"/>
        <v>5.4350624999999999</v>
      </c>
    </row>
    <row r="72" spans="1:26" s="70" customFormat="1" ht="15" hidden="1" customHeight="1" outlineLevel="2" x14ac:dyDescent="0.3">
      <c r="A72" s="21"/>
      <c r="B72" s="9" t="str">
        <f>CONCATENATE("          ","6371"," - ","COMPUTER SOFTWARE MAINTENANCE")</f>
        <v xml:space="preserve">          6371 - COMPUTER SOFTWARE MAINTENANCE</v>
      </c>
      <c r="C72" s="9"/>
      <c r="D72" s="6"/>
      <c r="E72" s="3"/>
      <c r="F72" s="7">
        <f t="shared" si="20"/>
        <v>0</v>
      </c>
      <c r="G72" s="3"/>
      <c r="H72" s="6"/>
      <c r="I72" s="3"/>
      <c r="J72" s="7">
        <f t="shared" si="21"/>
        <v>0</v>
      </c>
      <c r="K72" s="3"/>
      <c r="L72" s="6">
        <f t="shared" si="22"/>
        <v>0</v>
      </c>
      <c r="M72" s="3"/>
      <c r="N72" s="7">
        <f t="shared" si="23"/>
        <v>0</v>
      </c>
      <c r="O72" s="9"/>
      <c r="P72" s="6">
        <v>5775</v>
      </c>
      <c r="Q72" s="3"/>
      <c r="R72" s="7">
        <f t="shared" si="24"/>
        <v>3.2013486663835583E-3</v>
      </c>
      <c r="S72" s="3"/>
      <c r="T72" s="6">
        <v>0</v>
      </c>
      <c r="U72" s="3"/>
      <c r="V72" s="7">
        <f t="shared" si="25"/>
        <v>0</v>
      </c>
      <c r="W72" s="3"/>
      <c r="X72" s="6">
        <f t="shared" si="26"/>
        <v>5775</v>
      </c>
      <c r="Y72" s="3"/>
      <c r="Z72" s="7">
        <f t="shared" si="27"/>
        <v>0</v>
      </c>
    </row>
    <row r="73" spans="1:26" s="70" customFormat="1" ht="15" hidden="1" customHeight="1" outlineLevel="2" x14ac:dyDescent="0.3">
      <c r="A73" s="21"/>
      <c r="B73" s="9" t="str">
        <f>CONCATENATE("          ","6373"," - ","MAINTENANCE CONTRACTS")</f>
        <v xml:space="preserve">          6373 - MAINTENANCE CONTRACTS</v>
      </c>
      <c r="C73" s="9"/>
      <c r="D73" s="6">
        <v>93.41</v>
      </c>
      <c r="E73" s="3"/>
      <c r="F73" s="7">
        <f t="shared" si="20"/>
        <v>6.9537602117766516E-3</v>
      </c>
      <c r="G73" s="3"/>
      <c r="H73" s="6">
        <v>40</v>
      </c>
      <c r="I73" s="3"/>
      <c r="J73" s="7">
        <f t="shared" si="21"/>
        <v>1.5388758511907053E-3</v>
      </c>
      <c r="K73" s="3"/>
      <c r="L73" s="6">
        <f t="shared" si="22"/>
        <v>53.41</v>
      </c>
      <c r="M73" s="3"/>
      <c r="N73" s="7">
        <f t="shared" si="23"/>
        <v>1.3352499999999998</v>
      </c>
      <c r="O73" s="9"/>
      <c r="P73" s="6">
        <v>265.24</v>
      </c>
      <c r="Q73" s="3"/>
      <c r="R73" s="7">
        <f t="shared" si="24"/>
        <v>1.470347567569827E-4</v>
      </c>
      <c r="S73" s="3"/>
      <c r="T73" s="6">
        <v>480</v>
      </c>
      <c r="U73" s="3"/>
      <c r="V73" s="7">
        <f t="shared" si="25"/>
        <v>1.4837033730759767E-4</v>
      </c>
      <c r="W73" s="3"/>
      <c r="X73" s="6">
        <f t="shared" si="26"/>
        <v>-214.76</v>
      </c>
      <c r="Y73" s="3"/>
      <c r="Z73" s="7">
        <f t="shared" si="27"/>
        <v>-0.44741666666666663</v>
      </c>
    </row>
    <row r="74" spans="1:26" s="70" customFormat="1" ht="15" hidden="1" customHeight="1" outlineLevel="2" x14ac:dyDescent="0.3">
      <c r="A74" s="21"/>
      <c r="B74" s="9" t="str">
        <f>CONCATENATE("          ","6375"," - ","OUTSIDE REPAIRS &amp; MAINTENANCE")</f>
        <v xml:space="preserve">          6375 - OUTSIDE REPAIRS &amp; MAINTENANCE</v>
      </c>
      <c r="C74" s="9"/>
      <c r="D74" s="6"/>
      <c r="E74" s="3"/>
      <c r="F74" s="7">
        <f t="shared" si="20"/>
        <v>0</v>
      </c>
      <c r="G74" s="3"/>
      <c r="H74" s="6">
        <v>40</v>
      </c>
      <c r="I74" s="3"/>
      <c r="J74" s="7">
        <f t="shared" si="21"/>
        <v>1.5388758511907053E-3</v>
      </c>
      <c r="K74" s="3"/>
      <c r="L74" s="6">
        <f t="shared" si="22"/>
        <v>-40</v>
      </c>
      <c r="M74" s="3"/>
      <c r="N74" s="7">
        <f t="shared" si="23"/>
        <v>-1</v>
      </c>
      <c r="O74" s="9"/>
      <c r="P74" s="6">
        <v>137.41999999999999</v>
      </c>
      <c r="Q74" s="3"/>
      <c r="R74" s="7">
        <f t="shared" si="24"/>
        <v>7.6178239607693253E-5</v>
      </c>
      <c r="S74" s="3"/>
      <c r="T74" s="6">
        <v>480</v>
      </c>
      <c r="U74" s="3"/>
      <c r="V74" s="7">
        <f t="shared" si="25"/>
        <v>1.4837033730759767E-4</v>
      </c>
      <c r="W74" s="3"/>
      <c r="X74" s="6">
        <f t="shared" si="26"/>
        <v>-342.58000000000004</v>
      </c>
      <c r="Y74" s="3"/>
      <c r="Z74" s="7">
        <f t="shared" si="27"/>
        <v>-0.71370833333333339</v>
      </c>
    </row>
    <row r="75" spans="1:26" s="69" customFormat="1" ht="15" customHeight="1" outlineLevel="1" collapsed="1" x14ac:dyDescent="0.3">
      <c r="A75" s="20"/>
      <c r="B75" s="11" t="str">
        <f>CONCATENATE("     ","Subscriptions &amp; Dues                              ")</f>
        <v xml:space="preserve">     Subscriptions &amp; Dues                              </v>
      </c>
      <c r="C75" s="11"/>
      <c r="D75" s="2">
        <f>SUM(OSRRefD22_10x_0)</f>
        <v>272.35000000000002</v>
      </c>
      <c r="E75" s="2"/>
      <c r="F75" s="5">
        <f t="shared" si="20"/>
        <v>2.0274666456239925E-2</v>
      </c>
      <c r="G75" s="2"/>
      <c r="H75" s="2">
        <f>SUM(OSRRefH22_10x_0)</f>
        <v>300</v>
      </c>
      <c r="I75" s="2"/>
      <c r="J75" s="5">
        <f t="shared" si="21"/>
        <v>1.1541568883930289E-2</v>
      </c>
      <c r="K75" s="2"/>
      <c r="L75" s="2">
        <f t="shared" si="22"/>
        <v>-27.649999999999977</v>
      </c>
      <c r="M75" s="2"/>
      <c r="N75" s="5">
        <f t="shared" si="23"/>
        <v>-9.2166666666666591E-2</v>
      </c>
      <c r="O75" s="11"/>
      <c r="P75" s="2">
        <f>SUM(OSRRefP22_10x_0)</f>
        <v>6700.33</v>
      </c>
      <c r="Q75" s="2"/>
      <c r="R75" s="5">
        <f t="shared" si="24"/>
        <v>3.7143017333038527E-3</v>
      </c>
      <c r="S75" s="2"/>
      <c r="T75" s="2">
        <f>SUM(OSRRefT22_10x_0)</f>
        <v>5500</v>
      </c>
      <c r="U75" s="2"/>
      <c r="V75" s="5">
        <f t="shared" si="25"/>
        <v>1.7000767816495567E-3</v>
      </c>
      <c r="W75" s="2"/>
      <c r="X75" s="2">
        <f t="shared" si="26"/>
        <v>1200.33</v>
      </c>
      <c r="Y75" s="2"/>
      <c r="Z75" s="5">
        <f t="shared" si="27"/>
        <v>0.21824181818181818</v>
      </c>
    </row>
    <row r="76" spans="1:26" s="70" customFormat="1" ht="15" hidden="1" customHeight="1" outlineLevel="2" x14ac:dyDescent="0.3">
      <c r="A76" s="21"/>
      <c r="B76" s="9" t="str">
        <f>CONCATENATE("          ","6258"," - ","MEMBERSHIP DUES")</f>
        <v xml:space="preserve">          6258 - MEMBERSHIP DUES</v>
      </c>
      <c r="C76" s="9"/>
      <c r="D76" s="6">
        <v>272.35000000000002</v>
      </c>
      <c r="E76" s="3"/>
      <c r="F76" s="7">
        <f t="shared" si="20"/>
        <v>2.0274666456239925E-2</v>
      </c>
      <c r="G76" s="3"/>
      <c r="H76" s="6">
        <v>300</v>
      </c>
      <c r="I76" s="3"/>
      <c r="J76" s="7">
        <f t="shared" si="21"/>
        <v>1.1541568883930289E-2</v>
      </c>
      <c r="K76" s="3"/>
      <c r="L76" s="6">
        <f t="shared" si="22"/>
        <v>-27.649999999999977</v>
      </c>
      <c r="M76" s="3"/>
      <c r="N76" s="7">
        <f t="shared" si="23"/>
        <v>-9.2166666666666591E-2</v>
      </c>
      <c r="O76" s="9"/>
      <c r="P76" s="6">
        <v>3348.94</v>
      </c>
      <c r="Q76" s="3"/>
      <c r="R76" s="7">
        <f t="shared" si="24"/>
        <v>1.8564717926923904E-3</v>
      </c>
      <c r="S76" s="3"/>
      <c r="T76" s="6">
        <v>3600</v>
      </c>
      <c r="U76" s="3"/>
      <c r="V76" s="7">
        <f t="shared" si="25"/>
        <v>1.1127775298069825E-3</v>
      </c>
      <c r="W76" s="3"/>
      <c r="X76" s="6">
        <f t="shared" si="26"/>
        <v>-251.05999999999995</v>
      </c>
      <c r="Y76" s="3"/>
      <c r="Z76" s="7">
        <f t="shared" si="27"/>
        <v>-6.9738888888888878E-2</v>
      </c>
    </row>
    <row r="77" spans="1:26" s="70" customFormat="1" ht="15" hidden="1" customHeight="1" outlineLevel="2" x14ac:dyDescent="0.3">
      <c r="A77" s="21"/>
      <c r="B77" s="9" t="str">
        <f>CONCATENATE("          ","6275"," - ","SUBSCRIPTIONS")</f>
        <v xml:space="preserve">          6275 - SUBSCRIPTIONS</v>
      </c>
      <c r="C77" s="9"/>
      <c r="D77" s="6"/>
      <c r="E77" s="3"/>
      <c r="F77" s="7">
        <f t="shared" si="20"/>
        <v>0</v>
      </c>
      <c r="G77" s="3"/>
      <c r="H77" s="6"/>
      <c r="I77" s="3"/>
      <c r="J77" s="7">
        <f t="shared" si="21"/>
        <v>0</v>
      </c>
      <c r="K77" s="3"/>
      <c r="L77" s="6">
        <f t="shared" si="22"/>
        <v>0</v>
      </c>
      <c r="M77" s="3"/>
      <c r="N77" s="7">
        <f t="shared" si="23"/>
        <v>0</v>
      </c>
      <c r="O77" s="9"/>
      <c r="P77" s="6">
        <v>3351.39</v>
      </c>
      <c r="Q77" s="3"/>
      <c r="R77" s="7">
        <f t="shared" si="24"/>
        <v>1.8578299406114621E-3</v>
      </c>
      <c r="S77" s="3"/>
      <c r="T77" s="6">
        <v>1900</v>
      </c>
      <c r="U77" s="3"/>
      <c r="V77" s="7">
        <f t="shared" si="25"/>
        <v>5.8729925184257414E-4</v>
      </c>
      <c r="W77" s="3"/>
      <c r="X77" s="6">
        <f t="shared" si="26"/>
        <v>1451.3899999999999</v>
      </c>
      <c r="Y77" s="3"/>
      <c r="Z77" s="7">
        <f t="shared" si="27"/>
        <v>0.76388947368421045</v>
      </c>
    </row>
    <row r="78" spans="1:26" s="69" customFormat="1" ht="15" customHeight="1" outlineLevel="1" collapsed="1" x14ac:dyDescent="0.3">
      <c r="A78" s="20"/>
      <c r="B78" s="11" t="str">
        <f>CONCATENATE("     ","Supplies                                          ")</f>
        <v xml:space="preserve">     Supplies                                          </v>
      </c>
      <c r="C78" s="11"/>
      <c r="D78" s="2">
        <f>SUM(OSRRefD22_11x_0)</f>
        <v>969.19</v>
      </c>
      <c r="E78" s="2"/>
      <c r="F78" s="5">
        <f t="shared" si="20"/>
        <v>7.2149821856886981E-2</v>
      </c>
      <c r="G78" s="2"/>
      <c r="H78" s="2">
        <f>SUM(OSRRefH22_11x_0)</f>
        <v>600</v>
      </c>
      <c r="I78" s="2"/>
      <c r="J78" s="5">
        <f t="shared" si="21"/>
        <v>2.3083137767860577E-2</v>
      </c>
      <c r="K78" s="2"/>
      <c r="L78" s="2">
        <f t="shared" si="22"/>
        <v>369.19000000000005</v>
      </c>
      <c r="M78" s="2"/>
      <c r="N78" s="5">
        <f t="shared" si="23"/>
        <v>0.61531666666666673</v>
      </c>
      <c r="O78" s="11"/>
      <c r="P78" s="2">
        <f>SUM(OSRRefP22_11x_0)</f>
        <v>3452.94</v>
      </c>
      <c r="Q78" s="2"/>
      <c r="R78" s="5">
        <f t="shared" si="24"/>
        <v>1.9141237859917654E-3</v>
      </c>
      <c r="S78" s="2"/>
      <c r="T78" s="2">
        <f>SUM(OSRRefT22_11x_0)</f>
        <v>10000</v>
      </c>
      <c r="U78" s="2"/>
      <c r="V78" s="5">
        <f t="shared" si="25"/>
        <v>3.0910486939082849E-3</v>
      </c>
      <c r="W78" s="2"/>
      <c r="X78" s="2">
        <f t="shared" si="26"/>
        <v>-6547.0599999999995</v>
      </c>
      <c r="Y78" s="2"/>
      <c r="Z78" s="5">
        <f t="shared" si="27"/>
        <v>-0.6547059999999999</v>
      </c>
    </row>
    <row r="79" spans="1:26" s="70" customFormat="1" ht="15" hidden="1" customHeight="1" outlineLevel="2" x14ac:dyDescent="0.3">
      <c r="A79" s="21"/>
      <c r="B79" s="9" t="str">
        <f>CONCATENATE("          ","6241"," - ","OFFICE EXPENSE")</f>
        <v xml:space="preserve">          6241 - OFFICE EXPENSE</v>
      </c>
      <c r="C79" s="9"/>
      <c r="D79" s="6">
        <v>228.31</v>
      </c>
      <c r="E79" s="3"/>
      <c r="F79" s="7">
        <f t="shared" si="20"/>
        <v>1.6996178074625064E-2</v>
      </c>
      <c r="G79" s="3"/>
      <c r="H79" s="6">
        <v>200</v>
      </c>
      <c r="I79" s="3"/>
      <c r="J79" s="7">
        <f t="shared" si="21"/>
        <v>7.6943792559535261E-3</v>
      </c>
      <c r="K79" s="3"/>
      <c r="L79" s="6">
        <f t="shared" si="22"/>
        <v>28.310000000000002</v>
      </c>
      <c r="M79" s="3"/>
      <c r="N79" s="7">
        <f t="shared" si="23"/>
        <v>0.14155000000000001</v>
      </c>
      <c r="O79" s="9"/>
      <c r="P79" s="6">
        <v>2000.68</v>
      </c>
      <c r="Q79" s="3"/>
      <c r="R79" s="7">
        <f t="shared" si="24"/>
        <v>1.1090691341749364E-3</v>
      </c>
      <c r="S79" s="3"/>
      <c r="T79" s="6">
        <v>4700</v>
      </c>
      <c r="U79" s="3"/>
      <c r="V79" s="7">
        <f t="shared" si="25"/>
        <v>1.452792886136894E-3</v>
      </c>
      <c r="W79" s="3"/>
      <c r="X79" s="6">
        <f t="shared" si="26"/>
        <v>-2699.3199999999997</v>
      </c>
      <c r="Y79" s="3"/>
      <c r="Z79" s="7">
        <f t="shared" si="27"/>
        <v>-0.57432340425531914</v>
      </c>
    </row>
    <row r="80" spans="1:26" s="70" customFormat="1" ht="15" hidden="1" customHeight="1" outlineLevel="2" x14ac:dyDescent="0.3">
      <c r="A80" s="21"/>
      <c r="B80" s="9" t="str">
        <f>CONCATENATE("          ","6247"," - ","STORE SUPPLIES")</f>
        <v xml:space="preserve">          6247 - STORE SUPPLIES</v>
      </c>
      <c r="C80" s="9"/>
      <c r="D80" s="6">
        <v>740.88</v>
      </c>
      <c r="E80" s="3"/>
      <c r="F80" s="7">
        <f t="shared" si="20"/>
        <v>5.5153643782261917E-2</v>
      </c>
      <c r="G80" s="3"/>
      <c r="H80" s="6">
        <v>400</v>
      </c>
      <c r="I80" s="3"/>
      <c r="J80" s="7">
        <f t="shared" si="21"/>
        <v>1.5388758511907052E-2</v>
      </c>
      <c r="K80" s="3"/>
      <c r="L80" s="6">
        <f t="shared" si="22"/>
        <v>340.88</v>
      </c>
      <c r="M80" s="3"/>
      <c r="N80" s="7">
        <f t="shared" si="23"/>
        <v>0.85219999999999996</v>
      </c>
      <c r="O80" s="9"/>
      <c r="P80" s="6">
        <v>1452.26</v>
      </c>
      <c r="Q80" s="3"/>
      <c r="R80" s="7">
        <f t="shared" si="24"/>
        <v>8.0505465181682884E-4</v>
      </c>
      <c r="S80" s="3"/>
      <c r="T80" s="6">
        <v>5300</v>
      </c>
      <c r="U80" s="3"/>
      <c r="V80" s="7">
        <f t="shared" si="25"/>
        <v>1.6382558077713909E-3</v>
      </c>
      <c r="W80" s="3"/>
      <c r="X80" s="6">
        <f t="shared" si="26"/>
        <v>-3847.74</v>
      </c>
      <c r="Y80" s="3"/>
      <c r="Z80" s="7">
        <f t="shared" si="27"/>
        <v>-0.72598867924528299</v>
      </c>
    </row>
    <row r="81" spans="1:26" s="69" customFormat="1" ht="15" customHeight="1" outlineLevel="1" collapsed="1" x14ac:dyDescent="0.3">
      <c r="A81" s="20"/>
      <c r="B81" s="11" t="str">
        <f>CONCATENATE("     ","Telephone/Data Lines                              ")</f>
        <v xml:space="preserve">     Telephone/Data Lines                              </v>
      </c>
      <c r="C81" s="11"/>
      <c r="D81" s="2">
        <f>SUM(OSRRefD22_12x_0)</f>
        <v>375.29</v>
      </c>
      <c r="E81" s="2"/>
      <c r="F81" s="5">
        <f t="shared" si="20"/>
        <v>2.7937872496281553E-2</v>
      </c>
      <c r="G81" s="2"/>
      <c r="H81" s="2">
        <f>SUM(OSRRefH22_12x_0)</f>
        <v>350</v>
      </c>
      <c r="I81" s="2"/>
      <c r="J81" s="5">
        <f t="shared" si="21"/>
        <v>1.3465163697918671E-2</v>
      </c>
      <c r="K81" s="2"/>
      <c r="L81" s="2">
        <f t="shared" si="22"/>
        <v>25.29000000000002</v>
      </c>
      <c r="M81" s="2"/>
      <c r="N81" s="5">
        <f t="shared" si="23"/>
        <v>7.2257142857142923E-2</v>
      </c>
      <c r="O81" s="11"/>
      <c r="P81" s="2">
        <f>SUM(OSRRefP22_12x_0)</f>
        <v>6334.89</v>
      </c>
      <c r="Q81" s="2"/>
      <c r="R81" s="5">
        <f t="shared" si="24"/>
        <v>3.51172149838728E-3</v>
      </c>
      <c r="S81" s="2"/>
      <c r="T81" s="2">
        <f>SUM(OSRRefT22_12x_0)</f>
        <v>4800</v>
      </c>
      <c r="U81" s="2"/>
      <c r="V81" s="5">
        <f t="shared" si="25"/>
        <v>1.4837033730759766E-3</v>
      </c>
      <c r="W81" s="2"/>
      <c r="X81" s="2">
        <f t="shared" si="26"/>
        <v>1534.8900000000003</v>
      </c>
      <c r="Y81" s="2"/>
      <c r="Z81" s="5">
        <f t="shared" si="27"/>
        <v>0.31976875000000005</v>
      </c>
    </row>
    <row r="82" spans="1:26" s="70" customFormat="1" ht="15" hidden="1" customHeight="1" outlineLevel="2" x14ac:dyDescent="0.3">
      <c r="A82" s="21"/>
      <c r="B82" s="9" t="str">
        <f>CONCATENATE("          ","6303"," - ","DATA PHONE LINES")</f>
        <v xml:space="preserve">          6303 - DATA PHONE LINES</v>
      </c>
      <c r="C82" s="9"/>
      <c r="D82" s="6"/>
      <c r="E82" s="3"/>
      <c r="F82" s="7">
        <f t="shared" si="20"/>
        <v>0</v>
      </c>
      <c r="G82" s="3"/>
      <c r="H82" s="6">
        <v>0</v>
      </c>
      <c r="I82" s="3"/>
      <c r="J82" s="7">
        <f t="shared" si="21"/>
        <v>0</v>
      </c>
      <c r="K82" s="3"/>
      <c r="L82" s="6">
        <f t="shared" si="22"/>
        <v>0</v>
      </c>
      <c r="M82" s="3"/>
      <c r="N82" s="7">
        <f t="shared" si="23"/>
        <v>0</v>
      </c>
      <c r="O82" s="9"/>
      <c r="P82" s="6">
        <v>295</v>
      </c>
      <c r="Q82" s="3"/>
      <c r="R82" s="7">
        <f t="shared" si="24"/>
        <v>1.635320963780346E-4</v>
      </c>
      <c r="S82" s="3"/>
      <c r="T82" s="6">
        <v>0</v>
      </c>
      <c r="U82" s="3"/>
      <c r="V82" s="7">
        <f t="shared" si="25"/>
        <v>0</v>
      </c>
      <c r="W82" s="3"/>
      <c r="X82" s="6">
        <f t="shared" si="26"/>
        <v>295</v>
      </c>
      <c r="Y82" s="3"/>
      <c r="Z82" s="7">
        <f t="shared" si="27"/>
        <v>0</v>
      </c>
    </row>
    <row r="83" spans="1:26" s="70" customFormat="1" ht="15" hidden="1" customHeight="1" outlineLevel="2" x14ac:dyDescent="0.3">
      <c r="A83" s="21"/>
      <c r="B83" s="9" t="str">
        <f>CONCATENATE("          ","6309"," - ","TELEPHONE")</f>
        <v xml:space="preserve">          6309 - TELEPHONE</v>
      </c>
      <c r="C83" s="9"/>
      <c r="D83" s="6">
        <v>375.29</v>
      </c>
      <c r="E83" s="3"/>
      <c r="F83" s="7">
        <f t="shared" si="20"/>
        <v>2.7937872496281553E-2</v>
      </c>
      <c r="G83" s="3"/>
      <c r="H83" s="6">
        <v>350</v>
      </c>
      <c r="I83" s="3"/>
      <c r="J83" s="7">
        <f t="shared" si="21"/>
        <v>1.3465163697918671E-2</v>
      </c>
      <c r="K83" s="3"/>
      <c r="L83" s="6">
        <f t="shared" si="22"/>
        <v>25.29000000000002</v>
      </c>
      <c r="M83" s="3"/>
      <c r="N83" s="7">
        <f t="shared" si="23"/>
        <v>7.2257142857142923E-2</v>
      </c>
      <c r="O83" s="9"/>
      <c r="P83" s="6">
        <v>6039.89</v>
      </c>
      <c r="Q83" s="3"/>
      <c r="R83" s="7">
        <f t="shared" si="24"/>
        <v>3.3481894020092455E-3</v>
      </c>
      <c r="S83" s="3"/>
      <c r="T83" s="6">
        <v>4800</v>
      </c>
      <c r="U83" s="3"/>
      <c r="V83" s="7">
        <f t="shared" si="25"/>
        <v>1.4837033730759766E-3</v>
      </c>
      <c r="W83" s="3"/>
      <c r="X83" s="6">
        <f t="shared" si="26"/>
        <v>1239.8900000000003</v>
      </c>
      <c r="Y83" s="3"/>
      <c r="Z83" s="7">
        <f t="shared" si="27"/>
        <v>0.25831041666666671</v>
      </c>
    </row>
    <row r="84" spans="1:26" s="69" customFormat="1" ht="15" customHeight="1" outlineLevel="1" collapsed="1" x14ac:dyDescent="0.3">
      <c r="A84" s="20"/>
      <c r="B84" s="11" t="str">
        <f>CONCATENATE("     ","Training                                          ")</f>
        <v xml:space="preserve">     Training                                          </v>
      </c>
      <c r="C84" s="11"/>
      <c r="D84" s="2">
        <f>SUM(OSRRefD22_13x_0)</f>
        <v>0</v>
      </c>
      <c r="E84" s="2"/>
      <c r="F84" s="5">
        <f t="shared" si="20"/>
        <v>0</v>
      </c>
      <c r="G84" s="2"/>
      <c r="H84" s="2">
        <f>SUM(OSRRefH22_13x_0)</f>
        <v>0</v>
      </c>
      <c r="I84" s="2"/>
      <c r="J84" s="5">
        <f t="shared" si="21"/>
        <v>0</v>
      </c>
      <c r="K84" s="2"/>
      <c r="L84" s="2">
        <f t="shared" si="22"/>
        <v>0</v>
      </c>
      <c r="M84" s="2"/>
      <c r="N84" s="5">
        <f t="shared" si="23"/>
        <v>0</v>
      </c>
      <c r="O84" s="11"/>
      <c r="P84" s="2">
        <f>SUM(OSRRefP22_13x_0)</f>
        <v>125</v>
      </c>
      <c r="Q84" s="2"/>
      <c r="R84" s="5">
        <f t="shared" si="24"/>
        <v>6.9293261177133295E-5</v>
      </c>
      <c r="S84" s="2"/>
      <c r="T84" s="2">
        <f>SUM(OSRRefT22_13x_0)</f>
        <v>0</v>
      </c>
      <c r="U84" s="2"/>
      <c r="V84" s="5">
        <f t="shared" si="25"/>
        <v>0</v>
      </c>
      <c r="W84" s="2"/>
      <c r="X84" s="2">
        <f t="shared" si="26"/>
        <v>125</v>
      </c>
      <c r="Y84" s="2"/>
      <c r="Z84" s="5">
        <f t="shared" si="27"/>
        <v>0</v>
      </c>
    </row>
    <row r="85" spans="1:26" s="70" customFormat="1" ht="15" hidden="1" customHeight="1" outlineLevel="2" x14ac:dyDescent="0.3">
      <c r="A85" s="21"/>
      <c r="B85" s="9" t="str">
        <f>CONCATENATE("          ","6376"," - ","TRAINING")</f>
        <v xml:space="preserve">          6376 - TRAINING</v>
      </c>
      <c r="C85" s="9"/>
      <c r="D85" s="6"/>
      <c r="E85" s="3"/>
      <c r="F85" s="7">
        <f t="shared" si="20"/>
        <v>0</v>
      </c>
      <c r="G85" s="3"/>
      <c r="H85" s="6"/>
      <c r="I85" s="3"/>
      <c r="J85" s="7">
        <f t="shared" si="21"/>
        <v>0</v>
      </c>
      <c r="K85" s="3"/>
      <c r="L85" s="6">
        <f t="shared" si="22"/>
        <v>0</v>
      </c>
      <c r="M85" s="3"/>
      <c r="N85" s="7">
        <f t="shared" si="23"/>
        <v>0</v>
      </c>
      <c r="O85" s="9"/>
      <c r="P85" s="6">
        <v>125</v>
      </c>
      <c r="Q85" s="3"/>
      <c r="R85" s="7">
        <f t="shared" si="24"/>
        <v>6.9293261177133295E-5</v>
      </c>
      <c r="S85" s="3"/>
      <c r="T85" s="6">
        <v>0</v>
      </c>
      <c r="U85" s="3"/>
      <c r="V85" s="7">
        <f t="shared" si="25"/>
        <v>0</v>
      </c>
      <c r="W85" s="3"/>
      <c r="X85" s="6">
        <f t="shared" si="26"/>
        <v>125</v>
      </c>
      <c r="Y85" s="3"/>
      <c r="Z85" s="7">
        <f t="shared" si="27"/>
        <v>0</v>
      </c>
    </row>
    <row r="86" spans="1:26" s="65" customFormat="1" ht="15" customHeight="1" x14ac:dyDescent="0.3">
      <c r="A86" s="36"/>
      <c r="B86" s="36"/>
      <c r="C86" s="36"/>
      <c r="D86" s="2"/>
      <c r="E86" s="2"/>
      <c r="F86" s="5"/>
      <c r="G86" s="2"/>
      <c r="H86" s="2"/>
      <c r="I86" s="2"/>
      <c r="J86" s="5"/>
      <c r="K86" s="2"/>
      <c r="L86" s="2"/>
      <c r="M86" s="2"/>
      <c r="N86" s="5"/>
      <c r="O86" s="36"/>
      <c r="P86" s="2"/>
      <c r="Q86" s="2"/>
      <c r="R86" s="5"/>
      <c r="S86" s="2"/>
      <c r="T86" s="2"/>
      <c r="U86" s="2"/>
      <c r="V86" s="5"/>
      <c r="W86" s="2"/>
      <c r="X86" s="2"/>
      <c r="Y86" s="2"/>
      <c r="Z86" s="5"/>
    </row>
    <row r="87" spans="1:26" s="63" customFormat="1" ht="15" customHeight="1" collapsed="1" x14ac:dyDescent="0.3">
      <c r="A87" s="13"/>
      <c r="B87" s="28" t="s">
        <v>291</v>
      </c>
      <c r="C87" s="13"/>
      <c r="D87" s="8">
        <f>SUM(OSRRefD25x_0)</f>
        <v>6599.43</v>
      </c>
      <c r="E87" s="8"/>
      <c r="F87" s="14">
        <f>IF(D$12=0,0,D87/D$12)</f>
        <v>0.49128416394824098</v>
      </c>
      <c r="G87" s="8"/>
      <c r="H87" s="8">
        <f>SUM(OSRRefH25x_0)</f>
        <v>8042</v>
      </c>
      <c r="I87" s="8"/>
      <c r="J87" s="14">
        <f>IF(H$12=0,0,H87/H$12)</f>
        <v>0.30939098988189129</v>
      </c>
      <c r="K87" s="8"/>
      <c r="L87" s="8">
        <f>+D87-H87</f>
        <v>-1442.5699999999997</v>
      </c>
      <c r="M87" s="8"/>
      <c r="N87" s="14">
        <f>IF(H87=0,0,L87/H87)</f>
        <v>-0.17937950758517779</v>
      </c>
      <c r="O87" s="13"/>
      <c r="P87" s="8">
        <f>SUM(OSRRefP25x_0)</f>
        <v>366276.3</v>
      </c>
      <c r="Q87" s="8"/>
      <c r="R87" s="14">
        <f>IF(P$12=0,0,P87/P$12)</f>
        <v>0.20304383455115224</v>
      </c>
      <c r="S87" s="8"/>
      <c r="T87" s="8">
        <f>SUM(OSRRefT25x_0)</f>
        <v>374812.23</v>
      </c>
      <c r="U87" s="8"/>
      <c r="V87" s="14">
        <f>IF(T$12=0,0,T87/T$12)</f>
        <v>0.11585628540023517</v>
      </c>
      <c r="W87" s="8"/>
      <c r="X87" s="8">
        <f>+P87-T87</f>
        <v>-8535.929999999993</v>
      </c>
      <c r="Y87" s="8"/>
      <c r="Z87" s="14">
        <f>IF(T87=0,0,X87/T87)</f>
        <v>-2.277388333886542E-2</v>
      </c>
    </row>
    <row r="88" spans="1:26" s="70" customFormat="1" ht="15" hidden="1" customHeight="1" outlineLevel="1" x14ac:dyDescent="0.3">
      <c r="A88" s="48"/>
      <c r="B88" s="9" t="str">
        <f>CONCATENATE("          ","9150"," - ","MISC. INCOME")</f>
        <v xml:space="preserve">          9150 - MISC. INCOME</v>
      </c>
      <c r="C88" s="9"/>
      <c r="D88" s="3">
        <f>--2283.85</f>
        <v>2283.85</v>
      </c>
      <c r="E88" s="3"/>
      <c r="F88" s="26">
        <f>IF(D$12=0,0,D88/D$12)</f>
        <v>0.17001761331405743</v>
      </c>
      <c r="G88" s="3"/>
      <c r="H88" s="3">
        <v>2925</v>
      </c>
      <c r="I88" s="3"/>
      <c r="J88" s="26">
        <f>IF(H$12=0,0,H88/H$12)</f>
        <v>0.11253029661832031</v>
      </c>
      <c r="K88" s="3"/>
      <c r="L88" s="3">
        <f>+D88-H88</f>
        <v>-641.15000000000009</v>
      </c>
      <c r="M88" s="3"/>
      <c r="N88" s="26">
        <f>IF(H88=0,0,L88/H88)</f>
        <v>-0.21919658119658122</v>
      </c>
      <c r="O88" s="9"/>
      <c r="P88" s="3">
        <f>--32325.87</f>
        <v>32325.87</v>
      </c>
      <c r="Q88" s="3"/>
      <c r="R88" s="26">
        <f>IF(P$12=0,0,P88/P$12)</f>
        <v>1.7919719621504463E-2</v>
      </c>
      <c r="S88" s="3"/>
      <c r="T88" s="3">
        <v>41833</v>
      </c>
      <c r="U88" s="3"/>
      <c r="V88" s="26">
        <f>IF(T$12=0,0,T88/T$12)</f>
        <v>1.2930784001226528E-2</v>
      </c>
      <c r="W88" s="3"/>
      <c r="X88" s="3">
        <f>+P88-T88</f>
        <v>-9507.130000000001</v>
      </c>
      <c r="Y88" s="3"/>
      <c r="Z88" s="26">
        <f>IF(T88=0,0,X88/T88)</f>
        <v>-0.22726388258073771</v>
      </c>
    </row>
    <row r="89" spans="1:26" s="70" customFormat="1" ht="15" hidden="1" customHeight="1" outlineLevel="1" x14ac:dyDescent="0.3">
      <c r="A89" s="48"/>
      <c r="B89" s="9" t="str">
        <f>CONCATENATE("          ","9151"," - ","MISC. INCOME")</f>
        <v xml:space="preserve">          9151 - MISC. INCOME</v>
      </c>
      <c r="C89" s="9"/>
      <c r="D89" s="3">
        <f>--4094.51</f>
        <v>4094.51</v>
      </c>
      <c r="E89" s="3"/>
      <c r="F89" s="26">
        <f>IF(D$12=0,0,D89/D$12)</f>
        <v>0.30480934294745338</v>
      </c>
      <c r="G89" s="3"/>
      <c r="H89" s="3">
        <v>5117</v>
      </c>
      <c r="I89" s="3"/>
      <c r="J89" s="26">
        <f>IF(H$12=0,0,H89/H$12)</f>
        <v>0.19686069326357097</v>
      </c>
      <c r="K89" s="3"/>
      <c r="L89" s="3">
        <f>+D89-H89</f>
        <v>-1022.4899999999998</v>
      </c>
      <c r="M89" s="3"/>
      <c r="N89" s="26">
        <f>IF(H89=0,0,L89/H89)</f>
        <v>-0.19982216142270859</v>
      </c>
      <c r="O89" s="9"/>
      <c r="P89" s="3">
        <f>--328482.25</f>
        <v>328482.25</v>
      </c>
      <c r="Q89" s="3"/>
      <c r="R89" s="26">
        <f>IF(P$12=0,0,P89/P$12)</f>
        <v>0.18209285073041917</v>
      </c>
      <c r="S89" s="3"/>
      <c r="T89" s="3">
        <v>332979.23</v>
      </c>
      <c r="U89" s="3"/>
      <c r="V89" s="26">
        <f>IF(T$12=0,0,T89/T$12)</f>
        <v>0.10292550139900863</v>
      </c>
      <c r="W89" s="3"/>
      <c r="X89" s="3">
        <f>+P89-T89</f>
        <v>-4496.9799999999814</v>
      </c>
      <c r="Y89" s="3"/>
      <c r="Z89" s="26">
        <f>IF(T89=0,0,X89/T89)</f>
        <v>-1.350528680122175E-2</v>
      </c>
    </row>
    <row r="90" spans="1:26" s="70" customFormat="1" ht="15" hidden="1" customHeight="1" outlineLevel="1" x14ac:dyDescent="0.3">
      <c r="A90" s="48"/>
      <c r="B90" s="9" t="str">
        <f>CONCATENATE("          ","9152"," - ","MISC. INCOME")</f>
        <v xml:space="preserve">          9152 - MISC. INCOME</v>
      </c>
      <c r="C90" s="9"/>
      <c r="D90" s="3">
        <f>--221.07</f>
        <v>221.07</v>
      </c>
      <c r="E90" s="3"/>
      <c r="F90" s="26">
        <f>IF(D$12=0,0,D90/D$12)</f>
        <v>1.645720768673016E-2</v>
      </c>
      <c r="G90" s="3"/>
      <c r="H90" s="3"/>
      <c r="I90" s="3"/>
      <c r="J90" s="26">
        <f>IF(H$12=0,0,H90/H$12)</f>
        <v>0</v>
      </c>
      <c r="K90" s="3"/>
      <c r="L90" s="3">
        <f>+D90-H90</f>
        <v>221.07</v>
      </c>
      <c r="M90" s="3"/>
      <c r="N90" s="26">
        <f>IF(H90=0,0,L90/H90)</f>
        <v>0</v>
      </c>
      <c r="O90" s="9"/>
      <c r="P90" s="3">
        <f>--5468.18</f>
        <v>5468.18</v>
      </c>
      <c r="Q90" s="3"/>
      <c r="R90" s="26">
        <f>IF(P$12=0,0,P90/P$12)</f>
        <v>3.0312641992286142E-3</v>
      </c>
      <c r="S90" s="3"/>
      <c r="T90" s="3"/>
      <c r="U90" s="3"/>
      <c r="V90" s="26">
        <f>IF(T$12=0,0,T90/T$12)</f>
        <v>0</v>
      </c>
      <c r="W90" s="3"/>
      <c r="X90" s="3">
        <f>+P90-T90</f>
        <v>5468.18</v>
      </c>
      <c r="Y90" s="3"/>
      <c r="Z90" s="26">
        <f>IF(T90=0,0,X90/T90)</f>
        <v>0</v>
      </c>
    </row>
    <row r="91" spans="1:26" s="70" customFormat="1" ht="15" hidden="1" customHeight="1" outlineLevel="1" x14ac:dyDescent="0.3">
      <c r="A91" s="48"/>
      <c r="B91" s="9" t="str">
        <f>CONCATENATE("          ","9160"," - ","MISC. INCOME")</f>
        <v xml:space="preserve">          9160 - MISC. INCOME</v>
      </c>
      <c r="C91" s="9"/>
      <c r="D91" s="3">
        <f>0</f>
        <v>0</v>
      </c>
      <c r="E91" s="3"/>
      <c r="F91" s="26">
        <f>IF(D$12=0,0,D91/D$12)</f>
        <v>0</v>
      </c>
      <c r="G91" s="3"/>
      <c r="H91" s="3">
        <v>0</v>
      </c>
      <c r="I91" s="3"/>
      <c r="J91" s="26">
        <f>IF(H$12=0,0,H91/H$12)</f>
        <v>0</v>
      </c>
      <c r="K91" s="3"/>
      <c r="L91" s="3">
        <f>+D91-H91</f>
        <v>0</v>
      </c>
      <c r="M91" s="3"/>
      <c r="N91" s="26">
        <f>IF(H91=0,0,L91/H91)</f>
        <v>0</v>
      </c>
      <c r="O91" s="9"/>
      <c r="P91" s="3">
        <f>0</f>
        <v>0</v>
      </c>
      <c r="Q91" s="3"/>
      <c r="R91" s="26">
        <f>IF(P$12=0,0,P91/P$12)</f>
        <v>0</v>
      </c>
      <c r="S91" s="3"/>
      <c r="T91" s="3">
        <v>0</v>
      </c>
      <c r="U91" s="3"/>
      <c r="V91" s="26">
        <f>IF(T$12=0,0,T91/T$12)</f>
        <v>0</v>
      </c>
      <c r="W91" s="3"/>
      <c r="X91" s="3">
        <f>+P91-T91</f>
        <v>0</v>
      </c>
      <c r="Y91" s="3"/>
      <c r="Z91" s="26">
        <f>IF(T91=0,0,X91/T91)</f>
        <v>0</v>
      </c>
    </row>
    <row r="92" spans="1:26" ht="15" customHeight="1" x14ac:dyDescent="0.3">
      <c r="A92" s="12"/>
      <c r="B92" s="13"/>
      <c r="C92" s="13"/>
      <c r="D92" s="4"/>
      <c r="E92" s="4"/>
      <c r="F92" s="10"/>
      <c r="G92" s="4"/>
      <c r="H92" s="4"/>
      <c r="I92" s="4"/>
      <c r="J92" s="10"/>
      <c r="K92" s="4"/>
      <c r="L92" s="4"/>
      <c r="M92" s="4"/>
      <c r="N92" s="10"/>
      <c r="O92" s="13"/>
      <c r="P92" s="4"/>
      <c r="Q92" s="4"/>
      <c r="R92" s="10"/>
      <c r="S92" s="4"/>
      <c r="T92" s="4"/>
      <c r="U92" s="4"/>
      <c r="V92" s="10"/>
      <c r="W92" s="4"/>
      <c r="X92" s="4"/>
      <c r="Y92" s="4"/>
      <c r="Z92" s="10"/>
    </row>
    <row r="93" spans="1:26" s="63" customFormat="1" ht="15" customHeight="1" x14ac:dyDescent="0.3">
      <c r="A93" s="13"/>
      <c r="B93" s="27" t="s">
        <v>292</v>
      </c>
      <c r="C93" s="27"/>
      <c r="D93" s="23">
        <f>+D31-D33+D87</f>
        <v>-127552.70999999999</v>
      </c>
      <c r="E93" s="15"/>
      <c r="F93" s="22">
        <f>IF(D$12=0,0,D93/D$12)</f>
        <v>-9.4954604400201887</v>
      </c>
      <c r="G93" s="15"/>
      <c r="H93" s="23">
        <f>+H31-H33+H87</f>
        <v>-43131.963591039719</v>
      </c>
      <c r="I93" s="15"/>
      <c r="J93" s="22">
        <f>IF(H$12=0,0,H93/H$12)</f>
        <v>-1.6593684296171938</v>
      </c>
      <c r="K93" s="17"/>
      <c r="L93" s="23">
        <f>+D93-H93</f>
        <v>-84420.746408960273</v>
      </c>
      <c r="M93" s="17"/>
      <c r="N93" s="22">
        <f>IF(H93=0,0,L93/H93)</f>
        <v>1.9572664766530112</v>
      </c>
      <c r="O93" s="28"/>
      <c r="P93" s="23">
        <f>+P31-P33+P87</f>
        <v>139550.15999999997</v>
      </c>
      <c r="Q93" s="15"/>
      <c r="R93" s="22">
        <f>IF(P$12=0,0,P93/P$12)</f>
        <v>7.7359085473525907E-2</v>
      </c>
      <c r="S93" s="15"/>
      <c r="T93" s="23">
        <f>+T31-T33+T87</f>
        <v>618807.84730708285</v>
      </c>
      <c r="U93" s="15"/>
      <c r="V93" s="22">
        <f>IF(T$12=0,0,T93/T$12)</f>
        <v>0.19127651881987559</v>
      </c>
      <c r="W93" s="17"/>
      <c r="X93" s="23">
        <f>+P93-T93</f>
        <v>-479257.68730708287</v>
      </c>
      <c r="Y93" s="17"/>
      <c r="Z93" s="22">
        <f>IF(T93=0,0,X93/T93)</f>
        <v>-0.77448547136677093</v>
      </c>
    </row>
    <row r="94" spans="1:26" ht="15" customHeight="1" x14ac:dyDescent="0.3">
      <c r="A94" s="12"/>
      <c r="B94" s="13"/>
      <c r="C94" s="12"/>
      <c r="D94" s="4"/>
      <c r="E94" s="4"/>
      <c r="F94" s="10"/>
      <c r="G94" s="4"/>
      <c r="H94" s="4"/>
      <c r="I94" s="4"/>
      <c r="J94" s="10"/>
      <c r="K94" s="4"/>
      <c r="L94" s="4"/>
      <c r="M94" s="4"/>
      <c r="N94" s="10"/>
      <c r="P94" s="4"/>
      <c r="Q94" s="4"/>
      <c r="R94" s="10"/>
      <c r="S94" s="4"/>
      <c r="T94" s="4"/>
      <c r="U94" s="4"/>
      <c r="V94" s="10"/>
      <c r="W94" s="4"/>
      <c r="X94" s="4"/>
      <c r="Y94" s="4"/>
      <c r="Z94" s="10"/>
    </row>
    <row r="95" spans="1:26" s="63" customFormat="1" ht="15" customHeight="1" x14ac:dyDescent="0.3">
      <c r="A95" s="49"/>
      <c r="B95" s="13" t="s">
        <v>293</v>
      </c>
      <c r="C95" s="13"/>
      <c r="D95" s="8">
        <v>-409269.41</v>
      </c>
      <c r="E95" s="8"/>
      <c r="F95" s="14">
        <f>IF(D$12=0,0,D95/D$12)</f>
        <v>-30.467416113427952</v>
      </c>
      <c r="G95" s="8"/>
      <c r="H95" s="8">
        <v>-30968</v>
      </c>
      <c r="I95" s="8"/>
      <c r="J95" s="14">
        <f>IF(H$12=0,0,H95/H$12)</f>
        <v>-1.1913976839918439</v>
      </c>
      <c r="K95" s="8"/>
      <c r="L95" s="8">
        <f>+D95-H95</f>
        <v>-378301.41</v>
      </c>
      <c r="M95" s="8"/>
      <c r="N95" s="14">
        <f>IF(H95=0,0,L95/H95)</f>
        <v>12.215881232239731</v>
      </c>
      <c r="O95" s="13"/>
      <c r="P95" s="8">
        <v>-207972.47</v>
      </c>
      <c r="Q95" s="8"/>
      <c r="R95" s="14">
        <f>IF(P$12=0,0,P95/P$12)</f>
        <v>-0.11528872545090817</v>
      </c>
      <c r="S95" s="8"/>
      <c r="T95" s="8">
        <v>366845</v>
      </c>
      <c r="U95" s="8"/>
      <c r="V95" s="14">
        <f>IF(T$12=0,0,T95/T$12)</f>
        <v>0.11339357581167847</v>
      </c>
      <c r="W95" s="8"/>
      <c r="X95" s="8">
        <f>+P95-T95</f>
        <v>-574817.47</v>
      </c>
      <c r="Y95" s="8"/>
      <c r="Z95" s="14">
        <f>IF(T95=0,0,X95/T95)</f>
        <v>-1.56692191525031</v>
      </c>
    </row>
    <row r="96" spans="1:26" ht="15" customHeight="1" x14ac:dyDescent="0.3">
      <c r="A96" s="12"/>
      <c r="B96" s="13"/>
      <c r="C96" s="13"/>
      <c r="D96" s="4"/>
      <c r="E96" s="4"/>
      <c r="F96" s="10"/>
      <c r="G96" s="4"/>
      <c r="H96" s="4"/>
      <c r="I96" s="4"/>
      <c r="J96" s="10"/>
      <c r="K96" s="4"/>
      <c r="L96" s="4"/>
      <c r="M96" s="4"/>
      <c r="N96" s="10"/>
      <c r="O96" s="13"/>
      <c r="P96" s="4"/>
      <c r="Q96" s="4"/>
      <c r="R96" s="10"/>
      <c r="S96" s="4"/>
      <c r="T96" s="4"/>
      <c r="U96" s="4"/>
      <c r="V96" s="10"/>
      <c r="W96" s="4"/>
      <c r="X96" s="4"/>
      <c r="Y96" s="4"/>
      <c r="Z96" s="10"/>
    </row>
    <row r="97" spans="1:26" s="63" customFormat="1" ht="15" customHeight="1" x14ac:dyDescent="0.3">
      <c r="A97" s="13"/>
      <c r="B97" s="27" t="s">
        <v>294</v>
      </c>
      <c r="C97" s="27"/>
      <c r="D97" s="30">
        <f>+D93-D95</f>
        <v>281716.69999999995</v>
      </c>
      <c r="E97" s="15"/>
      <c r="F97" s="35">
        <f>IF(D$12=0,0,D97/D$12)</f>
        <v>20.971955673407763</v>
      </c>
      <c r="G97" s="15"/>
      <c r="H97" s="30">
        <f>+H93-H95</f>
        <v>-12163.963591039719</v>
      </c>
      <c r="I97" s="15"/>
      <c r="J97" s="35">
        <f>IF(H$12=0,0,H97/H$12)</f>
        <v>-0.46797074562534985</v>
      </c>
      <c r="K97" s="17"/>
      <c r="L97" s="30">
        <f>D97-H97</f>
        <v>293880.66359103966</v>
      </c>
      <c r="M97" s="17"/>
      <c r="N97" s="35">
        <f>IF(H97=0,0,L97/H97)</f>
        <v>-24.159942718631576</v>
      </c>
      <c r="O97" s="28"/>
      <c r="P97" s="30">
        <f>+P93-P95</f>
        <v>347522.63</v>
      </c>
      <c r="Q97" s="15"/>
      <c r="R97" s="35">
        <f>IF(P$12=0,0,P97/P$12)</f>
        <v>0.19264781092443409</v>
      </c>
      <c r="S97" s="15"/>
      <c r="T97" s="30">
        <f>+T93-T95</f>
        <v>251962.84730708285</v>
      </c>
      <c r="U97" s="15"/>
      <c r="V97" s="35">
        <f>IF(T$12=0,0,T97/T$12)</f>
        <v>7.7882943008197106E-2</v>
      </c>
      <c r="W97" s="17"/>
      <c r="X97" s="30">
        <f>P97-T97</f>
        <v>95559.782692917157</v>
      </c>
      <c r="Y97" s="17"/>
      <c r="Z97" s="35">
        <f>IF(T97=0,0,X97/T97)</f>
        <v>0.37926140188617763</v>
      </c>
    </row>
    <row r="98" spans="1:26" ht="15" customHeight="1" x14ac:dyDescent="0.3">
      <c r="A98" s="12"/>
      <c r="B98" s="12"/>
      <c r="C98" s="12"/>
      <c r="D98" s="4"/>
      <c r="E98" s="4"/>
      <c r="F98" s="10"/>
      <c r="G98" s="4"/>
      <c r="H98" s="4"/>
      <c r="I98" s="4"/>
      <c r="J98" s="10"/>
      <c r="K98" s="4"/>
      <c r="L98" s="4"/>
      <c r="M98" s="4"/>
      <c r="N98" s="10"/>
      <c r="P98" s="4"/>
      <c r="Q98" s="4"/>
      <c r="R98" s="10"/>
      <c r="S98" s="4"/>
      <c r="T98" s="4"/>
      <c r="U98" s="4"/>
      <c r="V98" s="10"/>
      <c r="W98" s="4"/>
      <c r="X98" s="4"/>
      <c r="Y98" s="4"/>
      <c r="Z98" s="10"/>
    </row>
    <row r="99" spans="1:26" ht="15" customHeight="1" x14ac:dyDescent="0.3">
      <c r="A99" s="12"/>
      <c r="B99" s="12"/>
      <c r="C99" s="12"/>
      <c r="D99" s="4"/>
      <c r="E99" s="4"/>
      <c r="F99" s="10"/>
      <c r="G99" s="4"/>
      <c r="H99" s="4"/>
      <c r="I99" s="4"/>
      <c r="J99" s="10"/>
      <c r="K99" s="4"/>
      <c r="L99" s="4"/>
      <c r="M99" s="4"/>
      <c r="N99" s="10"/>
      <c r="P99" s="4"/>
      <c r="Q99" s="4"/>
      <c r="R99" s="10"/>
      <c r="S99" s="4"/>
      <c r="T99" s="4"/>
      <c r="U99" s="4"/>
      <c r="V99" s="10"/>
      <c r="W99" s="4"/>
      <c r="X99" s="4"/>
      <c r="Y99" s="4"/>
      <c r="Z99" s="10"/>
    </row>
    <row r="100" spans="1:26" s="63" customFormat="1" ht="15" customHeight="1" x14ac:dyDescent="0.3">
      <c r="A100" s="13"/>
      <c r="B100" s="27" t="s">
        <v>297</v>
      </c>
      <c r="C100" s="27"/>
      <c r="D100" s="33">
        <f>SUM(D97:D99)</f>
        <v>281716.69999999995</v>
      </c>
      <c r="E100" s="15"/>
      <c r="F100" s="31">
        <f>IF(D$12=0,0,D100/D$12)</f>
        <v>20.971955673407763</v>
      </c>
      <c r="G100" s="15"/>
      <c r="H100" s="33">
        <f>SUM(H97:H99)</f>
        <v>-12163.963591039719</v>
      </c>
      <c r="I100" s="15"/>
      <c r="J100" s="31">
        <f>IF(H$12=0,0,H100/H$12)</f>
        <v>-0.46797074562534985</v>
      </c>
      <c r="K100" s="17"/>
      <c r="L100" s="33">
        <f>+D100-H100</f>
        <v>293880.66359103966</v>
      </c>
      <c r="M100" s="17"/>
      <c r="N100" s="31">
        <f>IF(H100=0,0,L100/H100)</f>
        <v>-24.159942718631576</v>
      </c>
      <c r="O100" s="28"/>
      <c r="P100" s="33">
        <f>SUM(P97:P99)</f>
        <v>347522.63</v>
      </c>
      <c r="Q100" s="15"/>
      <c r="R100" s="31">
        <f>IF(P$12=0,0,P100/P$12)</f>
        <v>0.19264781092443409</v>
      </c>
      <c r="S100" s="15"/>
      <c r="T100" s="33">
        <f>SUM(T97:T99)</f>
        <v>251962.84730708285</v>
      </c>
      <c r="U100" s="15"/>
      <c r="V100" s="31">
        <f>IF(T$12=0,0,T100/T$12)</f>
        <v>7.7882943008197106E-2</v>
      </c>
      <c r="W100" s="17"/>
      <c r="X100" s="33">
        <f>+P100-T100</f>
        <v>95559.782692917157</v>
      </c>
      <c r="Y100" s="17"/>
      <c r="Z100" s="31">
        <f>IF(T100=0,0,X100/T100)</f>
        <v>0.37926140188617763</v>
      </c>
    </row>
    <row r="101" spans="1:26" ht="15" customHeight="1" x14ac:dyDescent="0.3">
      <c r="A101" s="12"/>
      <c r="C101" s="12"/>
      <c r="D101" s="19"/>
      <c r="E101" s="19"/>
      <c r="G101" s="19"/>
      <c r="H101" s="19"/>
      <c r="I101" s="19"/>
      <c r="J101" s="41"/>
      <c r="K101" s="19"/>
      <c r="L101" s="19"/>
      <c r="M101" s="19"/>
      <c r="P101" s="19"/>
      <c r="Q101" s="19"/>
      <c r="R101" s="41"/>
      <c r="S101" s="19"/>
      <c r="T101" s="19"/>
      <c r="U101" s="19"/>
      <c r="V101" s="41"/>
      <c r="W101" s="19"/>
      <c r="X101" s="19"/>
    </row>
    <row r="102" spans="1:26" ht="15" customHeight="1" x14ac:dyDescent="0.3">
      <c r="A102" s="12"/>
      <c r="B102" s="50">
        <v>44767.799547766204</v>
      </c>
      <c r="D102" s="19"/>
      <c r="E102" s="19"/>
      <c r="G102" s="19"/>
      <c r="H102" s="19"/>
      <c r="I102" s="19"/>
      <c r="J102" s="41"/>
      <c r="K102" s="19"/>
      <c r="L102" s="19"/>
      <c r="M102" s="19"/>
      <c r="P102" s="19"/>
      <c r="Q102" s="19"/>
      <c r="R102" s="41"/>
      <c r="S102" s="19"/>
      <c r="T102" s="19"/>
      <c r="U102" s="19"/>
      <c r="V102" s="41"/>
      <c r="W102" s="19"/>
      <c r="X102" s="19"/>
    </row>
    <row r="103" spans="1:26" ht="15" customHeight="1" x14ac:dyDescent="0.3">
      <c r="A103" s="12"/>
      <c r="B103" s="57" t="s">
        <v>298</v>
      </c>
      <c r="D103" s="19"/>
      <c r="E103" s="19"/>
      <c r="G103" s="19"/>
      <c r="H103" s="19"/>
      <c r="I103" s="19"/>
      <c r="J103" s="41"/>
      <c r="K103" s="19"/>
      <c r="L103" s="19"/>
      <c r="M103" s="19"/>
      <c r="P103" s="19"/>
      <c r="Q103" s="19"/>
      <c r="R103" s="41"/>
      <c r="S103" s="19"/>
      <c r="T103" s="19"/>
      <c r="U103" s="19"/>
      <c r="V103" s="41"/>
      <c r="W103" s="19"/>
      <c r="X103" s="19"/>
    </row>
    <row r="104" spans="1:26" ht="15" customHeight="1" x14ac:dyDescent="0.3">
      <c r="A104" s="12"/>
      <c r="B104" s="51"/>
      <c r="D104" s="19"/>
      <c r="E104" s="19"/>
      <c r="G104" s="19"/>
      <c r="H104" s="19"/>
      <c r="I104" s="19"/>
      <c r="J104" s="41"/>
      <c r="K104" s="19"/>
      <c r="L104" s="19"/>
      <c r="M104" s="19"/>
      <c r="P104" s="19"/>
      <c r="Q104" s="19"/>
      <c r="R104" s="41"/>
      <c r="S104" s="19"/>
      <c r="T104" s="19"/>
      <c r="U104" s="19"/>
      <c r="V104" s="41"/>
      <c r="W104" s="19"/>
      <c r="X104" s="19"/>
    </row>
    <row r="105" spans="1:26" ht="15" customHeight="1" x14ac:dyDescent="0.3">
      <c r="D105" s="19"/>
      <c r="E105" s="19"/>
      <c r="G105" s="19"/>
      <c r="H105" s="19"/>
      <c r="I105" s="19"/>
      <c r="J105" s="41"/>
      <c r="K105" s="19"/>
      <c r="L105" s="19"/>
      <c r="M105" s="19"/>
      <c r="P105" s="19"/>
      <c r="Q105" s="19"/>
      <c r="R105" s="41"/>
      <c r="S105" s="19"/>
      <c r="T105" s="19"/>
      <c r="U105" s="19"/>
      <c r="V105" s="41"/>
      <c r="W105" s="19"/>
      <c r="X105" s="19"/>
    </row>
  </sheetData>
  <pageMargins left="0.25" right="0.25" top="0.75" bottom="0.75" header="0.3" footer="0.3"/>
  <pageSetup scale="55" orientation="landscape" r:id="rId1"/>
  <headerFooter>
    <oddHeader>&amp;RPre-Audit</oddHeader>
    <oddFooter>&amp;L&amp;C&amp;R</oddFooter>
    <evenHeader>&amp;L&amp;C&amp;R</evenHeader>
    <evenFooter>&amp;L&amp;C&amp;R</even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EEA413-92B1-B6A4-E63A-3FD05D165D1B}">
  <dimension ref="A1:JL10002"/>
  <sheetViews>
    <sheetView showGridLines="0" defaultGridColor="0" colorId="8" workbookViewId="0"/>
  </sheetViews>
  <sheetFormatPr defaultRowHeight="15" customHeight="1" x14ac:dyDescent="0.3"/>
  <cols>
    <col min="1" max="220" width="20.6640625" style="66" customWidth="1"/>
    <col min="221" max="221" width="20.6640625" style="71" customWidth="1"/>
    <col min="222" max="223" width="20.6640625" style="66" customWidth="1"/>
  </cols>
  <sheetData>
    <row r="1" spans="1:272" ht="15" customHeight="1" x14ac:dyDescent="0.3">
      <c r="D1" s="1">
        <v>4</v>
      </c>
    </row>
    <row r="2" spans="1:272" ht="15" customHeight="1" x14ac:dyDescent="0.3">
      <c r="JK2" s="1">
        <v>271</v>
      </c>
      <c r="JL2" s="1">
        <v>4</v>
      </c>
    </row>
    <row r="3" spans="1:272" ht="30" customHeight="1" x14ac:dyDescent="0.3">
      <c r="A3" s="29" t="s">
        <v>2</v>
      </c>
      <c r="B3" s="29" t="s">
        <v>54</v>
      </c>
      <c r="C3" s="29" t="s">
        <v>5</v>
      </c>
      <c r="D3" s="29" t="s">
        <v>55</v>
      </c>
      <c r="E3" s="29" t="s">
        <v>56</v>
      </c>
      <c r="F3" s="29" t="s">
        <v>57</v>
      </c>
      <c r="G3" s="29" t="s">
        <v>58</v>
      </c>
      <c r="H3" s="29" t="s">
        <v>59</v>
      </c>
      <c r="I3" s="29" t="s">
        <v>60</v>
      </c>
      <c r="J3" s="29" t="s">
        <v>61</v>
      </c>
      <c r="K3" s="29" t="s">
        <v>62</v>
      </c>
      <c r="L3" s="29" t="s">
        <v>63</v>
      </c>
      <c r="M3" s="29" t="s">
        <v>64</v>
      </c>
      <c r="N3" s="29" t="s">
        <v>65</v>
      </c>
      <c r="O3" s="29" t="s">
        <v>66</v>
      </c>
      <c r="P3" s="29" t="s">
        <v>67</v>
      </c>
      <c r="Q3" s="29" t="s">
        <v>68</v>
      </c>
      <c r="R3" s="29" t="s">
        <v>69</v>
      </c>
      <c r="S3" s="29" t="s">
        <v>70</v>
      </c>
      <c r="T3" s="29" t="s">
        <v>71</v>
      </c>
      <c r="U3" s="29" t="s">
        <v>72</v>
      </c>
      <c r="V3" s="29" t="s">
        <v>73</v>
      </c>
      <c r="W3" s="29" t="s">
        <v>74</v>
      </c>
      <c r="X3" s="29" t="s">
        <v>75</v>
      </c>
      <c r="Y3" s="29" t="s">
        <v>76</v>
      </c>
      <c r="Z3" s="29" t="s">
        <v>77</v>
      </c>
      <c r="AA3" s="29" t="s">
        <v>78</v>
      </c>
      <c r="AB3" s="29" t="s">
        <v>79</v>
      </c>
      <c r="AC3" s="29" t="s">
        <v>80</v>
      </c>
      <c r="AD3" s="29" t="s">
        <v>81</v>
      </c>
      <c r="AE3" s="29" t="s">
        <v>82</v>
      </c>
      <c r="AF3" s="29" t="s">
        <v>83</v>
      </c>
      <c r="AG3" s="29" t="s">
        <v>84</v>
      </c>
      <c r="AH3" s="29" t="s">
        <v>85</v>
      </c>
      <c r="AI3" s="29" t="s">
        <v>86</v>
      </c>
      <c r="AJ3" s="29" t="s">
        <v>87</v>
      </c>
      <c r="AK3" s="29" t="s">
        <v>88</v>
      </c>
      <c r="AL3" s="29" t="s">
        <v>89</v>
      </c>
      <c r="AM3" s="29" t="s">
        <v>90</v>
      </c>
      <c r="AN3" s="29" t="s">
        <v>91</v>
      </c>
      <c r="AO3" s="29" t="s">
        <v>92</v>
      </c>
      <c r="AP3" s="29" t="s">
        <v>93</v>
      </c>
      <c r="AQ3" s="29" t="s">
        <v>94</v>
      </c>
      <c r="AR3" s="29" t="s">
        <v>95</v>
      </c>
      <c r="AS3" s="29" t="s">
        <v>96</v>
      </c>
      <c r="AT3" s="29" t="s">
        <v>97</v>
      </c>
      <c r="AU3" s="29" t="s">
        <v>98</v>
      </c>
      <c r="AV3" s="29" t="s">
        <v>99</v>
      </c>
      <c r="AW3" s="29" t="s">
        <v>100</v>
      </c>
      <c r="AX3" s="29" t="s">
        <v>101</v>
      </c>
      <c r="AY3" s="29" t="s">
        <v>102</v>
      </c>
      <c r="AZ3" s="29" t="s">
        <v>103</v>
      </c>
      <c r="BA3" s="29" t="s">
        <v>104</v>
      </c>
      <c r="BB3" s="29" t="s">
        <v>105</v>
      </c>
      <c r="BC3" s="29" t="s">
        <v>106</v>
      </c>
      <c r="BD3" s="29" t="s">
        <v>107</v>
      </c>
      <c r="BE3" s="29" t="s">
        <v>108</v>
      </c>
      <c r="BF3" s="29" t="s">
        <v>109</v>
      </c>
      <c r="BG3" s="29" t="s">
        <v>110</v>
      </c>
      <c r="BH3" s="29" t="s">
        <v>111</v>
      </c>
      <c r="BI3" s="29" t="s">
        <v>112</v>
      </c>
      <c r="BJ3" s="29" t="s">
        <v>113</v>
      </c>
      <c r="BK3" s="29" t="s">
        <v>114</v>
      </c>
      <c r="BL3" s="29" t="s">
        <v>115</v>
      </c>
      <c r="BM3" s="29" t="s">
        <v>116</v>
      </c>
      <c r="BN3" s="29" t="s">
        <v>117</v>
      </c>
      <c r="BO3" s="29" t="s">
        <v>118</v>
      </c>
      <c r="BP3" s="29" t="s">
        <v>119</v>
      </c>
      <c r="BQ3" s="29" t="s">
        <v>120</v>
      </c>
      <c r="BR3" s="29" t="s">
        <v>121</v>
      </c>
      <c r="BS3" s="29" t="s">
        <v>122</v>
      </c>
      <c r="BT3" s="29" t="s">
        <v>123</v>
      </c>
      <c r="BU3" s="29" t="s">
        <v>124</v>
      </c>
      <c r="BV3" s="29" t="s">
        <v>125</v>
      </c>
      <c r="BW3" s="29" t="s">
        <v>126</v>
      </c>
      <c r="BX3" s="29" t="s">
        <v>127</v>
      </c>
      <c r="BY3" s="29" t="s">
        <v>128</v>
      </c>
      <c r="BZ3" s="29" t="s">
        <v>129</v>
      </c>
      <c r="CA3" s="29" t="s">
        <v>130</v>
      </c>
      <c r="CB3" s="29" t="s">
        <v>131</v>
      </c>
      <c r="CC3" s="29" t="s">
        <v>132</v>
      </c>
      <c r="CD3" s="29" t="s">
        <v>133</v>
      </c>
      <c r="CE3" s="29" t="s">
        <v>134</v>
      </c>
      <c r="CF3" s="29" t="s">
        <v>135</v>
      </c>
      <c r="CG3" s="29" t="s">
        <v>136</v>
      </c>
      <c r="CH3" s="29" t="s">
        <v>137</v>
      </c>
      <c r="CI3" s="29" t="s">
        <v>138</v>
      </c>
      <c r="CJ3" s="29" t="s">
        <v>139</v>
      </c>
      <c r="CK3" s="29" t="s">
        <v>140</v>
      </c>
      <c r="CL3" s="29" t="s">
        <v>141</v>
      </c>
      <c r="CM3" s="29" t="s">
        <v>142</v>
      </c>
      <c r="CN3" s="29" t="s">
        <v>143</v>
      </c>
      <c r="CO3" s="29" t="s">
        <v>144</v>
      </c>
      <c r="CP3" s="29" t="s">
        <v>145</v>
      </c>
      <c r="CQ3" s="29" t="s">
        <v>146</v>
      </c>
      <c r="CR3" s="29" t="s">
        <v>147</v>
      </c>
      <c r="CS3" s="29" t="s">
        <v>148</v>
      </c>
      <c r="CT3" s="29" t="s">
        <v>149</v>
      </c>
      <c r="CU3" s="29" t="s">
        <v>150</v>
      </c>
      <c r="CV3" s="29" t="s">
        <v>151</v>
      </c>
      <c r="CW3" s="29" t="s">
        <v>152</v>
      </c>
      <c r="CX3" s="29" t="s">
        <v>153</v>
      </c>
      <c r="CY3" s="29" t="s">
        <v>154</v>
      </c>
      <c r="CZ3" s="29" t="s">
        <v>155</v>
      </c>
      <c r="DA3" s="29" t="s">
        <v>156</v>
      </c>
      <c r="DB3" s="29" t="s">
        <v>157</v>
      </c>
      <c r="DC3" s="29" t="s">
        <v>158</v>
      </c>
      <c r="DD3" s="29" t="s">
        <v>159</v>
      </c>
      <c r="DE3" s="29" t="s">
        <v>160</v>
      </c>
      <c r="DF3" s="29" t="s">
        <v>161</v>
      </c>
      <c r="DG3" s="29" t="s">
        <v>162</v>
      </c>
      <c r="DH3" s="29" t="s">
        <v>163</v>
      </c>
      <c r="DI3" s="29" t="s">
        <v>164</v>
      </c>
      <c r="DJ3" s="29" t="s">
        <v>165</v>
      </c>
      <c r="DK3" s="29" t="s">
        <v>166</v>
      </c>
      <c r="DL3" s="29" t="s">
        <v>167</v>
      </c>
      <c r="DM3" s="29" t="s">
        <v>168</v>
      </c>
      <c r="DN3" s="29" t="s">
        <v>169</v>
      </c>
      <c r="DO3" s="29" t="s">
        <v>170</v>
      </c>
      <c r="DP3" s="29" t="s">
        <v>171</v>
      </c>
      <c r="DQ3" s="29" t="s">
        <v>172</v>
      </c>
      <c r="DR3" s="29" t="s">
        <v>173</v>
      </c>
      <c r="DS3" s="29" t="s">
        <v>174</v>
      </c>
      <c r="DT3" s="29" t="s">
        <v>175</v>
      </c>
      <c r="DU3" s="29" t="s">
        <v>176</v>
      </c>
      <c r="DV3" s="29" t="s">
        <v>177</v>
      </c>
      <c r="DW3" s="29" t="s">
        <v>178</v>
      </c>
      <c r="DX3" s="29" t="s">
        <v>179</v>
      </c>
      <c r="DY3" s="29" t="s">
        <v>180</v>
      </c>
      <c r="DZ3" s="29" t="s">
        <v>181</v>
      </c>
      <c r="EA3" s="29" t="s">
        <v>182</v>
      </c>
      <c r="EB3" s="29" t="s">
        <v>183</v>
      </c>
      <c r="EC3" s="29" t="s">
        <v>184</v>
      </c>
      <c r="ED3" s="29" t="s">
        <v>185</v>
      </c>
      <c r="EE3" s="29" t="s">
        <v>186</v>
      </c>
      <c r="EF3" s="29" t="s">
        <v>187</v>
      </c>
      <c r="EG3" s="29" t="s">
        <v>188</v>
      </c>
      <c r="EH3" s="29" t="s">
        <v>189</v>
      </c>
      <c r="EI3" s="29" t="s">
        <v>190</v>
      </c>
      <c r="EJ3" s="29" t="s">
        <v>191</v>
      </c>
      <c r="EK3" s="29" t="s">
        <v>192</v>
      </c>
      <c r="EL3" s="29" t="s">
        <v>193</v>
      </c>
      <c r="EM3" s="29" t="s">
        <v>194</v>
      </c>
      <c r="EN3" s="29" t="s">
        <v>195</v>
      </c>
      <c r="EO3" s="29" t="s">
        <v>196</v>
      </c>
      <c r="EP3" s="29" t="s">
        <v>197</v>
      </c>
      <c r="EQ3" s="29" t="s">
        <v>198</v>
      </c>
      <c r="ER3" s="29" t="s">
        <v>199</v>
      </c>
      <c r="ES3" s="29" t="s">
        <v>200</v>
      </c>
      <c r="ET3" s="29" t="s">
        <v>201</v>
      </c>
      <c r="EU3" s="29" t="s">
        <v>202</v>
      </c>
      <c r="EV3" s="29" t="s">
        <v>203</v>
      </c>
      <c r="EW3" s="29" t="s">
        <v>204</v>
      </c>
      <c r="EX3" s="29" t="s">
        <v>205</v>
      </c>
      <c r="EY3" s="29" t="s">
        <v>206</v>
      </c>
      <c r="EZ3" s="29" t="s">
        <v>207</v>
      </c>
      <c r="FA3" s="29" t="s">
        <v>208</v>
      </c>
      <c r="FB3" s="29" t="s">
        <v>209</v>
      </c>
      <c r="FC3" s="29" t="s">
        <v>210</v>
      </c>
      <c r="FD3" s="29" t="s">
        <v>211</v>
      </c>
      <c r="FE3" s="29" t="s">
        <v>212</v>
      </c>
      <c r="FF3" s="29" t="s">
        <v>213</v>
      </c>
      <c r="FG3" s="29" t="s">
        <v>214</v>
      </c>
      <c r="FH3" s="29" t="s">
        <v>215</v>
      </c>
      <c r="FI3" s="29" t="s">
        <v>216</v>
      </c>
      <c r="FJ3" s="29" t="s">
        <v>217</v>
      </c>
      <c r="FK3" s="29" t="s">
        <v>218</v>
      </c>
      <c r="FL3" s="29" t="s">
        <v>219</v>
      </c>
      <c r="FM3" s="29" t="s">
        <v>220</v>
      </c>
      <c r="FN3" s="29" t="s">
        <v>221</v>
      </c>
      <c r="FO3" s="29" t="s">
        <v>222</v>
      </c>
      <c r="FP3" s="29" t="s">
        <v>223</v>
      </c>
      <c r="FQ3" s="29" t="s">
        <v>224</v>
      </c>
      <c r="FR3" s="29" t="s">
        <v>225</v>
      </c>
      <c r="FS3" s="29" t="s">
        <v>226</v>
      </c>
      <c r="FT3" s="29" t="s">
        <v>227</v>
      </c>
      <c r="FU3" s="29" t="s">
        <v>228</v>
      </c>
      <c r="FV3" s="29" t="s">
        <v>229</v>
      </c>
      <c r="FW3" s="29" t="s">
        <v>230</v>
      </c>
      <c r="FX3" s="29" t="s">
        <v>231</v>
      </c>
      <c r="FY3" s="29" t="s">
        <v>232</v>
      </c>
      <c r="FZ3" s="29" t="s">
        <v>233</v>
      </c>
      <c r="GA3" s="29" t="s">
        <v>234</v>
      </c>
      <c r="GB3" s="29" t="s">
        <v>235</v>
      </c>
      <c r="GC3" s="29" t="s">
        <v>236</v>
      </c>
      <c r="GD3" s="29" t="s">
        <v>237</v>
      </c>
      <c r="GE3" s="29" t="s">
        <v>238</v>
      </c>
      <c r="GF3" s="29" t="s">
        <v>239</v>
      </c>
      <c r="GG3" s="29" t="s">
        <v>240</v>
      </c>
      <c r="GH3" s="29" t="s">
        <v>241</v>
      </c>
      <c r="GI3" s="29" t="s">
        <v>242</v>
      </c>
      <c r="GJ3" s="29" t="s">
        <v>243</v>
      </c>
      <c r="GK3" s="29" t="s">
        <v>244</v>
      </c>
      <c r="GL3" s="29" t="s">
        <v>245</v>
      </c>
      <c r="GM3" s="29" t="s">
        <v>246</v>
      </c>
      <c r="GN3" s="29" t="s">
        <v>247</v>
      </c>
      <c r="GO3" s="29" t="s">
        <v>248</v>
      </c>
      <c r="GP3" s="29" t="s">
        <v>249</v>
      </c>
      <c r="GQ3" s="29" t="s">
        <v>250</v>
      </c>
      <c r="GR3" s="29" t="s">
        <v>251</v>
      </c>
      <c r="GS3" s="29" t="s">
        <v>252</v>
      </c>
      <c r="GT3" s="29" t="s">
        <v>253</v>
      </c>
      <c r="GU3" s="29" t="s">
        <v>254</v>
      </c>
      <c r="GV3" s="29" t="s">
        <v>255</v>
      </c>
      <c r="GW3" s="29" t="s">
        <v>256</v>
      </c>
      <c r="GX3" s="29" t="s">
        <v>257</v>
      </c>
      <c r="GY3" s="29" t="s">
        <v>258</v>
      </c>
      <c r="GZ3" s="29" t="s">
        <v>259</v>
      </c>
      <c r="HA3" s="29" t="s">
        <v>260</v>
      </c>
      <c r="HB3" s="29" t="s">
        <v>261</v>
      </c>
      <c r="HC3" s="29" t="s">
        <v>262</v>
      </c>
      <c r="HD3" s="29" t="s">
        <v>263</v>
      </c>
      <c r="HE3" s="29" t="s">
        <v>264</v>
      </c>
      <c r="HF3" s="29" t="s">
        <v>265</v>
      </c>
      <c r="HG3" s="29" t="s">
        <v>266</v>
      </c>
      <c r="HH3" s="29" t="s">
        <v>267</v>
      </c>
      <c r="HI3" s="29" t="s">
        <v>268</v>
      </c>
      <c r="HJ3" s="29" t="s">
        <v>269</v>
      </c>
      <c r="HK3" s="29"/>
      <c r="HL3" s="29" t="s">
        <v>270</v>
      </c>
      <c r="HM3" s="62"/>
      <c r="HN3" s="29" t="s">
        <v>52</v>
      </c>
      <c r="HO3" s="29" t="s">
        <v>53</v>
      </c>
      <c r="HP3" s="1" t="s">
        <v>271</v>
      </c>
      <c r="JK3" s="29" t="s">
        <v>272</v>
      </c>
      <c r="JL3" s="29" t="s">
        <v>273</v>
      </c>
    </row>
    <row r="10001" spans="271:272" ht="15" customHeight="1" x14ac:dyDescent="0.3">
      <c r="JK10001">
        <v>271</v>
      </c>
      <c r="JL10001">
        <v>10003</v>
      </c>
    </row>
    <row r="10002" spans="271:272" ht="45" customHeight="1" x14ac:dyDescent="0.3">
      <c r="JK10002" s="29" t="s">
        <v>274</v>
      </c>
      <c r="JL10002" s="29" t="s">
        <v>275</v>
      </c>
    </row>
  </sheetData>
  <pageMargins left="0.7" right="0.7" top="0.75" bottom="0.75" header="0.3" footer="0.3"/>
  <pageSetup orientation="portrait"/>
  <headerFooter>
    <oddHeader>&amp;L&amp;C&amp;R</oddHeader>
    <oddFooter>&amp;L&amp;C&amp;R</oddFooter>
    <evenHeader>&amp;L&amp;C&amp;R</evenHeader>
    <evenFooter>&amp;L&amp;C&amp;R</even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6321F5-A5F1-141D-5764-8B45CFF0E58E}">
  <sheetPr>
    <tabColor rgb="FF92D050"/>
    <outlinePr summaryBelow="0" summaryRight="0"/>
  </sheetPr>
  <dimension ref="A2:Z37"/>
  <sheetViews>
    <sheetView showGridLines="0" defaultGridColor="0" colorId="8" zoomScale="80" workbookViewId="0">
      <pane xSplit="3" ySplit="10" topLeftCell="D11" activePane="bottomRight" state="frozen"/>
      <selection activeCell="D78" sqref="D78"/>
      <selection pane="topRight" activeCell="D78" sqref="D78"/>
      <selection pane="bottomLeft" activeCell="D78" sqref="D78"/>
      <selection pane="bottomRight" activeCell="D78" sqref="D78"/>
    </sheetView>
  </sheetViews>
  <sheetFormatPr defaultRowHeight="14.85" customHeight="1" outlineLevelRow="1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3" t="s">
        <v>276</v>
      </c>
    </row>
    <row r="3" spans="1:26" ht="15" customHeight="1" x14ac:dyDescent="0.3">
      <c r="D3" s="53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3" t="str">
        <f>CONCATENATE("Period ",RIGHT(202212,2),", ",2022)</f>
        <v>Period 12,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5"/>
      <c r="D5" s="60">
        <v>44742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5"/>
      <c r="B6" s="47"/>
      <c r="C6" s="47"/>
      <c r="D6" s="25" t="str">
        <f>CONCATENATE("Department ","324"," - ","Textbook Rental")</f>
        <v>Department 324 - Textbook Rental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4"/>
    </row>
    <row r="8" spans="1:26" ht="15" customHeight="1" x14ac:dyDescent="0.3">
      <c r="B8" s="54"/>
    </row>
    <row r="9" spans="1:26" ht="15" customHeight="1" x14ac:dyDescent="0.3">
      <c r="B9" s="12"/>
      <c r="C9" s="12"/>
      <c r="D9" s="16" t="s">
        <v>279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280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ht="15" customHeight="1" x14ac:dyDescent="0.3">
      <c r="A10" s="13"/>
      <c r="B10" s="52"/>
      <c r="C10" s="13"/>
      <c r="D10" s="40" t="s">
        <v>281</v>
      </c>
      <c r="E10" s="32"/>
      <c r="F10" s="39" t="s">
        <v>282</v>
      </c>
      <c r="G10" s="32"/>
      <c r="H10" s="45" t="s">
        <v>283</v>
      </c>
      <c r="I10" s="32"/>
      <c r="J10" s="42" t="s">
        <v>284</v>
      </c>
      <c r="K10" s="13"/>
      <c r="L10" s="40" t="s">
        <v>285</v>
      </c>
      <c r="M10" s="13"/>
      <c r="N10" s="39" t="s">
        <v>286</v>
      </c>
      <c r="O10" s="13"/>
      <c r="P10" s="55" t="s">
        <v>281</v>
      </c>
      <c r="Q10" s="32"/>
      <c r="R10" s="39" t="s">
        <v>282</v>
      </c>
      <c r="S10" s="32"/>
      <c r="T10" s="45" t="s">
        <v>283</v>
      </c>
      <c r="U10" s="32"/>
      <c r="V10" s="42" t="s">
        <v>284</v>
      </c>
      <c r="W10" s="13"/>
      <c r="X10" s="40" t="s">
        <v>285</v>
      </c>
      <c r="Y10" s="13"/>
      <c r="Z10" s="39" t="s">
        <v>286</v>
      </c>
    </row>
    <row r="11" spans="1:26" ht="16.5" customHeight="1" x14ac:dyDescent="0.3">
      <c r="A11" s="12"/>
      <c r="B11" s="58"/>
      <c r="C11" s="12"/>
      <c r="D11" s="12"/>
      <c r="E11" s="12"/>
      <c r="F11" s="10"/>
      <c r="G11" s="12"/>
      <c r="H11" s="12"/>
      <c r="I11" s="12"/>
      <c r="J11" s="43"/>
      <c r="K11" s="12"/>
      <c r="L11" s="12"/>
      <c r="M11" s="12"/>
      <c r="N11" s="10"/>
      <c r="P11" s="12"/>
      <c r="Q11" s="12"/>
      <c r="R11" s="10"/>
      <c r="S11" s="12"/>
      <c r="T11" s="12"/>
      <c r="U11" s="12"/>
      <c r="V11" s="43"/>
      <c r="W11" s="12"/>
      <c r="X11" s="12"/>
      <c r="Y11" s="12"/>
      <c r="Z11" s="10"/>
    </row>
    <row r="12" spans="1:26" s="63" customFormat="1" ht="15" customHeight="1" collapsed="1" x14ac:dyDescent="0.3">
      <c r="A12" s="13"/>
      <c r="B12" s="28" t="s">
        <v>287</v>
      </c>
      <c r="C12" s="13"/>
      <c r="D12" s="8">
        <f>SUM(OSRRefD13x_0)</f>
        <v>-12971.02</v>
      </c>
      <c r="E12" s="8"/>
      <c r="F12" s="14"/>
      <c r="G12" s="8"/>
      <c r="H12" s="8">
        <f>SUM(OSRRefH13x_0)</f>
        <v>-3801</v>
      </c>
      <c r="I12" s="8"/>
      <c r="J12" s="14"/>
      <c r="K12" s="8"/>
      <c r="L12" s="8">
        <f>+D12-H12</f>
        <v>-9170.02</v>
      </c>
      <c r="M12" s="8"/>
      <c r="N12" s="14">
        <f>IF(H12=0,0,L12/H12)</f>
        <v>2.4125282820310447</v>
      </c>
      <c r="O12" s="13"/>
      <c r="P12" s="8">
        <f>SUM(OSRRefP13x_0)</f>
        <v>431898.53</v>
      </c>
      <c r="Q12" s="8"/>
      <c r="R12" s="14"/>
      <c r="S12" s="8"/>
      <c r="T12" s="8">
        <f>SUM(OSRRefT13x_0)</f>
        <v>1536393</v>
      </c>
      <c r="U12" s="8"/>
      <c r="V12" s="14"/>
      <c r="W12" s="8"/>
      <c r="X12" s="8">
        <f>+P12-T12</f>
        <v>-1104494.47</v>
      </c>
      <c r="Y12" s="8"/>
      <c r="Z12" s="14">
        <f>IF(T12=0,0,X12/T12)</f>
        <v>-0.71888798634203621</v>
      </c>
    </row>
    <row r="13" spans="1:26" s="70" customFormat="1" ht="15" hidden="1" customHeight="1" outlineLevel="1" x14ac:dyDescent="0.3">
      <c r="A13" s="48"/>
      <c r="B13" s="9" t="str">
        <f>CONCATENATE("          ","4000"," - ","TAXABLE SALES")</f>
        <v xml:space="preserve">          4000 - TAXABLE SALES</v>
      </c>
      <c r="C13" s="9"/>
      <c r="D13" s="3">
        <f>--1059.48</f>
        <v>1059.48</v>
      </c>
      <c r="E13" s="3"/>
      <c r="F13" s="26"/>
      <c r="G13" s="3"/>
      <c r="H13" s="3">
        <v>-3801</v>
      </c>
      <c r="I13" s="3"/>
      <c r="J13" s="26"/>
      <c r="K13" s="3"/>
      <c r="L13" s="3">
        <f>+D13-H13</f>
        <v>4860.4799999999996</v>
      </c>
      <c r="M13" s="3"/>
      <c r="N13" s="26">
        <f>IF(H13=0,0,L13/H13)</f>
        <v>-1.278737174427782</v>
      </c>
      <c r="O13" s="9"/>
      <c r="P13" s="3">
        <f>--279127.57</f>
        <v>279127.57</v>
      </c>
      <c r="Q13" s="3"/>
      <c r="R13" s="26"/>
      <c r="S13" s="3"/>
      <c r="T13" s="3">
        <v>1536393</v>
      </c>
      <c r="U13" s="3"/>
      <c r="V13" s="26"/>
      <c r="W13" s="3"/>
      <c r="X13" s="3">
        <f>+P13-T13</f>
        <v>-1257265.43</v>
      </c>
      <c r="Y13" s="3"/>
      <c r="Z13" s="26">
        <f>IF(T13=0,0,X13/T13)</f>
        <v>-0.81832280542803826</v>
      </c>
    </row>
    <row r="14" spans="1:26" s="70" customFormat="1" ht="15" hidden="1" customHeight="1" outlineLevel="1" x14ac:dyDescent="0.3">
      <c r="A14" s="48"/>
      <c r="B14" s="9" t="str">
        <f>CONCATENATE("          ","4100"," - ","NON-TAXABLE SALES")</f>
        <v xml:space="preserve">          4100 - NON-TAXABLE SALES</v>
      </c>
      <c r="C14" s="9"/>
      <c r="D14" s="3">
        <f>-14030.5</f>
        <v>-14030.5</v>
      </c>
      <c r="E14" s="3"/>
      <c r="F14" s="26"/>
      <c r="G14" s="3"/>
      <c r="H14" s="3"/>
      <c r="I14" s="3"/>
      <c r="J14" s="26"/>
      <c r="K14" s="3"/>
      <c r="L14" s="3">
        <f>+D14-H14</f>
        <v>-14030.5</v>
      </c>
      <c r="M14" s="3"/>
      <c r="N14" s="26">
        <f>IF(H14=0,0,L14/H14)</f>
        <v>0</v>
      </c>
      <c r="O14" s="9"/>
      <c r="P14" s="3">
        <f>--152770.96</f>
        <v>152770.96</v>
      </c>
      <c r="Q14" s="3"/>
      <c r="R14" s="26"/>
      <c r="S14" s="3"/>
      <c r="T14" s="3"/>
      <c r="U14" s="3"/>
      <c r="V14" s="26"/>
      <c r="W14" s="3"/>
      <c r="X14" s="3">
        <f>+P14-T14</f>
        <v>152770.96</v>
      </c>
      <c r="Y14" s="3"/>
      <c r="Z14" s="26">
        <f>IF(T14=0,0,X14/T14)</f>
        <v>0</v>
      </c>
    </row>
    <row r="15" spans="1:26" ht="15" customHeight="1" x14ac:dyDescent="0.3">
      <c r="A15" s="12"/>
      <c r="B15" s="13"/>
      <c r="C15" s="12"/>
      <c r="D15" s="4"/>
      <c r="E15" s="4"/>
      <c r="F15" s="10"/>
      <c r="G15" s="4"/>
      <c r="H15" s="4"/>
      <c r="I15" s="4"/>
      <c r="J15" s="10"/>
      <c r="K15" s="4"/>
      <c r="L15" s="4"/>
      <c r="M15" s="4"/>
      <c r="N15" s="10"/>
      <c r="P15" s="4"/>
      <c r="Q15" s="4"/>
      <c r="R15" s="10"/>
      <c r="S15" s="4"/>
      <c r="T15" s="4"/>
      <c r="U15" s="4"/>
      <c r="V15" s="10"/>
      <c r="W15" s="4"/>
      <c r="X15" s="4"/>
      <c r="Y15" s="4"/>
      <c r="Z15" s="10"/>
    </row>
    <row r="16" spans="1:26" s="63" customFormat="1" ht="15" customHeight="1" collapsed="1" x14ac:dyDescent="0.3">
      <c r="A16" s="13"/>
      <c r="B16" s="28" t="s">
        <v>288</v>
      </c>
      <c r="C16" s="13"/>
      <c r="D16" s="8">
        <f>SUM(OSRRefD16x_0)</f>
        <v>24455.67</v>
      </c>
      <c r="E16" s="8"/>
      <c r="F16" s="14">
        <f>IF(D$12=0,0,D16/D$12)</f>
        <v>-1.8854083950221339</v>
      </c>
      <c r="G16" s="8"/>
      <c r="H16" s="8">
        <f>SUM(OSRRefH16x_0)</f>
        <v>-2756</v>
      </c>
      <c r="I16" s="8"/>
      <c r="J16" s="14">
        <f>IF(H$12=0,0,H16/H$12)</f>
        <v>0.7250723493817417</v>
      </c>
      <c r="K16" s="8"/>
      <c r="L16" s="8">
        <f>+D16-H16</f>
        <v>27211.67</v>
      </c>
      <c r="M16" s="8"/>
      <c r="N16" s="14">
        <f>IF(H16=0,0,L16/H16)</f>
        <v>-9.8736103047895494</v>
      </c>
      <c r="O16" s="13"/>
      <c r="P16" s="8">
        <f>SUM(OSRRefP16x_0)</f>
        <v>329452.68</v>
      </c>
      <c r="Q16" s="8"/>
      <c r="R16" s="14">
        <f>IF(P$12=0,0,P16/P$12)</f>
        <v>0.76280111441916687</v>
      </c>
      <c r="S16" s="8"/>
      <c r="T16" s="8">
        <f>SUM(OSRRefT16x_0)</f>
        <v>1113885</v>
      </c>
      <c r="U16" s="8"/>
      <c r="V16" s="14">
        <f>IF(T$12=0,0,T16/T$12)</f>
        <v>0.72500004881563507</v>
      </c>
      <c r="W16" s="8"/>
      <c r="X16" s="8">
        <f>+P16-T16</f>
        <v>-784432.32000000007</v>
      </c>
      <c r="Y16" s="8"/>
      <c r="Z16" s="14">
        <f>IF(T16=0,0,X16/T16)</f>
        <v>-0.70423097536998891</v>
      </c>
    </row>
    <row r="17" spans="1:26" s="70" customFormat="1" ht="15" hidden="1" customHeight="1" outlineLevel="1" x14ac:dyDescent="0.3">
      <c r="A17" s="48"/>
      <c r="B17" s="9" t="str">
        <f>CONCATENATE("          ","5000"," - ","PURCHASES @ COST")</f>
        <v xml:space="preserve">          5000 - PURCHASES @ COST</v>
      </c>
      <c r="C17" s="9"/>
      <c r="D17" s="3">
        <v>24455.67</v>
      </c>
      <c r="E17" s="3"/>
      <c r="F17" s="26">
        <f>IF(D$12=0,0,D17/D$12)</f>
        <v>-1.8854083950221339</v>
      </c>
      <c r="G17" s="3"/>
      <c r="H17" s="3">
        <v>-2756</v>
      </c>
      <c r="I17" s="3"/>
      <c r="J17" s="26">
        <f>IF(H$12=0,0,H17/H$12)</f>
        <v>0.7250723493817417</v>
      </c>
      <c r="K17" s="3"/>
      <c r="L17" s="3">
        <f>+D17-H17</f>
        <v>27211.67</v>
      </c>
      <c r="M17" s="3"/>
      <c r="N17" s="26">
        <f>IF(H17=0,0,L17/H17)</f>
        <v>-9.8736103047895494</v>
      </c>
      <c r="O17" s="9"/>
      <c r="P17" s="3">
        <v>329452.68</v>
      </c>
      <c r="Q17" s="3"/>
      <c r="R17" s="26">
        <f>IF(P$12=0,0,P17/P$12)</f>
        <v>0.76280111441916687</v>
      </c>
      <c r="S17" s="3"/>
      <c r="T17" s="3">
        <v>1113885</v>
      </c>
      <c r="U17" s="3"/>
      <c r="V17" s="26">
        <f>IF(T$12=0,0,T17/T$12)</f>
        <v>0.72500004881563507</v>
      </c>
      <c r="W17" s="3"/>
      <c r="X17" s="3">
        <f>+P17-T17</f>
        <v>-784432.32000000007</v>
      </c>
      <c r="Y17" s="3"/>
      <c r="Z17" s="26">
        <f>IF(T17=0,0,X17/T17)</f>
        <v>-0.70423097536998891</v>
      </c>
    </row>
    <row r="18" spans="1:26" ht="15" customHeight="1" x14ac:dyDescent="0.3">
      <c r="A18" s="12"/>
      <c r="B18" s="13"/>
      <c r="C18" s="13"/>
      <c r="D18" s="4"/>
      <c r="E18" s="4"/>
      <c r="F18" s="10"/>
      <c r="G18" s="4"/>
      <c r="H18" s="4"/>
      <c r="I18" s="4"/>
      <c r="J18" s="10"/>
      <c r="K18" s="4"/>
      <c r="L18" s="4"/>
      <c r="M18" s="4"/>
      <c r="N18" s="10"/>
      <c r="O18" s="13"/>
      <c r="P18" s="4"/>
      <c r="Q18" s="4"/>
      <c r="R18" s="10"/>
      <c r="S18" s="4"/>
      <c r="T18" s="4"/>
      <c r="U18" s="4"/>
      <c r="V18" s="10"/>
      <c r="W18" s="4"/>
      <c r="X18" s="4"/>
      <c r="Y18" s="4"/>
      <c r="Z18" s="10"/>
    </row>
    <row r="19" spans="1:26" s="63" customFormat="1" ht="15" customHeight="1" x14ac:dyDescent="0.3">
      <c r="A19" s="13"/>
      <c r="B19" s="27" t="s">
        <v>289</v>
      </c>
      <c r="C19" s="27"/>
      <c r="D19" s="23">
        <f>D12-D16</f>
        <v>-37426.69</v>
      </c>
      <c r="E19" s="15"/>
      <c r="F19" s="22">
        <f>IF(D$12=0,0,D19/D$12)</f>
        <v>2.8854083950221341</v>
      </c>
      <c r="G19" s="15"/>
      <c r="H19" s="23">
        <f>H12-H16</f>
        <v>-1045</v>
      </c>
      <c r="I19" s="15"/>
      <c r="J19" s="22">
        <f>IF(H$12=0,0,H19/H$12)</f>
        <v>0.27492765061825836</v>
      </c>
      <c r="K19" s="17"/>
      <c r="L19" s="23">
        <f>+D19-H19</f>
        <v>-36381.69</v>
      </c>
      <c r="M19" s="17"/>
      <c r="N19" s="22">
        <f>IF(H19=0,0,L19/H19)</f>
        <v>34.815014354066989</v>
      </c>
      <c r="O19" s="28"/>
      <c r="P19" s="23">
        <f>P12-P16</f>
        <v>102445.85000000003</v>
      </c>
      <c r="Q19" s="15"/>
      <c r="R19" s="22">
        <f>IF(P$12=0,0,P19/P$12)</f>
        <v>0.23719888558083313</v>
      </c>
      <c r="S19" s="15"/>
      <c r="T19" s="23">
        <f>T12-T16</f>
        <v>422508</v>
      </c>
      <c r="U19" s="15"/>
      <c r="V19" s="22">
        <f>IF(T$12=0,0,T19/T$12)</f>
        <v>0.27499995118436493</v>
      </c>
      <c r="W19" s="17"/>
      <c r="X19" s="23">
        <f>+P19-T19</f>
        <v>-320062.14999999997</v>
      </c>
      <c r="Y19" s="17"/>
      <c r="Z19" s="22">
        <f>IF(T19=0,0,X19/T19)</f>
        <v>-0.75752920654756828</v>
      </c>
    </row>
    <row r="20" spans="1:26" ht="15" customHeight="1" x14ac:dyDescent="0.3">
      <c r="A20" s="12"/>
      <c r="B20" s="13"/>
      <c r="C20" s="12"/>
      <c r="D20" s="2"/>
      <c r="E20" s="2"/>
      <c r="F20" s="5"/>
      <c r="G20" s="2"/>
      <c r="H20" s="2"/>
      <c r="I20" s="2"/>
      <c r="J20" s="5"/>
      <c r="K20" s="2"/>
      <c r="L20" s="2"/>
      <c r="M20" s="2"/>
      <c r="N20" s="5"/>
      <c r="O20" s="36"/>
      <c r="P20" s="2"/>
      <c r="Q20" s="2"/>
      <c r="R20" s="5"/>
      <c r="S20" s="2"/>
      <c r="T20" s="2"/>
      <c r="U20" s="2"/>
      <c r="V20" s="5"/>
      <c r="W20" s="2"/>
      <c r="X20" s="2"/>
      <c r="Y20" s="2"/>
      <c r="Z20" s="5"/>
    </row>
    <row r="21" spans="1:26" s="63" customFormat="1" ht="15" customHeight="1" x14ac:dyDescent="0.3">
      <c r="A21" s="13"/>
      <c r="B21" s="28" t="s">
        <v>290</v>
      </c>
      <c r="C21" s="13"/>
      <c r="D21" s="24">
        <f>SUM(0)</f>
        <v>0</v>
      </c>
      <c r="E21" s="24"/>
      <c r="F21" s="34">
        <f>IF(D$12=0,0,D21/D$12)</f>
        <v>0</v>
      </c>
      <c r="G21" s="24"/>
      <c r="H21" s="24">
        <f>SUM(0)</f>
        <v>0</v>
      </c>
      <c r="I21" s="24"/>
      <c r="J21" s="34">
        <f>IF(H$12=0,0,H21/H$12)</f>
        <v>0</v>
      </c>
      <c r="K21" s="8"/>
      <c r="L21" s="24">
        <f>+D21-H21</f>
        <v>0</v>
      </c>
      <c r="M21" s="8"/>
      <c r="N21" s="34">
        <f>IF(H21=0,0,L21/H21)</f>
        <v>0</v>
      </c>
      <c r="O21" s="13"/>
      <c r="P21" s="24">
        <f>SUM(0)</f>
        <v>0</v>
      </c>
      <c r="Q21" s="24"/>
      <c r="R21" s="34">
        <f>IF(P$12=0,0,P21/P$12)</f>
        <v>0</v>
      </c>
      <c r="S21" s="24"/>
      <c r="T21" s="24">
        <f>SUM(0)</f>
        <v>0</v>
      </c>
      <c r="U21" s="24"/>
      <c r="V21" s="34">
        <f>IF(T$12=0,0,T21/T$12)</f>
        <v>0</v>
      </c>
      <c r="W21" s="8"/>
      <c r="X21" s="24">
        <f>+P21-T21</f>
        <v>0</v>
      </c>
      <c r="Y21" s="8"/>
      <c r="Z21" s="34">
        <f>IF(T21=0,0,X21/T21)</f>
        <v>0</v>
      </c>
    </row>
    <row r="22" spans="1:26" s="65" customFormat="1" ht="15" customHeight="1" x14ac:dyDescent="0.3">
      <c r="A22" s="36"/>
      <c r="B22" s="36"/>
      <c r="C22" s="36"/>
      <c r="D22" s="2"/>
      <c r="E22" s="2"/>
      <c r="F22" s="5"/>
      <c r="G22" s="2"/>
      <c r="H22" s="2"/>
      <c r="I22" s="2"/>
      <c r="J22" s="5"/>
      <c r="K22" s="2"/>
      <c r="L22" s="2"/>
      <c r="M22" s="2"/>
      <c r="N22" s="5"/>
      <c r="O22" s="36"/>
      <c r="P22" s="2"/>
      <c r="Q22" s="2"/>
      <c r="R22" s="5"/>
      <c r="S22" s="2"/>
      <c r="T22" s="2"/>
      <c r="U22" s="2"/>
      <c r="V22" s="5"/>
      <c r="W22" s="2"/>
      <c r="X22" s="2"/>
      <c r="Y22" s="2"/>
      <c r="Z22" s="5"/>
    </row>
    <row r="23" spans="1:26" s="63" customFormat="1" ht="15" customHeight="1" x14ac:dyDescent="0.3">
      <c r="A23" s="13"/>
      <c r="B23" s="28" t="s">
        <v>291</v>
      </c>
      <c r="C23" s="13"/>
      <c r="D23" s="8">
        <f>SUM(0)</f>
        <v>0</v>
      </c>
      <c r="E23" s="8"/>
      <c r="F23" s="14">
        <f>IF(D$12=0,0,D23/D$12)</f>
        <v>0</v>
      </c>
      <c r="G23" s="8"/>
      <c r="H23" s="8">
        <f>SUM(0)</f>
        <v>0</v>
      </c>
      <c r="I23" s="8"/>
      <c r="J23" s="14">
        <f>IF(H$12=0,0,H23/H$12)</f>
        <v>0</v>
      </c>
      <c r="K23" s="8"/>
      <c r="L23" s="8">
        <f>+D23-H23</f>
        <v>0</v>
      </c>
      <c r="M23" s="8"/>
      <c r="N23" s="14">
        <f>IF(H23=0,0,L23/H23)</f>
        <v>0</v>
      </c>
      <c r="O23" s="13"/>
      <c r="P23" s="8">
        <f>SUM(0)</f>
        <v>0</v>
      </c>
      <c r="Q23" s="8"/>
      <c r="R23" s="14">
        <f>IF(P$12=0,0,P23/P$12)</f>
        <v>0</v>
      </c>
      <c r="S23" s="8"/>
      <c r="T23" s="8">
        <f>SUM(0)</f>
        <v>0</v>
      </c>
      <c r="U23" s="8"/>
      <c r="V23" s="14">
        <f>IF(T$12=0,0,T23/T$12)</f>
        <v>0</v>
      </c>
      <c r="W23" s="8"/>
      <c r="X23" s="8">
        <f>+P23-T23</f>
        <v>0</v>
      </c>
      <c r="Y23" s="8"/>
      <c r="Z23" s="14">
        <f>IF(T23=0,0,X23/T23)</f>
        <v>0</v>
      </c>
    </row>
    <row r="24" spans="1:26" ht="15" customHeight="1" x14ac:dyDescent="0.3">
      <c r="A24" s="12"/>
      <c r="B24" s="13"/>
      <c r="C24" s="13"/>
      <c r="D24" s="4"/>
      <c r="E24" s="4"/>
      <c r="F24" s="10"/>
      <c r="G24" s="4"/>
      <c r="H24" s="4"/>
      <c r="I24" s="4"/>
      <c r="J24" s="10"/>
      <c r="K24" s="4"/>
      <c r="L24" s="4"/>
      <c r="M24" s="4"/>
      <c r="N24" s="10"/>
      <c r="O24" s="13"/>
      <c r="P24" s="4"/>
      <c r="Q24" s="4"/>
      <c r="R24" s="10"/>
      <c r="S24" s="4"/>
      <c r="T24" s="4"/>
      <c r="U24" s="4"/>
      <c r="V24" s="10"/>
      <c r="W24" s="4"/>
      <c r="X24" s="4"/>
      <c r="Y24" s="4"/>
      <c r="Z24" s="10"/>
    </row>
    <row r="25" spans="1:26" s="63" customFormat="1" ht="15" customHeight="1" x14ac:dyDescent="0.3">
      <c r="A25" s="13"/>
      <c r="B25" s="27" t="s">
        <v>292</v>
      </c>
      <c r="C25" s="27"/>
      <c r="D25" s="23">
        <f>+D19-D21+D23</f>
        <v>-37426.69</v>
      </c>
      <c r="E25" s="15"/>
      <c r="F25" s="22">
        <f>IF(D$12=0,0,D25/D$12)</f>
        <v>2.8854083950221341</v>
      </c>
      <c r="G25" s="15"/>
      <c r="H25" s="23">
        <f>+H19-H21+H23</f>
        <v>-1045</v>
      </c>
      <c r="I25" s="15"/>
      <c r="J25" s="22">
        <f>IF(H$12=0,0,H25/H$12)</f>
        <v>0.27492765061825836</v>
      </c>
      <c r="K25" s="17"/>
      <c r="L25" s="23">
        <f>+D25-H25</f>
        <v>-36381.69</v>
      </c>
      <c r="M25" s="17"/>
      <c r="N25" s="22">
        <f>IF(H25=0,0,L25/H25)</f>
        <v>34.815014354066989</v>
      </c>
      <c r="O25" s="28"/>
      <c r="P25" s="23">
        <f>+P19-P21+P23</f>
        <v>102445.85000000003</v>
      </c>
      <c r="Q25" s="15"/>
      <c r="R25" s="22">
        <f>IF(P$12=0,0,P25/P$12)</f>
        <v>0.23719888558083313</v>
      </c>
      <c r="S25" s="15"/>
      <c r="T25" s="23">
        <f>+T19-T21+T23</f>
        <v>422508</v>
      </c>
      <c r="U25" s="15"/>
      <c r="V25" s="22">
        <f>IF(T$12=0,0,T25/T$12)</f>
        <v>0.27499995118436493</v>
      </c>
      <c r="W25" s="17"/>
      <c r="X25" s="23">
        <f>+P25-T25</f>
        <v>-320062.14999999997</v>
      </c>
      <c r="Y25" s="17"/>
      <c r="Z25" s="22">
        <f>IF(T25=0,0,X25/T25)</f>
        <v>-0.75752920654756828</v>
      </c>
    </row>
    <row r="26" spans="1:26" ht="15" customHeight="1" x14ac:dyDescent="0.3">
      <c r="A26" s="12"/>
      <c r="B26" s="13"/>
      <c r="C26" s="12"/>
      <c r="D26" s="4"/>
      <c r="E26" s="4"/>
      <c r="F26" s="10"/>
      <c r="G26" s="4"/>
      <c r="H26" s="4"/>
      <c r="I26" s="4"/>
      <c r="J26" s="10"/>
      <c r="K26" s="4"/>
      <c r="L26" s="4"/>
      <c r="M26" s="4"/>
      <c r="N26" s="10"/>
      <c r="P26" s="4"/>
      <c r="Q26" s="4"/>
      <c r="R26" s="10"/>
      <c r="S26" s="4"/>
      <c r="T26" s="4"/>
      <c r="U26" s="4"/>
      <c r="V26" s="10"/>
      <c r="W26" s="4"/>
      <c r="X26" s="4"/>
      <c r="Y26" s="4"/>
      <c r="Z26" s="10"/>
    </row>
    <row r="27" spans="1:26" s="63" customFormat="1" ht="15" customHeight="1" x14ac:dyDescent="0.3">
      <c r="A27" s="49"/>
      <c r="B27" s="13" t="s">
        <v>293</v>
      </c>
      <c r="C27" s="13"/>
      <c r="D27" s="8">
        <v>-99807.65</v>
      </c>
      <c r="E27" s="8"/>
      <c r="F27" s="14">
        <f>IF(D$12=0,0,D27/D$12)</f>
        <v>7.6946647218183299</v>
      </c>
      <c r="G27" s="8"/>
      <c r="H27" s="8">
        <v>-16708</v>
      </c>
      <c r="I27" s="8"/>
      <c r="J27" s="14">
        <f>IF(H$12=0,0,H27/H$12)</f>
        <v>4.3956853459615894</v>
      </c>
      <c r="K27" s="8"/>
      <c r="L27" s="8">
        <f>+D27-H27</f>
        <v>-83099.649999999994</v>
      </c>
      <c r="M27" s="8"/>
      <c r="N27" s="14">
        <f>IF(H27=0,0,L27/H27)</f>
        <v>4.9736443619822834</v>
      </c>
      <c r="O27" s="13"/>
      <c r="P27" s="8">
        <v>-49793.03</v>
      </c>
      <c r="Q27" s="8"/>
      <c r="R27" s="14">
        <f>IF(P$12=0,0,P27/P$12)</f>
        <v>-0.11528872302482714</v>
      </c>
      <c r="S27" s="8"/>
      <c r="T27" s="8">
        <v>174218</v>
      </c>
      <c r="U27" s="8"/>
      <c r="V27" s="14">
        <f>IF(T$12=0,0,T27/T$12)</f>
        <v>0.11339416412337208</v>
      </c>
      <c r="W27" s="8"/>
      <c r="X27" s="8">
        <f>+P27-T27</f>
        <v>-224011.03</v>
      </c>
      <c r="Y27" s="8"/>
      <c r="Z27" s="14">
        <f>IF(T27=0,0,X27/T27)</f>
        <v>-1.2858087568448726</v>
      </c>
    </row>
    <row r="28" spans="1:26" ht="15" customHeight="1" x14ac:dyDescent="0.3">
      <c r="A28" s="12"/>
      <c r="B28" s="13"/>
      <c r="C28" s="13"/>
      <c r="D28" s="4"/>
      <c r="E28" s="4"/>
      <c r="F28" s="10"/>
      <c r="G28" s="4"/>
      <c r="H28" s="4"/>
      <c r="I28" s="4"/>
      <c r="J28" s="10"/>
      <c r="K28" s="4"/>
      <c r="L28" s="4"/>
      <c r="M28" s="4"/>
      <c r="N28" s="10"/>
      <c r="O28" s="13"/>
      <c r="P28" s="4"/>
      <c r="Q28" s="4"/>
      <c r="R28" s="10"/>
      <c r="S28" s="4"/>
      <c r="T28" s="4"/>
      <c r="U28" s="4"/>
      <c r="V28" s="10"/>
      <c r="W28" s="4"/>
      <c r="X28" s="4"/>
      <c r="Y28" s="4"/>
      <c r="Z28" s="10"/>
    </row>
    <row r="29" spans="1:26" s="63" customFormat="1" ht="15" customHeight="1" x14ac:dyDescent="0.3">
      <c r="A29" s="13"/>
      <c r="B29" s="27" t="s">
        <v>294</v>
      </c>
      <c r="C29" s="27"/>
      <c r="D29" s="30">
        <f>+D25-D27</f>
        <v>62380.959999999992</v>
      </c>
      <c r="E29" s="15"/>
      <c r="F29" s="35">
        <f>IF(D$12=0,0,D29/D$12)</f>
        <v>-4.8092563267961959</v>
      </c>
      <c r="G29" s="15"/>
      <c r="H29" s="30">
        <f>+H25-H27</f>
        <v>15663</v>
      </c>
      <c r="I29" s="15"/>
      <c r="J29" s="35">
        <f>IF(H$12=0,0,H29/H$12)</f>
        <v>-4.1207576953433307</v>
      </c>
      <c r="K29" s="17"/>
      <c r="L29" s="30">
        <f>D29-H29</f>
        <v>46717.959999999992</v>
      </c>
      <c r="M29" s="17"/>
      <c r="N29" s="35">
        <f>IF(H29=0,0,L29/H29)</f>
        <v>2.9826955244844533</v>
      </c>
      <c r="O29" s="28"/>
      <c r="P29" s="30">
        <f>+P25-P27</f>
        <v>152238.88000000003</v>
      </c>
      <c r="Q29" s="15"/>
      <c r="R29" s="35">
        <f>IF(P$12=0,0,P29/P$12)</f>
        <v>0.35248760860566025</v>
      </c>
      <c r="S29" s="15"/>
      <c r="T29" s="30">
        <f>+T25-T27</f>
        <v>248290</v>
      </c>
      <c r="U29" s="15"/>
      <c r="V29" s="35">
        <f>IF(T$12=0,0,T29/T$12)</f>
        <v>0.16160578706099285</v>
      </c>
      <c r="W29" s="17"/>
      <c r="X29" s="30">
        <f>P29-T29</f>
        <v>-96051.119999999966</v>
      </c>
      <c r="Y29" s="17"/>
      <c r="Z29" s="35">
        <f>IF(T29=0,0,X29/T29)</f>
        <v>-0.38685053767771543</v>
      </c>
    </row>
    <row r="30" spans="1:26" ht="15" customHeight="1" x14ac:dyDescent="0.3">
      <c r="A30" s="12"/>
      <c r="B30" s="12"/>
      <c r="C30" s="12"/>
      <c r="D30" s="4"/>
      <c r="E30" s="4"/>
      <c r="F30" s="10"/>
      <c r="G30" s="4"/>
      <c r="H30" s="4"/>
      <c r="I30" s="4"/>
      <c r="J30" s="10"/>
      <c r="K30" s="4"/>
      <c r="L30" s="4"/>
      <c r="M30" s="4"/>
      <c r="N30" s="10"/>
      <c r="P30" s="4"/>
      <c r="Q30" s="4"/>
      <c r="R30" s="10"/>
      <c r="S30" s="4"/>
      <c r="T30" s="4"/>
      <c r="U30" s="4"/>
      <c r="V30" s="10"/>
      <c r="W30" s="4"/>
      <c r="X30" s="4"/>
      <c r="Y30" s="4"/>
      <c r="Z30" s="10"/>
    </row>
    <row r="31" spans="1:26" ht="15" customHeight="1" x14ac:dyDescent="0.3">
      <c r="A31" s="12"/>
      <c r="B31" s="12"/>
      <c r="C31" s="12"/>
      <c r="D31" s="4"/>
      <c r="E31" s="4"/>
      <c r="F31" s="10"/>
      <c r="G31" s="4"/>
      <c r="H31" s="4"/>
      <c r="I31" s="4"/>
      <c r="J31" s="10"/>
      <c r="K31" s="4"/>
      <c r="L31" s="4"/>
      <c r="M31" s="4"/>
      <c r="N31" s="10"/>
      <c r="P31" s="4"/>
      <c r="Q31" s="4"/>
      <c r="R31" s="10"/>
      <c r="S31" s="4"/>
      <c r="T31" s="4"/>
      <c r="U31" s="4"/>
      <c r="V31" s="10"/>
      <c r="W31" s="4"/>
      <c r="X31" s="4"/>
      <c r="Y31" s="4"/>
      <c r="Z31" s="10"/>
    </row>
    <row r="32" spans="1:26" s="63" customFormat="1" ht="15" customHeight="1" x14ac:dyDescent="0.3">
      <c r="A32" s="13"/>
      <c r="B32" s="27" t="s">
        <v>297</v>
      </c>
      <c r="C32" s="27"/>
      <c r="D32" s="33">
        <f>SUM(D29:D31)</f>
        <v>62380.959999999992</v>
      </c>
      <c r="E32" s="15"/>
      <c r="F32" s="31">
        <f>IF(D$12=0,0,D32/D$12)</f>
        <v>-4.8092563267961959</v>
      </c>
      <c r="G32" s="15"/>
      <c r="H32" s="33">
        <f>SUM(H29:H31)</f>
        <v>15663</v>
      </c>
      <c r="I32" s="15"/>
      <c r="J32" s="31">
        <f>IF(H$12=0,0,H32/H$12)</f>
        <v>-4.1207576953433307</v>
      </c>
      <c r="K32" s="17"/>
      <c r="L32" s="33">
        <f>+D32-H32</f>
        <v>46717.959999999992</v>
      </c>
      <c r="M32" s="17"/>
      <c r="N32" s="31">
        <f>IF(H32=0,0,L32/H32)</f>
        <v>2.9826955244844533</v>
      </c>
      <c r="O32" s="28"/>
      <c r="P32" s="33">
        <f>SUM(P29:P31)</f>
        <v>152238.88000000003</v>
      </c>
      <c r="Q32" s="15"/>
      <c r="R32" s="31">
        <f>IF(P$12=0,0,P32/P$12)</f>
        <v>0.35248760860566025</v>
      </c>
      <c r="S32" s="15"/>
      <c r="T32" s="33">
        <f>SUM(T29:T31)</f>
        <v>248290</v>
      </c>
      <c r="U32" s="15"/>
      <c r="V32" s="31">
        <f>IF(T$12=0,0,T32/T$12)</f>
        <v>0.16160578706099285</v>
      </c>
      <c r="W32" s="17"/>
      <c r="X32" s="33">
        <f>+P32-T32</f>
        <v>-96051.119999999966</v>
      </c>
      <c r="Y32" s="17"/>
      <c r="Z32" s="31">
        <f>IF(T32=0,0,X32/T32)</f>
        <v>-0.38685053767771543</v>
      </c>
    </row>
    <row r="33" spans="1:24" ht="15" customHeight="1" x14ac:dyDescent="0.3">
      <c r="A33" s="12"/>
      <c r="C33" s="12"/>
      <c r="D33" s="19"/>
      <c r="E33" s="19"/>
      <c r="G33" s="19"/>
      <c r="H33" s="19"/>
      <c r="I33" s="19"/>
      <c r="J33" s="41"/>
      <c r="K33" s="19"/>
      <c r="L33" s="19"/>
      <c r="M33" s="19"/>
      <c r="P33" s="19"/>
      <c r="Q33" s="19"/>
      <c r="R33" s="41"/>
      <c r="S33" s="19"/>
      <c r="T33" s="19"/>
      <c r="U33" s="19"/>
      <c r="V33" s="41"/>
      <c r="W33" s="19"/>
      <c r="X33" s="19"/>
    </row>
    <row r="34" spans="1:24" ht="15" customHeight="1" x14ac:dyDescent="0.3">
      <c r="A34" s="12"/>
      <c r="B34" s="50">
        <v>44767.799547766204</v>
      </c>
      <c r="D34" s="19"/>
      <c r="E34" s="19"/>
      <c r="G34" s="19"/>
      <c r="H34" s="19"/>
      <c r="I34" s="19"/>
      <c r="J34" s="41"/>
      <c r="K34" s="19"/>
      <c r="L34" s="19"/>
      <c r="M34" s="19"/>
      <c r="P34" s="19"/>
      <c r="Q34" s="19"/>
      <c r="R34" s="41"/>
      <c r="S34" s="19"/>
      <c r="T34" s="19"/>
      <c r="U34" s="19"/>
      <c r="V34" s="41"/>
      <c r="W34" s="19"/>
      <c r="X34" s="19"/>
    </row>
    <row r="35" spans="1:24" ht="15" customHeight="1" x14ac:dyDescent="0.3">
      <c r="A35" s="12"/>
      <c r="B35" s="57" t="s">
        <v>298</v>
      </c>
      <c r="D35" s="19"/>
      <c r="E35" s="19"/>
      <c r="G35" s="19"/>
      <c r="H35" s="19"/>
      <c r="I35" s="19"/>
      <c r="J35" s="41"/>
      <c r="K35" s="19"/>
      <c r="L35" s="19"/>
      <c r="M35" s="19"/>
      <c r="P35" s="19"/>
      <c r="Q35" s="19"/>
      <c r="R35" s="41"/>
      <c r="S35" s="19"/>
      <c r="T35" s="19"/>
      <c r="U35" s="19"/>
      <c r="V35" s="41"/>
      <c r="W35" s="19"/>
      <c r="X35" s="19"/>
    </row>
    <row r="36" spans="1:24" ht="15" customHeight="1" x14ac:dyDescent="0.3">
      <c r="A36" s="12"/>
      <c r="B36" s="51"/>
      <c r="D36" s="19"/>
      <c r="E36" s="19"/>
      <c r="G36" s="19"/>
      <c r="H36" s="19"/>
      <c r="I36" s="19"/>
      <c r="J36" s="41"/>
      <c r="K36" s="19"/>
      <c r="L36" s="19"/>
      <c r="M36" s="19"/>
      <c r="P36" s="19"/>
      <c r="Q36" s="19"/>
      <c r="R36" s="41"/>
      <c r="S36" s="19"/>
      <c r="T36" s="19"/>
      <c r="U36" s="19"/>
      <c r="V36" s="41"/>
      <c r="W36" s="19"/>
      <c r="X36" s="19"/>
    </row>
    <row r="37" spans="1:24" ht="15" customHeight="1" x14ac:dyDescent="0.3">
      <c r="D37" s="19"/>
      <c r="E37" s="19"/>
      <c r="G37" s="19"/>
      <c r="H37" s="19"/>
      <c r="I37" s="19"/>
      <c r="J37" s="41"/>
      <c r="K37" s="19"/>
      <c r="L37" s="19"/>
      <c r="M37" s="19"/>
      <c r="P37" s="19"/>
      <c r="Q37" s="19"/>
      <c r="R37" s="41"/>
      <c r="S37" s="19"/>
      <c r="T37" s="19"/>
      <c r="U37" s="19"/>
      <c r="V37" s="41"/>
      <c r="W37" s="19"/>
      <c r="X37" s="19"/>
    </row>
  </sheetData>
  <pageMargins left="0.25" right="0.25" top="0.75" bottom="0.75" header="0.3" footer="0.3"/>
  <pageSetup scale="55" orientation="landscape" r:id="rId1"/>
  <headerFooter>
    <oddHeader>&amp;RPre-Audit</oddHeader>
    <oddFooter>&amp;L&amp;C&amp;R</oddFooter>
    <evenHeader>&amp;L&amp;C&amp;R</evenHeader>
    <evenFooter>&amp;L&amp;C&amp;R</even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8C55FD-8C8E-131D-2E76-F4E1D4A23922}">
  <sheetPr>
    <tabColor rgb="FFFFFF00"/>
    <outlinePr summaryBelow="0" summaryRight="0"/>
  </sheetPr>
  <dimension ref="A2:Z142"/>
  <sheetViews>
    <sheetView showGridLines="0" defaultGridColor="0" colorId="8" zoomScale="80" workbookViewId="0">
      <pane xSplit="3" ySplit="10" topLeftCell="D11" activePane="bottomRight" state="frozen"/>
      <selection activeCell="D78" sqref="D78"/>
      <selection pane="topRight" activeCell="D78" sqref="D78"/>
      <selection pane="bottomLeft" activeCell="D78" sqref="D78"/>
      <selection pane="bottomRight" activeCell="D78" sqref="D78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3" t="s">
        <v>276</v>
      </c>
    </row>
    <row r="3" spans="1:26" ht="15" customHeight="1" x14ac:dyDescent="0.3">
      <c r="D3" s="53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3" t="str">
        <f>CONCATENATE("Period ",RIGHT(202212,2),", ",2022)</f>
        <v>Period 12,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5"/>
      <c r="D5" s="60">
        <v>44742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5"/>
      <c r="B6" s="47"/>
      <c r="C6" s="47"/>
      <c r="D6" s="25" t="s">
        <v>308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4"/>
    </row>
    <row r="8" spans="1:26" ht="15" customHeight="1" x14ac:dyDescent="0.3">
      <c r="B8" s="54"/>
    </row>
    <row r="9" spans="1:26" ht="15" customHeight="1" x14ac:dyDescent="0.3">
      <c r="B9" s="12"/>
      <c r="C9" s="12"/>
      <c r="D9" s="16" t="s">
        <v>279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280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ht="15" customHeight="1" x14ac:dyDescent="0.3">
      <c r="A10" s="13"/>
      <c r="B10" s="52"/>
      <c r="C10" s="13"/>
      <c r="D10" s="40" t="s">
        <v>281</v>
      </c>
      <c r="E10" s="32"/>
      <c r="F10" s="39" t="s">
        <v>282</v>
      </c>
      <c r="G10" s="32"/>
      <c r="H10" s="45" t="s">
        <v>283</v>
      </c>
      <c r="I10" s="32"/>
      <c r="J10" s="42" t="s">
        <v>284</v>
      </c>
      <c r="K10" s="13"/>
      <c r="L10" s="40" t="s">
        <v>285</v>
      </c>
      <c r="M10" s="13"/>
      <c r="N10" s="39" t="s">
        <v>286</v>
      </c>
      <c r="O10" s="13"/>
      <c r="P10" s="55" t="s">
        <v>281</v>
      </c>
      <c r="Q10" s="32"/>
      <c r="R10" s="39" t="s">
        <v>282</v>
      </c>
      <c r="S10" s="32"/>
      <c r="T10" s="45" t="s">
        <v>283</v>
      </c>
      <c r="U10" s="32"/>
      <c r="V10" s="42" t="s">
        <v>284</v>
      </c>
      <c r="W10" s="13"/>
      <c r="X10" s="40" t="s">
        <v>285</v>
      </c>
      <c r="Y10" s="13"/>
      <c r="Z10" s="39" t="s">
        <v>286</v>
      </c>
    </row>
    <row r="11" spans="1:26" ht="16.5" customHeight="1" x14ac:dyDescent="0.3">
      <c r="A11" s="12"/>
      <c r="B11" s="58"/>
      <c r="C11" s="12"/>
      <c r="D11" s="12"/>
      <c r="E11" s="12"/>
      <c r="F11" s="10"/>
      <c r="G11" s="12"/>
      <c r="H11" s="12"/>
      <c r="I11" s="12"/>
      <c r="J11" s="43"/>
      <c r="K11" s="12"/>
      <c r="L11" s="12"/>
      <c r="M11" s="12"/>
      <c r="N11" s="10"/>
      <c r="P11" s="12"/>
      <c r="Q11" s="12"/>
      <c r="R11" s="10"/>
      <c r="S11" s="12"/>
      <c r="T11" s="12"/>
      <c r="U11" s="12"/>
      <c r="V11" s="43"/>
      <c r="W11" s="12"/>
      <c r="X11" s="12"/>
      <c r="Y11" s="12"/>
      <c r="Z11" s="10"/>
    </row>
    <row r="12" spans="1:26" s="63" customFormat="1" ht="15" customHeight="1" collapsed="1" x14ac:dyDescent="0.3">
      <c r="A12" s="13"/>
      <c r="B12" s="28" t="s">
        <v>287</v>
      </c>
      <c r="C12" s="13"/>
      <c r="D12" s="8">
        <f>SUM(OSRRefD13x_0)</f>
        <v>282453.05</v>
      </c>
      <c r="E12" s="8"/>
      <c r="F12" s="14"/>
      <c r="G12" s="8"/>
      <c r="H12" s="8">
        <f>SUM(OSRRefH13x_0)</f>
        <v>256683</v>
      </c>
      <c r="I12" s="8"/>
      <c r="J12" s="14"/>
      <c r="K12" s="8"/>
      <c r="L12" s="8">
        <f t="shared" ref="L12:L17" si="0">+D12-H12</f>
        <v>25770.049999999988</v>
      </c>
      <c r="M12" s="8"/>
      <c r="N12" s="14">
        <f t="shared" ref="N12:N17" si="1">IF(H12=0,0,L12/H12)</f>
        <v>0.10039640334576107</v>
      </c>
      <c r="O12" s="13"/>
      <c r="P12" s="8">
        <f>SUM(OSRRefP13x_0)</f>
        <v>5342934.26</v>
      </c>
      <c r="Q12" s="8"/>
      <c r="R12" s="14"/>
      <c r="S12" s="8"/>
      <c r="T12" s="8">
        <f>SUM(OSRRefT13x_0)</f>
        <v>3696946</v>
      </c>
      <c r="U12" s="8"/>
      <c r="V12" s="14"/>
      <c r="W12" s="8"/>
      <c r="X12" s="8">
        <f t="shared" ref="X12:X17" si="2">+P12-T12</f>
        <v>1645988.2599999998</v>
      </c>
      <c r="Y12" s="8"/>
      <c r="Z12" s="14">
        <f t="shared" ref="Z12:Z17" si="3">IF(T12=0,0,X12/T12)</f>
        <v>0.44522918646904763</v>
      </c>
    </row>
    <row r="13" spans="1:26" s="70" customFormat="1" ht="15" hidden="1" customHeight="1" outlineLevel="1" x14ac:dyDescent="0.3">
      <c r="A13" s="48"/>
      <c r="B13" s="9" t="str">
        <f>CONCATENATE("          ","4000"," - ","TAXABLE SALES")</f>
        <v xml:space="preserve">          4000 - TAXABLE SALES</v>
      </c>
      <c r="C13" s="9"/>
      <c r="D13" s="3">
        <f>--278306.49</f>
        <v>278306.49</v>
      </c>
      <c r="E13" s="3"/>
      <c r="F13" s="26"/>
      <c r="G13" s="3"/>
      <c r="H13" s="3">
        <v>256683</v>
      </c>
      <c r="I13" s="3"/>
      <c r="J13" s="26"/>
      <c r="K13" s="3"/>
      <c r="L13" s="3">
        <f t="shared" si="0"/>
        <v>21623.489999999991</v>
      </c>
      <c r="M13" s="3"/>
      <c r="N13" s="26">
        <f t="shared" si="1"/>
        <v>8.4242002781641137E-2</v>
      </c>
      <c r="O13" s="9"/>
      <c r="P13" s="3">
        <f>--4979481.26</f>
        <v>4979481.26</v>
      </c>
      <c r="Q13" s="3"/>
      <c r="R13" s="26"/>
      <c r="S13" s="3"/>
      <c r="T13" s="3">
        <v>3527846</v>
      </c>
      <c r="U13" s="3"/>
      <c r="V13" s="26"/>
      <c r="W13" s="3"/>
      <c r="X13" s="3">
        <f t="shared" si="2"/>
        <v>1451635.2599999998</v>
      </c>
      <c r="Y13" s="3"/>
      <c r="Z13" s="26">
        <f t="shared" si="3"/>
        <v>0.41147920289037554</v>
      </c>
    </row>
    <row r="14" spans="1:26" s="70" customFormat="1" ht="15" hidden="1" customHeight="1" outlineLevel="1" x14ac:dyDescent="0.3">
      <c r="A14" s="48"/>
      <c r="B14" s="9" t="str">
        <f>CONCATENATE("          ","4100"," - ","NON-TAXABLE SALES")</f>
        <v xml:space="preserve">          4100 - NON-TAXABLE SALES</v>
      </c>
      <c r="C14" s="9"/>
      <c r="D14" s="3">
        <f>--30713.63</f>
        <v>30713.63</v>
      </c>
      <c r="E14" s="3"/>
      <c r="F14" s="26"/>
      <c r="G14" s="3"/>
      <c r="H14" s="3">
        <v>0</v>
      </c>
      <c r="I14" s="3"/>
      <c r="J14" s="26"/>
      <c r="K14" s="3"/>
      <c r="L14" s="3">
        <f t="shared" si="0"/>
        <v>30713.63</v>
      </c>
      <c r="M14" s="3"/>
      <c r="N14" s="26">
        <f t="shared" si="1"/>
        <v>0</v>
      </c>
      <c r="O14" s="9"/>
      <c r="P14" s="3">
        <f>--669856.86</f>
        <v>669856.86</v>
      </c>
      <c r="Q14" s="3"/>
      <c r="R14" s="26"/>
      <c r="S14" s="3"/>
      <c r="T14" s="3">
        <v>169100</v>
      </c>
      <c r="U14" s="3"/>
      <c r="V14" s="26"/>
      <c r="W14" s="3"/>
      <c r="X14" s="3">
        <f t="shared" si="2"/>
        <v>500756.86</v>
      </c>
      <c r="Y14" s="3"/>
      <c r="Z14" s="26">
        <f t="shared" si="3"/>
        <v>2.9613060910703726</v>
      </c>
    </row>
    <row r="15" spans="1:26" s="70" customFormat="1" ht="15" hidden="1" customHeight="1" outlineLevel="1" x14ac:dyDescent="0.3">
      <c r="A15" s="48"/>
      <c r="B15" s="9" t="str">
        <f>CONCATENATE("          ","4200"," - ","TAXABLE RETURNS")</f>
        <v xml:space="preserve">          4200 - TAXABLE RETURNS</v>
      </c>
      <c r="C15" s="9"/>
      <c r="D15" s="3">
        <f>-19314.84</f>
        <v>-19314.84</v>
      </c>
      <c r="E15" s="3"/>
      <c r="F15" s="26"/>
      <c r="G15" s="3"/>
      <c r="H15" s="3"/>
      <c r="I15" s="3"/>
      <c r="J15" s="26"/>
      <c r="K15" s="3"/>
      <c r="L15" s="3">
        <f t="shared" si="0"/>
        <v>-19314.84</v>
      </c>
      <c r="M15" s="3"/>
      <c r="N15" s="26">
        <f t="shared" si="1"/>
        <v>0</v>
      </c>
      <c r="O15" s="9"/>
      <c r="P15" s="3">
        <f>-175491.71</f>
        <v>-175491.71</v>
      </c>
      <c r="Q15" s="3"/>
      <c r="R15" s="26"/>
      <c r="S15" s="3"/>
      <c r="T15" s="3"/>
      <c r="U15" s="3"/>
      <c r="V15" s="26"/>
      <c r="W15" s="3"/>
      <c r="X15" s="3">
        <f t="shared" si="2"/>
        <v>-175491.71</v>
      </c>
      <c r="Y15" s="3"/>
      <c r="Z15" s="26">
        <f t="shared" si="3"/>
        <v>0</v>
      </c>
    </row>
    <row r="16" spans="1:26" s="70" customFormat="1" ht="15" hidden="1" customHeight="1" outlineLevel="1" x14ac:dyDescent="0.3">
      <c r="A16" s="48"/>
      <c r="B16" s="9" t="str">
        <f>CONCATENATE("          ","4300"," - ","NON-TAX RETURNS")</f>
        <v xml:space="preserve">          4300 - NON-TAX RETURNS</v>
      </c>
      <c r="C16" s="9"/>
      <c r="D16" s="3">
        <f>-364.5</f>
        <v>-364.5</v>
      </c>
      <c r="E16" s="3"/>
      <c r="F16" s="26"/>
      <c r="G16" s="3"/>
      <c r="H16" s="3"/>
      <c r="I16" s="3"/>
      <c r="J16" s="26"/>
      <c r="K16" s="3"/>
      <c r="L16" s="3">
        <f t="shared" si="0"/>
        <v>-364.5</v>
      </c>
      <c r="M16" s="3"/>
      <c r="N16" s="26">
        <f t="shared" si="1"/>
        <v>0</v>
      </c>
      <c r="O16" s="9"/>
      <c r="P16" s="3">
        <f>-3861.19</f>
        <v>-3861.19</v>
      </c>
      <c r="Q16" s="3"/>
      <c r="R16" s="26"/>
      <c r="S16" s="3"/>
      <c r="T16" s="3"/>
      <c r="U16" s="3"/>
      <c r="V16" s="26"/>
      <c r="W16" s="3"/>
      <c r="X16" s="3">
        <f t="shared" si="2"/>
        <v>-3861.19</v>
      </c>
      <c r="Y16" s="3"/>
      <c r="Z16" s="26">
        <f t="shared" si="3"/>
        <v>0</v>
      </c>
    </row>
    <row r="17" spans="1:26" s="70" customFormat="1" ht="15" hidden="1" customHeight="1" outlineLevel="1" x14ac:dyDescent="0.3">
      <c r="A17" s="48"/>
      <c r="B17" s="9" t="str">
        <f>CONCATENATE("          ","4500"," - ","SALES DISCOUNT")</f>
        <v xml:space="preserve">          4500 - SALES DISCOUNT</v>
      </c>
      <c r="C17" s="9"/>
      <c r="D17" s="3">
        <f>-6887.73</f>
        <v>-6887.73</v>
      </c>
      <c r="E17" s="3"/>
      <c r="F17" s="26"/>
      <c r="G17" s="3"/>
      <c r="H17" s="3"/>
      <c r="I17" s="3"/>
      <c r="J17" s="26"/>
      <c r="K17" s="3"/>
      <c r="L17" s="3">
        <f t="shared" si="0"/>
        <v>-6887.73</v>
      </c>
      <c r="M17" s="3"/>
      <c r="N17" s="26">
        <f t="shared" si="1"/>
        <v>0</v>
      </c>
      <c r="O17" s="9"/>
      <c r="P17" s="3">
        <f>-127050.96</f>
        <v>-127050.96</v>
      </c>
      <c r="Q17" s="3"/>
      <c r="R17" s="26"/>
      <c r="S17" s="3"/>
      <c r="T17" s="3"/>
      <c r="U17" s="3"/>
      <c r="V17" s="26"/>
      <c r="W17" s="3"/>
      <c r="X17" s="3">
        <f t="shared" si="2"/>
        <v>-127050.96</v>
      </c>
      <c r="Y17" s="3"/>
      <c r="Z17" s="26">
        <f t="shared" si="3"/>
        <v>0</v>
      </c>
    </row>
    <row r="18" spans="1:26" ht="15" customHeight="1" x14ac:dyDescent="0.3">
      <c r="A18" s="12"/>
      <c r="B18" s="13"/>
      <c r="C18" s="12"/>
      <c r="D18" s="4"/>
      <c r="E18" s="4"/>
      <c r="F18" s="10"/>
      <c r="G18" s="4"/>
      <c r="H18" s="4"/>
      <c r="I18" s="4"/>
      <c r="J18" s="10"/>
      <c r="K18" s="4"/>
      <c r="L18" s="4"/>
      <c r="M18" s="4"/>
      <c r="N18" s="10"/>
      <c r="P18" s="4"/>
      <c r="Q18" s="4"/>
      <c r="R18" s="10"/>
      <c r="S18" s="4"/>
      <c r="T18" s="4"/>
      <c r="U18" s="4"/>
      <c r="V18" s="10"/>
      <c r="W18" s="4"/>
      <c r="X18" s="4"/>
      <c r="Y18" s="4"/>
      <c r="Z18" s="10"/>
    </row>
    <row r="19" spans="1:26" s="63" customFormat="1" ht="15" customHeight="1" collapsed="1" x14ac:dyDescent="0.3">
      <c r="A19" s="13"/>
      <c r="B19" s="28" t="s">
        <v>288</v>
      </c>
      <c r="C19" s="13"/>
      <c r="D19" s="8">
        <f>SUM(OSRRefD16x_0)</f>
        <v>281657.35000000003</v>
      </c>
      <c r="E19" s="8"/>
      <c r="F19" s="14">
        <f t="shared" ref="F19:F40" si="4">IF(D$12=0,0,D19/D$12)</f>
        <v>0.99718289464390653</v>
      </c>
      <c r="G19" s="8"/>
      <c r="H19" s="8">
        <f>SUM(OSRRefH16x_0)</f>
        <v>134493</v>
      </c>
      <c r="I19" s="8"/>
      <c r="J19" s="14">
        <f t="shared" ref="J19:J40" si="5">IF(H$12=0,0,H19/H$12)</f>
        <v>0.52396535804864364</v>
      </c>
      <c r="K19" s="8"/>
      <c r="L19" s="8">
        <f t="shared" ref="L19:L40" si="6">+D19-H19</f>
        <v>147164.35000000003</v>
      </c>
      <c r="M19" s="8"/>
      <c r="N19" s="14">
        <f t="shared" ref="N19:N40" si="7">IF(H19=0,0,L19/H19)</f>
        <v>1.094215684087648</v>
      </c>
      <c r="O19" s="13"/>
      <c r="P19" s="8">
        <f>SUM(OSRRefP16x_0)</f>
        <v>2649995.69</v>
      </c>
      <c r="Q19" s="8"/>
      <c r="R19" s="14">
        <f t="shared" ref="R19:R40" si="8">IF(P$12=0,0,P19/P$12)</f>
        <v>0.49598133928752475</v>
      </c>
      <c r="S19" s="8"/>
      <c r="T19" s="8">
        <f>SUM(OSRRefT16x_0)</f>
        <v>1899386</v>
      </c>
      <c r="U19" s="8"/>
      <c r="V19" s="14">
        <f t="shared" ref="V19:V40" si="9">IF(T$12=0,0,T19/T$12)</f>
        <v>0.51377163745426635</v>
      </c>
      <c r="W19" s="8"/>
      <c r="X19" s="8">
        <f t="shared" ref="X19:X40" si="10">+P19-T19</f>
        <v>750609.69</v>
      </c>
      <c r="Y19" s="8"/>
      <c r="Z19" s="14">
        <f t="shared" ref="Z19:Z40" si="11">IF(T19=0,0,X19/T19)</f>
        <v>0.39518543887340435</v>
      </c>
    </row>
    <row r="20" spans="1:26" s="70" customFormat="1" ht="15" hidden="1" customHeight="1" outlineLevel="1" x14ac:dyDescent="0.3">
      <c r="A20" s="48"/>
      <c r="B20" s="9" t="str">
        <f>CONCATENATE("          ","5000"," - ","PURCHASES @ COST")</f>
        <v xml:space="preserve">          5000 - PURCHASES @ COST</v>
      </c>
      <c r="C20" s="9"/>
      <c r="D20" s="3">
        <v>371405.63</v>
      </c>
      <c r="E20" s="3"/>
      <c r="F20" s="26">
        <f t="shared" si="4"/>
        <v>1.3149287288630802</v>
      </c>
      <c r="G20" s="3"/>
      <c r="H20" s="3">
        <v>134493</v>
      </c>
      <c r="I20" s="3"/>
      <c r="J20" s="26">
        <f t="shared" si="5"/>
        <v>0.52396535804864364</v>
      </c>
      <c r="K20" s="3"/>
      <c r="L20" s="3">
        <f t="shared" si="6"/>
        <v>236912.63</v>
      </c>
      <c r="M20" s="3"/>
      <c r="N20" s="26">
        <f t="shared" si="7"/>
        <v>1.7615238711308396</v>
      </c>
      <c r="O20" s="9"/>
      <c r="P20" s="3">
        <v>2896655.4</v>
      </c>
      <c r="Q20" s="3"/>
      <c r="R20" s="26">
        <f t="shared" si="8"/>
        <v>0.54214692883007698</v>
      </c>
      <c r="S20" s="3"/>
      <c r="T20" s="3">
        <v>1899386</v>
      </c>
      <c r="U20" s="3"/>
      <c r="V20" s="26">
        <f t="shared" si="9"/>
        <v>0.51377163745426635</v>
      </c>
      <c r="W20" s="3"/>
      <c r="X20" s="3">
        <f t="shared" si="10"/>
        <v>997269.39999999991</v>
      </c>
      <c r="Y20" s="3"/>
      <c r="Z20" s="26">
        <f t="shared" si="11"/>
        <v>0.52504830508385336</v>
      </c>
    </row>
    <row r="21" spans="1:26" s="70" customFormat="1" ht="15" hidden="1" customHeight="1" outlineLevel="1" x14ac:dyDescent="0.3">
      <c r="A21" s="48"/>
      <c r="B21" s="9" t="str">
        <f>CONCATENATE("          ","5026"," - ","PURCHASES @ COST-WRITING INSTR")</f>
        <v xml:space="preserve">          5026 - PURCHASES @ COST-WRITING INSTR</v>
      </c>
      <c r="C21" s="9"/>
      <c r="D21" s="3"/>
      <c r="E21" s="3"/>
      <c r="F21" s="26">
        <f t="shared" si="4"/>
        <v>0</v>
      </c>
      <c r="G21" s="3"/>
      <c r="H21" s="3"/>
      <c r="I21" s="3"/>
      <c r="J21" s="26">
        <f t="shared" si="5"/>
        <v>0</v>
      </c>
      <c r="K21" s="3"/>
      <c r="L21" s="3">
        <f t="shared" si="6"/>
        <v>0</v>
      </c>
      <c r="M21" s="3"/>
      <c r="N21" s="26">
        <f t="shared" si="7"/>
        <v>0</v>
      </c>
      <c r="O21" s="9"/>
      <c r="P21" s="3">
        <v>0</v>
      </c>
      <c r="Q21" s="3"/>
      <c r="R21" s="26">
        <f t="shared" si="8"/>
        <v>0</v>
      </c>
      <c r="S21" s="3"/>
      <c r="T21" s="3"/>
      <c r="U21" s="3"/>
      <c r="V21" s="26">
        <f t="shared" si="9"/>
        <v>0</v>
      </c>
      <c r="W21" s="3"/>
      <c r="X21" s="3">
        <f t="shared" si="10"/>
        <v>0</v>
      </c>
      <c r="Y21" s="3"/>
      <c r="Z21" s="26">
        <f t="shared" si="11"/>
        <v>0</v>
      </c>
    </row>
    <row r="22" spans="1:26" s="70" customFormat="1" ht="15" hidden="1" customHeight="1" outlineLevel="1" x14ac:dyDescent="0.3">
      <c r="A22" s="48"/>
      <c r="B22" s="9" t="str">
        <f>CONCATENATE("          ","5027"," - ","PURCHASES @ COST-SCHOOL SUPPLI")</f>
        <v xml:space="preserve">          5027 - PURCHASES @ COST-SCHOOL SUPPLI</v>
      </c>
      <c r="C22" s="9"/>
      <c r="D22" s="3"/>
      <c r="E22" s="3"/>
      <c r="F22" s="26">
        <f t="shared" si="4"/>
        <v>0</v>
      </c>
      <c r="G22" s="3"/>
      <c r="H22" s="3"/>
      <c r="I22" s="3"/>
      <c r="J22" s="26">
        <f t="shared" si="5"/>
        <v>0</v>
      </c>
      <c r="K22" s="3"/>
      <c r="L22" s="3">
        <f t="shared" si="6"/>
        <v>0</v>
      </c>
      <c r="M22" s="3"/>
      <c r="N22" s="26">
        <f t="shared" si="7"/>
        <v>0</v>
      </c>
      <c r="O22" s="9"/>
      <c r="P22" s="3">
        <v>0</v>
      </c>
      <c r="Q22" s="3"/>
      <c r="R22" s="26">
        <f t="shared" si="8"/>
        <v>0</v>
      </c>
      <c r="S22" s="3"/>
      <c r="T22" s="3"/>
      <c r="U22" s="3"/>
      <c r="V22" s="26">
        <f t="shared" si="9"/>
        <v>0</v>
      </c>
      <c r="W22" s="3"/>
      <c r="X22" s="3">
        <f t="shared" si="10"/>
        <v>0</v>
      </c>
      <c r="Y22" s="3"/>
      <c r="Z22" s="26">
        <f t="shared" si="11"/>
        <v>0</v>
      </c>
    </row>
    <row r="23" spans="1:26" s="70" customFormat="1" ht="15" hidden="1" customHeight="1" outlineLevel="1" x14ac:dyDescent="0.3">
      <c r="A23" s="48"/>
      <c r="B23" s="9" t="str">
        <f>CONCATENATE("          ","5028"," - ","PURCHASES @ COST-ART/TECH")</f>
        <v xml:space="preserve">          5028 - PURCHASES @ COST-ART/TECH</v>
      </c>
      <c r="C23" s="9"/>
      <c r="D23" s="3"/>
      <c r="E23" s="3"/>
      <c r="F23" s="26">
        <f t="shared" si="4"/>
        <v>0</v>
      </c>
      <c r="G23" s="3"/>
      <c r="H23" s="3"/>
      <c r="I23" s="3"/>
      <c r="J23" s="26">
        <f t="shared" si="5"/>
        <v>0</v>
      </c>
      <c r="K23" s="3"/>
      <c r="L23" s="3">
        <f t="shared" si="6"/>
        <v>0</v>
      </c>
      <c r="M23" s="3"/>
      <c r="N23" s="26">
        <f t="shared" si="7"/>
        <v>0</v>
      </c>
      <c r="O23" s="9"/>
      <c r="P23" s="3">
        <v>0</v>
      </c>
      <c r="Q23" s="3"/>
      <c r="R23" s="26">
        <f t="shared" si="8"/>
        <v>0</v>
      </c>
      <c r="S23" s="3"/>
      <c r="T23" s="3"/>
      <c r="U23" s="3"/>
      <c r="V23" s="26">
        <f t="shared" si="9"/>
        <v>0</v>
      </c>
      <c r="W23" s="3"/>
      <c r="X23" s="3">
        <f t="shared" si="10"/>
        <v>0</v>
      </c>
      <c r="Y23" s="3"/>
      <c r="Z23" s="26">
        <f t="shared" si="11"/>
        <v>0</v>
      </c>
    </row>
    <row r="24" spans="1:26" s="70" customFormat="1" ht="15" hidden="1" customHeight="1" outlineLevel="1" x14ac:dyDescent="0.3">
      <c r="A24" s="48"/>
      <c r="B24" s="9" t="str">
        <f>CONCATENATE("          ","5031"," - ","PURCHASES @ COST-FOOD")</f>
        <v xml:space="preserve">          5031 - PURCHASES @ COST-FOOD</v>
      </c>
      <c r="C24" s="9"/>
      <c r="D24" s="3"/>
      <c r="E24" s="3"/>
      <c r="F24" s="26">
        <f t="shared" si="4"/>
        <v>0</v>
      </c>
      <c r="G24" s="3"/>
      <c r="H24" s="3"/>
      <c r="I24" s="3"/>
      <c r="J24" s="26">
        <f t="shared" si="5"/>
        <v>0</v>
      </c>
      <c r="K24" s="3"/>
      <c r="L24" s="3">
        <f t="shared" si="6"/>
        <v>0</v>
      </c>
      <c r="M24" s="3"/>
      <c r="N24" s="26">
        <f t="shared" si="7"/>
        <v>0</v>
      </c>
      <c r="O24" s="9"/>
      <c r="P24" s="3">
        <v>0</v>
      </c>
      <c r="Q24" s="3"/>
      <c r="R24" s="26">
        <f t="shared" si="8"/>
        <v>0</v>
      </c>
      <c r="S24" s="3"/>
      <c r="T24" s="3"/>
      <c r="U24" s="3"/>
      <c r="V24" s="26">
        <f t="shared" si="9"/>
        <v>0</v>
      </c>
      <c r="W24" s="3"/>
      <c r="X24" s="3">
        <f t="shared" si="10"/>
        <v>0</v>
      </c>
      <c r="Y24" s="3"/>
      <c r="Z24" s="26">
        <f t="shared" si="11"/>
        <v>0</v>
      </c>
    </row>
    <row r="25" spans="1:26" s="70" customFormat="1" ht="15" hidden="1" customHeight="1" outlineLevel="1" x14ac:dyDescent="0.3">
      <c r="A25" s="48"/>
      <c r="B25" s="9" t="str">
        <f>CONCATENATE("          ","5040"," - ","PURCHASES @ COST-LOGO CLOTHING")</f>
        <v xml:space="preserve">          5040 - PURCHASES @ COST-LOGO CLOTHING</v>
      </c>
      <c r="C25" s="9"/>
      <c r="D25" s="3"/>
      <c r="E25" s="3"/>
      <c r="F25" s="26">
        <f t="shared" si="4"/>
        <v>0</v>
      </c>
      <c r="G25" s="3"/>
      <c r="H25" s="3"/>
      <c r="I25" s="3"/>
      <c r="J25" s="26">
        <f t="shared" si="5"/>
        <v>0</v>
      </c>
      <c r="K25" s="3"/>
      <c r="L25" s="3">
        <f t="shared" si="6"/>
        <v>0</v>
      </c>
      <c r="M25" s="3"/>
      <c r="N25" s="26">
        <f t="shared" si="7"/>
        <v>0</v>
      </c>
      <c r="O25" s="9"/>
      <c r="P25" s="3">
        <v>0</v>
      </c>
      <c r="Q25" s="3"/>
      <c r="R25" s="26">
        <f t="shared" si="8"/>
        <v>0</v>
      </c>
      <c r="S25" s="3"/>
      <c r="T25" s="3"/>
      <c r="U25" s="3"/>
      <c r="V25" s="26">
        <f t="shared" si="9"/>
        <v>0</v>
      </c>
      <c r="W25" s="3"/>
      <c r="X25" s="3">
        <f t="shared" si="10"/>
        <v>0</v>
      </c>
      <c r="Y25" s="3"/>
      <c r="Z25" s="26">
        <f t="shared" si="11"/>
        <v>0</v>
      </c>
    </row>
    <row r="26" spans="1:26" s="70" customFormat="1" ht="15" hidden="1" customHeight="1" outlineLevel="1" x14ac:dyDescent="0.3">
      <c r="A26" s="48"/>
      <c r="B26" s="9" t="str">
        <f>CONCATENATE("          ","5041"," - ","PURCHASES @ COST-LOGO GIFTS")</f>
        <v xml:space="preserve">          5041 - PURCHASES @ COST-LOGO GIFTS</v>
      </c>
      <c r="C26" s="9"/>
      <c r="D26" s="3"/>
      <c r="E26" s="3"/>
      <c r="F26" s="26">
        <f t="shared" si="4"/>
        <v>0</v>
      </c>
      <c r="G26" s="3"/>
      <c r="H26" s="3"/>
      <c r="I26" s="3"/>
      <c r="J26" s="26">
        <f t="shared" si="5"/>
        <v>0</v>
      </c>
      <c r="K26" s="3"/>
      <c r="L26" s="3">
        <f t="shared" si="6"/>
        <v>0</v>
      </c>
      <c r="M26" s="3"/>
      <c r="N26" s="26">
        <f t="shared" si="7"/>
        <v>0</v>
      </c>
      <c r="O26" s="9"/>
      <c r="P26" s="3">
        <v>0</v>
      </c>
      <c r="Q26" s="3"/>
      <c r="R26" s="26">
        <f t="shared" si="8"/>
        <v>0</v>
      </c>
      <c r="S26" s="3"/>
      <c r="T26" s="3"/>
      <c r="U26" s="3"/>
      <c r="V26" s="26">
        <f t="shared" si="9"/>
        <v>0</v>
      </c>
      <c r="W26" s="3"/>
      <c r="X26" s="3">
        <f t="shared" si="10"/>
        <v>0</v>
      </c>
      <c r="Y26" s="3"/>
      <c r="Z26" s="26">
        <f t="shared" si="11"/>
        <v>0</v>
      </c>
    </row>
    <row r="27" spans="1:26" s="70" customFormat="1" ht="15" hidden="1" customHeight="1" outlineLevel="1" x14ac:dyDescent="0.3">
      <c r="A27" s="48"/>
      <c r="B27" s="9" t="str">
        <f>CONCATENATE("          ","5042"," - ","PURCHASES @ COST-EVERYDAY GIFT")</f>
        <v xml:space="preserve">          5042 - PURCHASES @ COST-EVERYDAY GIFT</v>
      </c>
      <c r="C27" s="9"/>
      <c r="D27" s="3"/>
      <c r="E27" s="3"/>
      <c r="F27" s="26">
        <f t="shared" si="4"/>
        <v>0</v>
      </c>
      <c r="G27" s="3"/>
      <c r="H27" s="3"/>
      <c r="I27" s="3"/>
      <c r="J27" s="26">
        <f t="shared" si="5"/>
        <v>0</v>
      </c>
      <c r="K27" s="3"/>
      <c r="L27" s="3">
        <f t="shared" si="6"/>
        <v>0</v>
      </c>
      <c r="M27" s="3"/>
      <c r="N27" s="26">
        <f t="shared" si="7"/>
        <v>0</v>
      </c>
      <c r="O27" s="9"/>
      <c r="P27" s="3">
        <v>0</v>
      </c>
      <c r="Q27" s="3"/>
      <c r="R27" s="26">
        <f t="shared" si="8"/>
        <v>0</v>
      </c>
      <c r="S27" s="3"/>
      <c r="T27" s="3"/>
      <c r="U27" s="3"/>
      <c r="V27" s="26">
        <f t="shared" si="9"/>
        <v>0</v>
      </c>
      <c r="W27" s="3"/>
      <c r="X27" s="3">
        <f t="shared" si="10"/>
        <v>0</v>
      </c>
      <c r="Y27" s="3"/>
      <c r="Z27" s="26">
        <f t="shared" si="11"/>
        <v>0</v>
      </c>
    </row>
    <row r="28" spans="1:26" s="70" customFormat="1" ht="15" hidden="1" customHeight="1" outlineLevel="1" x14ac:dyDescent="0.3">
      <c r="A28" s="48"/>
      <c r="B28" s="9" t="str">
        <f>CONCATENATE("          ","5043"," - ","PURCHASES @ COST-CARDS")</f>
        <v xml:space="preserve">          5043 - PURCHASES @ COST-CARDS</v>
      </c>
      <c r="C28" s="9"/>
      <c r="D28" s="3"/>
      <c r="E28" s="3"/>
      <c r="F28" s="26">
        <f t="shared" si="4"/>
        <v>0</v>
      </c>
      <c r="G28" s="3"/>
      <c r="H28" s="3"/>
      <c r="I28" s="3"/>
      <c r="J28" s="26">
        <f t="shared" si="5"/>
        <v>0</v>
      </c>
      <c r="K28" s="3"/>
      <c r="L28" s="3">
        <f t="shared" si="6"/>
        <v>0</v>
      </c>
      <c r="M28" s="3"/>
      <c r="N28" s="26">
        <f t="shared" si="7"/>
        <v>0</v>
      </c>
      <c r="O28" s="9"/>
      <c r="P28" s="3">
        <v>0</v>
      </c>
      <c r="Q28" s="3"/>
      <c r="R28" s="26">
        <f t="shared" si="8"/>
        <v>0</v>
      </c>
      <c r="S28" s="3"/>
      <c r="T28" s="3"/>
      <c r="U28" s="3"/>
      <c r="V28" s="26">
        <f t="shared" si="9"/>
        <v>0</v>
      </c>
      <c r="W28" s="3"/>
      <c r="X28" s="3">
        <f t="shared" si="10"/>
        <v>0</v>
      </c>
      <c r="Y28" s="3"/>
      <c r="Z28" s="26">
        <f t="shared" si="11"/>
        <v>0</v>
      </c>
    </row>
    <row r="29" spans="1:26" s="70" customFormat="1" ht="15" hidden="1" customHeight="1" outlineLevel="1" x14ac:dyDescent="0.3">
      <c r="A29" s="48"/>
      <c r="B29" s="9" t="str">
        <f>CONCATENATE("          ","5044"," - ","PURCHASES @ COST-ACCESSORIES")</f>
        <v xml:space="preserve">          5044 - PURCHASES @ COST-ACCESSORIES</v>
      </c>
      <c r="C29" s="9"/>
      <c r="D29" s="3"/>
      <c r="E29" s="3"/>
      <c r="F29" s="26">
        <f t="shared" si="4"/>
        <v>0</v>
      </c>
      <c r="G29" s="3"/>
      <c r="H29" s="3"/>
      <c r="I29" s="3"/>
      <c r="J29" s="26">
        <f t="shared" si="5"/>
        <v>0</v>
      </c>
      <c r="K29" s="3"/>
      <c r="L29" s="3">
        <f t="shared" si="6"/>
        <v>0</v>
      </c>
      <c r="M29" s="3"/>
      <c r="N29" s="26">
        <f t="shared" si="7"/>
        <v>0</v>
      </c>
      <c r="O29" s="9"/>
      <c r="P29" s="3">
        <v>0</v>
      </c>
      <c r="Q29" s="3"/>
      <c r="R29" s="26">
        <f t="shared" si="8"/>
        <v>0</v>
      </c>
      <c r="S29" s="3"/>
      <c r="T29" s="3"/>
      <c r="U29" s="3"/>
      <c r="V29" s="26">
        <f t="shared" si="9"/>
        <v>0</v>
      </c>
      <c r="W29" s="3"/>
      <c r="X29" s="3">
        <f t="shared" si="10"/>
        <v>0</v>
      </c>
      <c r="Y29" s="3"/>
      <c r="Z29" s="26">
        <f t="shared" si="11"/>
        <v>0</v>
      </c>
    </row>
    <row r="30" spans="1:26" s="70" customFormat="1" ht="15" hidden="1" customHeight="1" outlineLevel="1" x14ac:dyDescent="0.3">
      <c r="A30" s="48"/>
      <c r="B30" s="9" t="str">
        <f>CONCATENATE("          ","5045"," - ","PURCHASES @ COST-SPECIAL ORDER")</f>
        <v xml:space="preserve">          5045 - PURCHASES @ COST-SPECIAL ORDER</v>
      </c>
      <c r="C30" s="9"/>
      <c r="D30" s="3"/>
      <c r="E30" s="3"/>
      <c r="F30" s="26">
        <f t="shared" si="4"/>
        <v>0</v>
      </c>
      <c r="G30" s="3"/>
      <c r="H30" s="3"/>
      <c r="I30" s="3"/>
      <c r="J30" s="26">
        <f t="shared" si="5"/>
        <v>0</v>
      </c>
      <c r="K30" s="3"/>
      <c r="L30" s="3">
        <f t="shared" si="6"/>
        <v>0</v>
      </c>
      <c r="M30" s="3"/>
      <c r="N30" s="26">
        <f t="shared" si="7"/>
        <v>0</v>
      </c>
      <c r="O30" s="9"/>
      <c r="P30" s="3">
        <v>0</v>
      </c>
      <c r="Q30" s="3"/>
      <c r="R30" s="26">
        <f t="shared" si="8"/>
        <v>0</v>
      </c>
      <c r="S30" s="3"/>
      <c r="T30" s="3"/>
      <c r="U30" s="3"/>
      <c r="V30" s="26">
        <f t="shared" si="9"/>
        <v>0</v>
      </c>
      <c r="W30" s="3"/>
      <c r="X30" s="3">
        <f t="shared" si="10"/>
        <v>0</v>
      </c>
      <c r="Y30" s="3"/>
      <c r="Z30" s="26">
        <f t="shared" si="11"/>
        <v>0</v>
      </c>
    </row>
    <row r="31" spans="1:26" s="70" customFormat="1" ht="15" hidden="1" customHeight="1" outlineLevel="1" x14ac:dyDescent="0.3">
      <c r="A31" s="48"/>
      <c r="B31" s="9" t="str">
        <f>CONCATENATE("          ","5200"," - ","PURCHASES OFFSET")</f>
        <v xml:space="preserve">          5200 - PURCHASES OFFSET</v>
      </c>
      <c r="C31" s="9"/>
      <c r="D31" s="3">
        <v>-233803.8</v>
      </c>
      <c r="E31" s="3"/>
      <c r="F31" s="26">
        <f t="shared" si="4"/>
        <v>-0.82776164038589772</v>
      </c>
      <c r="G31" s="3"/>
      <c r="H31" s="3"/>
      <c r="I31" s="3"/>
      <c r="J31" s="26">
        <f t="shared" si="5"/>
        <v>0</v>
      </c>
      <c r="K31" s="3"/>
      <c r="L31" s="3">
        <f t="shared" si="6"/>
        <v>-233803.8</v>
      </c>
      <c r="M31" s="3"/>
      <c r="N31" s="26">
        <f t="shared" si="7"/>
        <v>0</v>
      </c>
      <c r="O31" s="9"/>
      <c r="P31" s="3">
        <v>-2876512.94</v>
      </c>
      <c r="Q31" s="3"/>
      <c r="R31" s="26">
        <f t="shared" si="8"/>
        <v>-0.5383770040996162</v>
      </c>
      <c r="S31" s="3"/>
      <c r="T31" s="3"/>
      <c r="U31" s="3"/>
      <c r="V31" s="26">
        <f t="shared" si="9"/>
        <v>0</v>
      </c>
      <c r="W31" s="3"/>
      <c r="X31" s="3">
        <f t="shared" si="10"/>
        <v>-2876512.94</v>
      </c>
      <c r="Y31" s="3"/>
      <c r="Z31" s="26">
        <f t="shared" si="11"/>
        <v>0</v>
      </c>
    </row>
    <row r="32" spans="1:26" s="70" customFormat="1" ht="15" hidden="1" customHeight="1" outlineLevel="1" x14ac:dyDescent="0.3">
      <c r="A32" s="48"/>
      <c r="B32" s="9" t="str">
        <f>CONCATENATE("          ","5300"," - ","COG$ OFFSET")</f>
        <v xml:space="preserve">          5300 - COG$ OFFSET</v>
      </c>
      <c r="C32" s="9"/>
      <c r="D32" s="3">
        <v>135859.93</v>
      </c>
      <c r="E32" s="3"/>
      <c r="F32" s="26">
        <f t="shared" si="4"/>
        <v>0.48100004584832773</v>
      </c>
      <c r="G32" s="3"/>
      <c r="H32" s="3"/>
      <c r="I32" s="3"/>
      <c r="J32" s="26">
        <f t="shared" si="5"/>
        <v>0</v>
      </c>
      <c r="K32" s="3"/>
      <c r="L32" s="3">
        <f t="shared" si="6"/>
        <v>135859.93</v>
      </c>
      <c r="M32" s="3"/>
      <c r="N32" s="26">
        <f t="shared" si="7"/>
        <v>0</v>
      </c>
      <c r="O32" s="9"/>
      <c r="P32" s="3">
        <v>2507198.27</v>
      </c>
      <c r="Q32" s="3"/>
      <c r="R32" s="26">
        <f t="shared" si="8"/>
        <v>0.46925493520857958</v>
      </c>
      <c r="S32" s="3"/>
      <c r="T32" s="3"/>
      <c r="U32" s="3"/>
      <c r="V32" s="26">
        <f t="shared" si="9"/>
        <v>0</v>
      </c>
      <c r="W32" s="3"/>
      <c r="X32" s="3">
        <f t="shared" si="10"/>
        <v>2507198.27</v>
      </c>
      <c r="Y32" s="3"/>
      <c r="Z32" s="26">
        <f t="shared" si="11"/>
        <v>0</v>
      </c>
    </row>
    <row r="33" spans="1:26" s="70" customFormat="1" ht="15" hidden="1" customHeight="1" outlineLevel="1" x14ac:dyDescent="0.3">
      <c r="A33" s="48"/>
      <c r="B33" s="9" t="str">
        <f>CONCATENATE("          ","5500"," - ","FREIGHT-IN")</f>
        <v xml:space="preserve">          5500 - FREIGHT-IN</v>
      </c>
      <c r="C33" s="9"/>
      <c r="D33" s="3">
        <v>8195.59</v>
      </c>
      <c r="E33" s="3"/>
      <c r="F33" s="26">
        <f t="shared" si="4"/>
        <v>2.901576031839628E-2</v>
      </c>
      <c r="G33" s="3"/>
      <c r="H33" s="3"/>
      <c r="I33" s="3"/>
      <c r="J33" s="26">
        <f t="shared" si="5"/>
        <v>0</v>
      </c>
      <c r="K33" s="3"/>
      <c r="L33" s="3">
        <f t="shared" si="6"/>
        <v>8195.59</v>
      </c>
      <c r="M33" s="3"/>
      <c r="N33" s="26">
        <f t="shared" si="7"/>
        <v>0</v>
      </c>
      <c r="O33" s="9"/>
      <c r="P33" s="3">
        <v>122654.96</v>
      </c>
      <c r="Q33" s="3"/>
      <c r="R33" s="26">
        <f t="shared" si="8"/>
        <v>2.2956479348484445E-2</v>
      </c>
      <c r="S33" s="3"/>
      <c r="T33" s="3"/>
      <c r="U33" s="3"/>
      <c r="V33" s="26">
        <f t="shared" si="9"/>
        <v>0</v>
      </c>
      <c r="W33" s="3"/>
      <c r="X33" s="3">
        <f t="shared" si="10"/>
        <v>122654.96</v>
      </c>
      <c r="Y33" s="3"/>
      <c r="Z33" s="26">
        <f t="shared" si="11"/>
        <v>0</v>
      </c>
    </row>
    <row r="34" spans="1:26" s="70" customFormat="1" ht="15" hidden="1" customHeight="1" outlineLevel="1" x14ac:dyDescent="0.3">
      <c r="A34" s="48"/>
      <c r="B34" s="9" t="str">
        <f>CONCATENATE("          ","5527"," - ","FREIGHT-IN-SCHOOL SUPPLIES")</f>
        <v xml:space="preserve">          5527 - FREIGHT-IN-SCHOOL SUPPLIES</v>
      </c>
      <c r="C34" s="9"/>
      <c r="D34" s="3"/>
      <c r="E34" s="3"/>
      <c r="F34" s="26">
        <f t="shared" si="4"/>
        <v>0</v>
      </c>
      <c r="G34" s="3"/>
      <c r="H34" s="3"/>
      <c r="I34" s="3"/>
      <c r="J34" s="26">
        <f t="shared" si="5"/>
        <v>0</v>
      </c>
      <c r="K34" s="3"/>
      <c r="L34" s="3">
        <f t="shared" si="6"/>
        <v>0</v>
      </c>
      <c r="M34" s="3"/>
      <c r="N34" s="26">
        <f t="shared" si="7"/>
        <v>0</v>
      </c>
      <c r="O34" s="9"/>
      <c r="P34" s="3">
        <v>0</v>
      </c>
      <c r="Q34" s="3"/>
      <c r="R34" s="26">
        <f t="shared" si="8"/>
        <v>0</v>
      </c>
      <c r="S34" s="3"/>
      <c r="T34" s="3"/>
      <c r="U34" s="3"/>
      <c r="V34" s="26">
        <f t="shared" si="9"/>
        <v>0</v>
      </c>
      <c r="W34" s="3"/>
      <c r="X34" s="3">
        <f t="shared" si="10"/>
        <v>0</v>
      </c>
      <c r="Y34" s="3"/>
      <c r="Z34" s="26">
        <f t="shared" si="11"/>
        <v>0</v>
      </c>
    </row>
    <row r="35" spans="1:26" s="70" customFormat="1" ht="15" hidden="1" customHeight="1" outlineLevel="1" x14ac:dyDescent="0.3">
      <c r="A35" s="48"/>
      <c r="B35" s="9" t="str">
        <f>CONCATENATE("          ","5528"," - ","FREIGHT-IN-ART/TECH")</f>
        <v xml:space="preserve">          5528 - FREIGHT-IN-ART/TECH</v>
      </c>
      <c r="C35" s="9"/>
      <c r="D35" s="3"/>
      <c r="E35" s="3"/>
      <c r="F35" s="26">
        <f t="shared" si="4"/>
        <v>0</v>
      </c>
      <c r="G35" s="3"/>
      <c r="H35" s="3"/>
      <c r="I35" s="3"/>
      <c r="J35" s="26">
        <f t="shared" si="5"/>
        <v>0</v>
      </c>
      <c r="K35" s="3"/>
      <c r="L35" s="3">
        <f t="shared" si="6"/>
        <v>0</v>
      </c>
      <c r="M35" s="3"/>
      <c r="N35" s="26">
        <f t="shared" si="7"/>
        <v>0</v>
      </c>
      <c r="O35" s="9"/>
      <c r="P35" s="3">
        <v>0</v>
      </c>
      <c r="Q35" s="3"/>
      <c r="R35" s="26">
        <f t="shared" si="8"/>
        <v>0</v>
      </c>
      <c r="S35" s="3"/>
      <c r="T35" s="3"/>
      <c r="U35" s="3"/>
      <c r="V35" s="26">
        <f t="shared" si="9"/>
        <v>0</v>
      </c>
      <c r="W35" s="3"/>
      <c r="X35" s="3">
        <f t="shared" si="10"/>
        <v>0</v>
      </c>
      <c r="Y35" s="3"/>
      <c r="Z35" s="26">
        <f t="shared" si="11"/>
        <v>0</v>
      </c>
    </row>
    <row r="36" spans="1:26" s="70" customFormat="1" ht="15" hidden="1" customHeight="1" outlineLevel="1" x14ac:dyDescent="0.3">
      <c r="A36" s="48"/>
      <c r="B36" s="9" t="str">
        <f>CONCATENATE("          ","5540"," - ","FREIGHT-IN-LOGO CLOTHING")</f>
        <v xml:space="preserve">          5540 - FREIGHT-IN-LOGO CLOTHING</v>
      </c>
      <c r="C36" s="9"/>
      <c r="D36" s="3"/>
      <c r="E36" s="3"/>
      <c r="F36" s="26">
        <f t="shared" si="4"/>
        <v>0</v>
      </c>
      <c r="G36" s="3"/>
      <c r="H36" s="3"/>
      <c r="I36" s="3"/>
      <c r="J36" s="26">
        <f t="shared" si="5"/>
        <v>0</v>
      </c>
      <c r="K36" s="3"/>
      <c r="L36" s="3">
        <f t="shared" si="6"/>
        <v>0</v>
      </c>
      <c r="M36" s="3"/>
      <c r="N36" s="26">
        <f t="shared" si="7"/>
        <v>0</v>
      </c>
      <c r="O36" s="9"/>
      <c r="P36" s="3">
        <v>0</v>
      </c>
      <c r="Q36" s="3"/>
      <c r="R36" s="26">
        <f t="shared" si="8"/>
        <v>0</v>
      </c>
      <c r="S36" s="3"/>
      <c r="T36" s="3"/>
      <c r="U36" s="3"/>
      <c r="V36" s="26">
        <f t="shared" si="9"/>
        <v>0</v>
      </c>
      <c r="W36" s="3"/>
      <c r="X36" s="3">
        <f t="shared" si="10"/>
        <v>0</v>
      </c>
      <c r="Y36" s="3"/>
      <c r="Z36" s="26">
        <f t="shared" si="11"/>
        <v>0</v>
      </c>
    </row>
    <row r="37" spans="1:26" s="70" customFormat="1" ht="15" hidden="1" customHeight="1" outlineLevel="1" x14ac:dyDescent="0.3">
      <c r="A37" s="48"/>
      <c r="B37" s="9" t="str">
        <f>CONCATENATE("          ","5541"," - ","FREIGHT-IN-LOGO GIFTS")</f>
        <v xml:space="preserve">          5541 - FREIGHT-IN-LOGO GIFTS</v>
      </c>
      <c r="C37" s="9"/>
      <c r="D37" s="3"/>
      <c r="E37" s="3"/>
      <c r="F37" s="26">
        <f t="shared" si="4"/>
        <v>0</v>
      </c>
      <c r="G37" s="3"/>
      <c r="H37" s="3"/>
      <c r="I37" s="3"/>
      <c r="J37" s="26">
        <f t="shared" si="5"/>
        <v>0</v>
      </c>
      <c r="K37" s="3"/>
      <c r="L37" s="3">
        <f t="shared" si="6"/>
        <v>0</v>
      </c>
      <c r="M37" s="3"/>
      <c r="N37" s="26">
        <f t="shared" si="7"/>
        <v>0</v>
      </c>
      <c r="O37" s="9"/>
      <c r="P37" s="3">
        <v>0</v>
      </c>
      <c r="Q37" s="3"/>
      <c r="R37" s="26">
        <f t="shared" si="8"/>
        <v>0</v>
      </c>
      <c r="S37" s="3"/>
      <c r="T37" s="3"/>
      <c r="U37" s="3"/>
      <c r="V37" s="26">
        <f t="shared" si="9"/>
        <v>0</v>
      </c>
      <c r="W37" s="3"/>
      <c r="X37" s="3">
        <f t="shared" si="10"/>
        <v>0</v>
      </c>
      <c r="Y37" s="3"/>
      <c r="Z37" s="26">
        <f t="shared" si="11"/>
        <v>0</v>
      </c>
    </row>
    <row r="38" spans="1:26" s="70" customFormat="1" ht="15" hidden="1" customHeight="1" outlineLevel="1" x14ac:dyDescent="0.3">
      <c r="A38" s="48"/>
      <c r="B38" s="9" t="str">
        <f>CONCATENATE("          ","5542"," - ","FREIGHT-IN-EVERYDAY GIFTS")</f>
        <v xml:space="preserve">          5542 - FREIGHT-IN-EVERYDAY GIFTS</v>
      </c>
      <c r="C38" s="9"/>
      <c r="D38" s="3"/>
      <c r="E38" s="3"/>
      <c r="F38" s="26">
        <f t="shared" si="4"/>
        <v>0</v>
      </c>
      <c r="G38" s="3"/>
      <c r="H38" s="3"/>
      <c r="I38" s="3"/>
      <c r="J38" s="26">
        <f t="shared" si="5"/>
        <v>0</v>
      </c>
      <c r="K38" s="3"/>
      <c r="L38" s="3">
        <f t="shared" si="6"/>
        <v>0</v>
      </c>
      <c r="M38" s="3"/>
      <c r="N38" s="26">
        <f t="shared" si="7"/>
        <v>0</v>
      </c>
      <c r="O38" s="9"/>
      <c r="P38" s="3">
        <v>0</v>
      </c>
      <c r="Q38" s="3"/>
      <c r="R38" s="26">
        <f t="shared" si="8"/>
        <v>0</v>
      </c>
      <c r="S38" s="3"/>
      <c r="T38" s="3"/>
      <c r="U38" s="3"/>
      <c r="V38" s="26">
        <f t="shared" si="9"/>
        <v>0</v>
      </c>
      <c r="W38" s="3"/>
      <c r="X38" s="3">
        <f t="shared" si="10"/>
        <v>0</v>
      </c>
      <c r="Y38" s="3"/>
      <c r="Z38" s="26">
        <f t="shared" si="11"/>
        <v>0</v>
      </c>
    </row>
    <row r="39" spans="1:26" s="70" customFormat="1" ht="15" hidden="1" customHeight="1" outlineLevel="1" x14ac:dyDescent="0.3">
      <c r="A39" s="48"/>
      <c r="B39" s="9" t="str">
        <f>CONCATENATE("          ","5544"," - ","FREIGHT-IN-ACCESSORIES")</f>
        <v xml:space="preserve">          5544 - FREIGHT-IN-ACCESSORIES</v>
      </c>
      <c r="C39" s="9"/>
      <c r="D39" s="3"/>
      <c r="E39" s="3"/>
      <c r="F39" s="26">
        <f t="shared" si="4"/>
        <v>0</v>
      </c>
      <c r="G39" s="3"/>
      <c r="H39" s="3"/>
      <c r="I39" s="3"/>
      <c r="J39" s="26">
        <f t="shared" si="5"/>
        <v>0</v>
      </c>
      <c r="K39" s="3"/>
      <c r="L39" s="3">
        <f t="shared" si="6"/>
        <v>0</v>
      </c>
      <c r="M39" s="3"/>
      <c r="N39" s="26">
        <f t="shared" si="7"/>
        <v>0</v>
      </c>
      <c r="O39" s="9"/>
      <c r="P39" s="3">
        <v>0</v>
      </c>
      <c r="Q39" s="3"/>
      <c r="R39" s="26">
        <f t="shared" si="8"/>
        <v>0</v>
      </c>
      <c r="S39" s="3"/>
      <c r="T39" s="3"/>
      <c r="U39" s="3"/>
      <c r="V39" s="26">
        <f t="shared" si="9"/>
        <v>0</v>
      </c>
      <c r="W39" s="3"/>
      <c r="X39" s="3">
        <f t="shared" si="10"/>
        <v>0</v>
      </c>
      <c r="Y39" s="3"/>
      <c r="Z39" s="26">
        <f t="shared" si="11"/>
        <v>0</v>
      </c>
    </row>
    <row r="40" spans="1:26" s="70" customFormat="1" ht="15" hidden="1" customHeight="1" outlineLevel="1" x14ac:dyDescent="0.3">
      <c r="A40" s="48"/>
      <c r="B40" s="9" t="str">
        <f>CONCATENATE("          ","5545"," - ","FREIGHT-IN-SPECIAL ORDERS")</f>
        <v xml:space="preserve">          5545 - FREIGHT-IN-SPECIAL ORDERS</v>
      </c>
      <c r="C40" s="9"/>
      <c r="D40" s="3"/>
      <c r="E40" s="3"/>
      <c r="F40" s="26">
        <f t="shared" si="4"/>
        <v>0</v>
      </c>
      <c r="G40" s="3"/>
      <c r="H40" s="3"/>
      <c r="I40" s="3"/>
      <c r="J40" s="26">
        <f t="shared" si="5"/>
        <v>0</v>
      </c>
      <c r="K40" s="3"/>
      <c r="L40" s="3">
        <f t="shared" si="6"/>
        <v>0</v>
      </c>
      <c r="M40" s="3"/>
      <c r="N40" s="26">
        <f t="shared" si="7"/>
        <v>0</v>
      </c>
      <c r="O40" s="9"/>
      <c r="P40" s="3">
        <v>0</v>
      </c>
      <c r="Q40" s="3"/>
      <c r="R40" s="26">
        <f t="shared" si="8"/>
        <v>0</v>
      </c>
      <c r="S40" s="3"/>
      <c r="T40" s="3"/>
      <c r="U40" s="3"/>
      <c r="V40" s="26">
        <f t="shared" si="9"/>
        <v>0</v>
      </c>
      <c r="W40" s="3"/>
      <c r="X40" s="3">
        <f t="shared" si="10"/>
        <v>0</v>
      </c>
      <c r="Y40" s="3"/>
      <c r="Z40" s="26">
        <f t="shared" si="11"/>
        <v>0</v>
      </c>
    </row>
    <row r="41" spans="1:26" ht="15" customHeight="1" x14ac:dyDescent="0.3">
      <c r="A41" s="12"/>
      <c r="B41" s="13"/>
      <c r="C41" s="13"/>
      <c r="D41" s="4"/>
      <c r="E41" s="4"/>
      <c r="F41" s="10"/>
      <c r="G41" s="4"/>
      <c r="H41" s="4"/>
      <c r="I41" s="4"/>
      <c r="J41" s="10"/>
      <c r="K41" s="4"/>
      <c r="L41" s="4"/>
      <c r="M41" s="4"/>
      <c r="N41" s="10"/>
      <c r="O41" s="13"/>
      <c r="P41" s="4"/>
      <c r="Q41" s="4"/>
      <c r="R41" s="10"/>
      <c r="S41" s="4"/>
      <c r="T41" s="4"/>
      <c r="U41" s="4"/>
      <c r="V41" s="10"/>
      <c r="W41" s="4"/>
      <c r="X41" s="4"/>
      <c r="Y41" s="4"/>
      <c r="Z41" s="10"/>
    </row>
    <row r="42" spans="1:26" s="63" customFormat="1" ht="15" customHeight="1" x14ac:dyDescent="0.3">
      <c r="A42" s="13"/>
      <c r="B42" s="27" t="s">
        <v>289</v>
      </c>
      <c r="C42" s="27"/>
      <c r="D42" s="23">
        <f>D12-D19</f>
        <v>795.69999999995343</v>
      </c>
      <c r="E42" s="15"/>
      <c r="F42" s="22">
        <f>IF(D$12=0,0,D42/D$12)</f>
        <v>2.8171053560935295E-3</v>
      </c>
      <c r="G42" s="15"/>
      <c r="H42" s="23">
        <f>H12-H19</f>
        <v>122190</v>
      </c>
      <c r="I42" s="15"/>
      <c r="J42" s="22">
        <f>IF(H$12=0,0,H42/H$12)</f>
        <v>0.47603464195135636</v>
      </c>
      <c r="K42" s="17"/>
      <c r="L42" s="23">
        <f>+D42-H42</f>
        <v>-121394.30000000005</v>
      </c>
      <c r="M42" s="17"/>
      <c r="N42" s="22">
        <f>IF(H42=0,0,L42/H42)</f>
        <v>-0.9934880104754894</v>
      </c>
      <c r="O42" s="28"/>
      <c r="P42" s="23">
        <f>P12-P19</f>
        <v>2692938.57</v>
      </c>
      <c r="Q42" s="15"/>
      <c r="R42" s="22">
        <f>IF(P$12=0,0,P42/P$12)</f>
        <v>0.50401866071247525</v>
      </c>
      <c r="S42" s="15"/>
      <c r="T42" s="23">
        <f>T12-T19</f>
        <v>1797560</v>
      </c>
      <c r="U42" s="15"/>
      <c r="V42" s="22">
        <f>IF(T$12=0,0,T42/T$12)</f>
        <v>0.48622836254573371</v>
      </c>
      <c r="W42" s="17"/>
      <c r="X42" s="23">
        <f>+P42-T42</f>
        <v>895378.56999999983</v>
      </c>
      <c r="Y42" s="17"/>
      <c r="Z42" s="22">
        <f>IF(T42=0,0,X42/T42)</f>
        <v>0.49810775161886101</v>
      </c>
    </row>
    <row r="43" spans="1:26" ht="15" customHeight="1" x14ac:dyDescent="0.3">
      <c r="A43" s="12"/>
      <c r="B43" s="13"/>
      <c r="C43" s="12"/>
      <c r="D43" s="2"/>
      <c r="E43" s="2"/>
      <c r="F43" s="5"/>
      <c r="G43" s="2"/>
      <c r="H43" s="2"/>
      <c r="I43" s="2"/>
      <c r="J43" s="5"/>
      <c r="K43" s="2"/>
      <c r="L43" s="2"/>
      <c r="M43" s="2"/>
      <c r="N43" s="5"/>
      <c r="O43" s="36"/>
      <c r="P43" s="2"/>
      <c r="Q43" s="2"/>
      <c r="R43" s="5"/>
      <c r="S43" s="2"/>
      <c r="T43" s="2"/>
      <c r="U43" s="2"/>
      <c r="V43" s="5"/>
      <c r="W43" s="2"/>
      <c r="X43" s="2"/>
      <c r="Y43" s="2"/>
      <c r="Z43" s="5"/>
    </row>
    <row r="44" spans="1:26" s="63" customFormat="1" ht="15" customHeight="1" x14ac:dyDescent="0.3">
      <c r="A44" s="13"/>
      <c r="B44" s="28" t="s">
        <v>290</v>
      </c>
      <c r="C44" s="13"/>
      <c r="D44" s="24" cm="1">
        <f t="array" ref="D44">SUM(OSRRefD22x_0)</f>
        <v>54763.720000000008</v>
      </c>
      <c r="E44" s="24"/>
      <c r="F44" s="34">
        <f t="shared" ref="F44:F75" si="12">IF(D$12=0,0,D44/D$12)</f>
        <v>0.19388609894635589</v>
      </c>
      <c r="G44" s="24"/>
      <c r="H44" s="24" cm="1">
        <f t="array" ref="H44">SUM(OSRRefH22x_0)</f>
        <v>111501.24025919233</v>
      </c>
      <c r="I44" s="24"/>
      <c r="J44" s="34">
        <f t="shared" ref="J44:J75" si="13">IF(H$12=0,0,H44/H$12)</f>
        <v>0.43439277341776561</v>
      </c>
      <c r="K44" s="8"/>
      <c r="L44" s="24">
        <f t="shared" ref="L44:L75" si="14">+D44-H44</f>
        <v>-56737.520259192323</v>
      </c>
      <c r="M44" s="8"/>
      <c r="N44" s="34">
        <f t="shared" ref="N44:N75" si="15">IF(H44=0,0,L44/H44)</f>
        <v>-0.50885102378504521</v>
      </c>
      <c r="O44" s="13"/>
      <c r="P44" s="24" cm="1">
        <f t="array" ref="P44">SUM(OSRRefP22x_0)</f>
        <v>1271508.3700000001</v>
      </c>
      <c r="Q44" s="24"/>
      <c r="R44" s="34">
        <f t="shared" ref="R44:R75" si="16">IF(P$12=0,0,P44/P$12)</f>
        <v>0.23797941507893458</v>
      </c>
      <c r="S44" s="24"/>
      <c r="T44" s="24" cm="1">
        <f t="array" ref="T44">SUM(OSRRefT22x_0)</f>
        <v>1439703.4956280999</v>
      </c>
      <c r="U44" s="24"/>
      <c r="V44" s="34">
        <f t="shared" ref="V44:V75" si="17">IF(T$12=0,0,T44/T$12)</f>
        <v>0.38943049090468185</v>
      </c>
      <c r="W44" s="8"/>
      <c r="X44" s="24">
        <f t="shared" ref="X44:X75" si="18">+P44-T44</f>
        <v>-168195.12562809978</v>
      </c>
      <c r="Y44" s="8"/>
      <c r="Z44" s="34">
        <f t="shared" ref="Z44:Z75" si="19">IF(T44=0,0,X44/T44)</f>
        <v>-0.11682622577416278</v>
      </c>
    </row>
    <row r="45" spans="1:26" s="69" customFormat="1" ht="15" customHeight="1" outlineLevel="1" collapsed="1" x14ac:dyDescent="0.3">
      <c r="A45" s="20"/>
      <c r="B45" s="11" t="str">
        <f>CONCATENATE("     ","*Benefits                                         ")</f>
        <v xml:space="preserve">     *Benefits                                         </v>
      </c>
      <c r="C45" s="11"/>
      <c r="D45" s="2">
        <f>SUM(OSRRefD22_0x_0)</f>
        <v>6351.380000000001</v>
      </c>
      <c r="E45" s="2"/>
      <c r="F45" s="5">
        <f t="shared" si="12"/>
        <v>2.248649819855017E-2</v>
      </c>
      <c r="G45" s="2"/>
      <c r="H45" s="2">
        <f>SUM(OSRRefH22_0x_0)</f>
        <v>19340.334566884623</v>
      </c>
      <c r="I45" s="2"/>
      <c r="J45" s="5">
        <f t="shared" si="13"/>
        <v>7.5347158038844106E-2</v>
      </c>
      <c r="K45" s="2"/>
      <c r="L45" s="2">
        <f t="shared" si="14"/>
        <v>-12988.954566884622</v>
      </c>
      <c r="M45" s="2"/>
      <c r="N45" s="5">
        <f t="shared" si="15"/>
        <v>-0.6715992694937597</v>
      </c>
      <c r="O45" s="11"/>
      <c r="P45" s="2">
        <f>SUM(OSRRefP22_0x_0)</f>
        <v>168574.46</v>
      </c>
      <c r="Q45" s="2"/>
      <c r="R45" s="5">
        <f t="shared" si="16"/>
        <v>3.1550914122607979E-2</v>
      </c>
      <c r="S45" s="2"/>
      <c r="T45" s="2">
        <f>SUM(OSRRefT22_0x_0)</f>
        <v>258503.15862810001</v>
      </c>
      <c r="U45" s="2"/>
      <c r="V45" s="5">
        <f t="shared" si="17"/>
        <v>6.9923433728298984E-2</v>
      </c>
      <c r="W45" s="2"/>
      <c r="X45" s="2">
        <f t="shared" si="18"/>
        <v>-89928.698628100014</v>
      </c>
      <c r="Y45" s="2"/>
      <c r="Z45" s="5">
        <f t="shared" si="19"/>
        <v>-0.3478823976672466</v>
      </c>
    </row>
    <row r="46" spans="1:26" s="70" customFormat="1" ht="15" hidden="1" customHeight="1" outlineLevel="2" x14ac:dyDescent="0.3">
      <c r="A46" s="21"/>
      <c r="B46" s="9" t="str">
        <f>CONCATENATE("          ","6111"," - ","F.I.C.A.")</f>
        <v xml:space="preserve">          6111 - F.I.C.A.</v>
      </c>
      <c r="C46" s="9"/>
      <c r="D46" s="6">
        <v>5262.91</v>
      </c>
      <c r="E46" s="3"/>
      <c r="F46" s="7">
        <f t="shared" si="12"/>
        <v>1.8632866594996939E-2</v>
      </c>
      <c r="G46" s="3"/>
      <c r="H46" s="6">
        <v>3617.3649972692301</v>
      </c>
      <c r="I46" s="3"/>
      <c r="J46" s="7">
        <f t="shared" si="13"/>
        <v>1.4092733049205558E-2</v>
      </c>
      <c r="K46" s="3"/>
      <c r="L46" s="6">
        <f t="shared" si="14"/>
        <v>1645.5450027307697</v>
      </c>
      <c r="M46" s="3"/>
      <c r="N46" s="7">
        <f t="shared" si="15"/>
        <v>0.45490156618781935</v>
      </c>
      <c r="O46" s="9"/>
      <c r="P46" s="6">
        <v>36496.519999999997</v>
      </c>
      <c r="Q46" s="3"/>
      <c r="R46" s="7">
        <f t="shared" si="16"/>
        <v>6.8308008715795053E-3</v>
      </c>
      <c r="S46" s="3"/>
      <c r="T46" s="6">
        <v>61306.0034256</v>
      </c>
      <c r="U46" s="3"/>
      <c r="V46" s="7">
        <f t="shared" si="17"/>
        <v>1.6582877711927627E-2</v>
      </c>
      <c r="W46" s="3"/>
      <c r="X46" s="6">
        <f t="shared" si="18"/>
        <v>-24809.483425600003</v>
      </c>
      <c r="Y46" s="3"/>
      <c r="Z46" s="7">
        <f t="shared" si="19"/>
        <v>-0.40468277231133493</v>
      </c>
    </row>
    <row r="47" spans="1:26" s="70" customFormat="1" ht="15" hidden="1" customHeight="1" outlineLevel="2" x14ac:dyDescent="0.3">
      <c r="A47" s="21"/>
      <c r="B47" s="9" t="str">
        <f>CONCATENATE("          ","6112"," - ","COMPENSATION INSURANCE")</f>
        <v xml:space="preserve">          6112 - COMPENSATION INSURANCE</v>
      </c>
      <c r="C47" s="9"/>
      <c r="D47" s="6">
        <v>-8009.62</v>
      </c>
      <c r="E47" s="3"/>
      <c r="F47" s="7">
        <f t="shared" si="12"/>
        <v>-2.8357350009143113E-2</v>
      </c>
      <c r="G47" s="3"/>
      <c r="H47" s="6">
        <v>1198.0687800000001</v>
      </c>
      <c r="I47" s="3"/>
      <c r="J47" s="7">
        <f t="shared" si="13"/>
        <v>4.6675034186136211E-3</v>
      </c>
      <c r="K47" s="3"/>
      <c r="L47" s="6">
        <f t="shared" si="14"/>
        <v>-9207.6887800000004</v>
      </c>
      <c r="M47" s="3"/>
      <c r="N47" s="7">
        <f t="shared" si="15"/>
        <v>-7.6854425503016612</v>
      </c>
      <c r="O47" s="9"/>
      <c r="P47" s="6">
        <v>3997.18</v>
      </c>
      <c r="Q47" s="3"/>
      <c r="R47" s="7">
        <f t="shared" si="16"/>
        <v>7.4812449592071158E-4</v>
      </c>
      <c r="S47" s="3"/>
      <c r="T47" s="6">
        <v>15275.291069999999</v>
      </c>
      <c r="U47" s="3"/>
      <c r="V47" s="7">
        <f t="shared" si="17"/>
        <v>4.1318675117245421E-3</v>
      </c>
      <c r="W47" s="3"/>
      <c r="X47" s="6">
        <f t="shared" si="18"/>
        <v>-11278.111069999999</v>
      </c>
      <c r="Y47" s="3"/>
      <c r="Z47" s="7">
        <f t="shared" si="19"/>
        <v>-0.73832380792728158</v>
      </c>
    </row>
    <row r="48" spans="1:26" s="70" customFormat="1" ht="15" hidden="1" customHeight="1" outlineLevel="2" x14ac:dyDescent="0.3">
      <c r="A48" s="21"/>
      <c r="B48" s="9" t="str">
        <f>CONCATENATE("          ","6113"," - ","GROUP INSURANCE")</f>
        <v xml:space="preserve">          6113 - GROUP INSURANCE</v>
      </c>
      <c r="C48" s="9"/>
      <c r="D48" s="6">
        <v>3865.43</v>
      </c>
      <c r="E48" s="3"/>
      <c r="F48" s="7">
        <f t="shared" si="12"/>
        <v>1.3685212462743809E-2</v>
      </c>
      <c r="G48" s="3"/>
      <c r="H48" s="6">
        <v>7772.9230769230799</v>
      </c>
      <c r="I48" s="3"/>
      <c r="J48" s="7">
        <f t="shared" si="13"/>
        <v>3.0282188835735441E-2</v>
      </c>
      <c r="K48" s="3"/>
      <c r="L48" s="6">
        <f t="shared" si="14"/>
        <v>-3907.49307692308</v>
      </c>
      <c r="M48" s="3"/>
      <c r="N48" s="7">
        <f t="shared" si="15"/>
        <v>-0.50270574380492461</v>
      </c>
      <c r="O48" s="9"/>
      <c r="P48" s="6">
        <v>53722.47</v>
      </c>
      <c r="Q48" s="3"/>
      <c r="R48" s="7">
        <f t="shared" si="16"/>
        <v>1.0054862625242184E-2</v>
      </c>
      <c r="S48" s="3"/>
      <c r="T48" s="6">
        <v>95712</v>
      </c>
      <c r="U48" s="3"/>
      <c r="V48" s="7">
        <f t="shared" si="17"/>
        <v>2.588947742271594E-2</v>
      </c>
      <c r="W48" s="3"/>
      <c r="X48" s="6">
        <f t="shared" si="18"/>
        <v>-41989.53</v>
      </c>
      <c r="Y48" s="3"/>
      <c r="Z48" s="7">
        <f t="shared" si="19"/>
        <v>-0.43870705867602805</v>
      </c>
    </row>
    <row r="49" spans="1:26" s="70" customFormat="1" ht="15" hidden="1" customHeight="1" outlineLevel="2" x14ac:dyDescent="0.3">
      <c r="A49" s="21"/>
      <c r="B49" s="9" t="str">
        <f>CONCATENATE("          ","6114"," - ","STATE UNEMPLOYMENT INSURANCE")</f>
        <v xml:space="preserve">          6114 - STATE UNEMPLOYMENT INSURANCE</v>
      </c>
      <c r="C49" s="9"/>
      <c r="D49" s="6"/>
      <c r="E49" s="3"/>
      <c r="F49" s="7">
        <f t="shared" si="12"/>
        <v>0</v>
      </c>
      <c r="G49" s="3"/>
      <c r="H49" s="6">
        <v>161.27848961538501</v>
      </c>
      <c r="I49" s="3"/>
      <c r="J49" s="7">
        <f t="shared" si="13"/>
        <v>6.2831776789029669E-4</v>
      </c>
      <c r="K49" s="3"/>
      <c r="L49" s="6">
        <f t="shared" si="14"/>
        <v>-161.27848961538501</v>
      </c>
      <c r="M49" s="3"/>
      <c r="N49" s="7">
        <f t="shared" si="15"/>
        <v>-1</v>
      </c>
      <c r="O49" s="9"/>
      <c r="P49" s="6">
        <v>2110.4499999999998</v>
      </c>
      <c r="Q49" s="3"/>
      <c r="R49" s="7">
        <f t="shared" si="16"/>
        <v>3.9499830941210193E-4</v>
      </c>
      <c r="S49" s="3"/>
      <c r="T49" s="6">
        <v>2056.2891825000002</v>
      </c>
      <c r="U49" s="3"/>
      <c r="V49" s="7">
        <f t="shared" si="17"/>
        <v>5.5621293427061155E-4</v>
      </c>
      <c r="W49" s="3"/>
      <c r="X49" s="6">
        <f t="shared" si="18"/>
        <v>54.160817499999666</v>
      </c>
      <c r="Y49" s="3"/>
      <c r="Z49" s="7">
        <f t="shared" si="19"/>
        <v>2.6339105394773268E-2</v>
      </c>
    </row>
    <row r="50" spans="1:26" s="70" customFormat="1" ht="15" hidden="1" customHeight="1" outlineLevel="2" x14ac:dyDescent="0.3">
      <c r="A50" s="21"/>
      <c r="B50" s="9" t="str">
        <f>CONCATENATE("          ","6115"," - ","P.E.R.S.")</f>
        <v xml:space="preserve">          6115 - P.E.R.S.</v>
      </c>
      <c r="C50" s="9"/>
      <c r="D50" s="6">
        <v>1218.6600000000001</v>
      </c>
      <c r="E50" s="3"/>
      <c r="F50" s="7">
        <f t="shared" si="12"/>
        <v>4.3145577645559152E-3</v>
      </c>
      <c r="G50" s="3"/>
      <c r="H50" s="6">
        <v>1413.3438461538501</v>
      </c>
      <c r="I50" s="3"/>
      <c r="J50" s="7">
        <f t="shared" si="13"/>
        <v>5.506184072002626E-3</v>
      </c>
      <c r="K50" s="3"/>
      <c r="L50" s="6">
        <f t="shared" si="14"/>
        <v>-194.68384615385003</v>
      </c>
      <c r="M50" s="3"/>
      <c r="N50" s="7">
        <f t="shared" si="15"/>
        <v>-0.13774697974852018</v>
      </c>
      <c r="O50" s="9"/>
      <c r="P50" s="6">
        <v>18442.28</v>
      </c>
      <c r="Q50" s="3"/>
      <c r="R50" s="7">
        <f t="shared" si="16"/>
        <v>3.4517138153970098E-3</v>
      </c>
      <c r="S50" s="3"/>
      <c r="T50" s="6">
        <v>18373.47</v>
      </c>
      <c r="U50" s="3"/>
      <c r="V50" s="7">
        <f t="shared" si="17"/>
        <v>4.9699048890624858E-3</v>
      </c>
      <c r="W50" s="3"/>
      <c r="X50" s="6">
        <f t="shared" si="18"/>
        <v>68.809999999997672</v>
      </c>
      <c r="Y50" s="3"/>
      <c r="Z50" s="7">
        <f t="shared" si="19"/>
        <v>3.7450737394731461E-3</v>
      </c>
    </row>
    <row r="51" spans="1:26" s="70" customFormat="1" ht="15" hidden="1" customHeight="1" outlineLevel="2" x14ac:dyDescent="0.3">
      <c r="A51" s="21"/>
      <c r="B51" s="9" t="str">
        <f>CONCATENATE("          ","6116"," - ","EDUCATIONAL BENEFITS")</f>
        <v xml:space="preserve">          6116 - EDUCATIONAL BENEFITS</v>
      </c>
      <c r="C51" s="9"/>
      <c r="D51" s="6"/>
      <c r="E51" s="3"/>
      <c r="F51" s="7">
        <f t="shared" si="12"/>
        <v>0</v>
      </c>
      <c r="G51" s="3"/>
      <c r="H51" s="6">
        <v>0</v>
      </c>
      <c r="I51" s="3"/>
      <c r="J51" s="7">
        <f t="shared" si="13"/>
        <v>0</v>
      </c>
      <c r="K51" s="3"/>
      <c r="L51" s="6">
        <f t="shared" si="14"/>
        <v>0</v>
      </c>
      <c r="M51" s="3"/>
      <c r="N51" s="7">
        <f t="shared" si="15"/>
        <v>0</v>
      </c>
      <c r="O51" s="9"/>
      <c r="P51" s="6"/>
      <c r="Q51" s="3"/>
      <c r="R51" s="7">
        <f t="shared" si="16"/>
        <v>0</v>
      </c>
      <c r="S51" s="3"/>
      <c r="T51" s="6">
        <v>0</v>
      </c>
      <c r="U51" s="3"/>
      <c r="V51" s="7">
        <f t="shared" si="17"/>
        <v>0</v>
      </c>
      <c r="W51" s="3"/>
      <c r="X51" s="6">
        <f t="shared" si="18"/>
        <v>0</v>
      </c>
      <c r="Y51" s="3"/>
      <c r="Z51" s="7">
        <f t="shared" si="19"/>
        <v>0</v>
      </c>
    </row>
    <row r="52" spans="1:26" s="70" customFormat="1" ht="15" hidden="1" customHeight="1" outlineLevel="2" x14ac:dyDescent="0.3">
      <c r="A52" s="21"/>
      <c r="B52" s="9" t="str">
        <f>CONCATENATE("          ","6118"," - ","VACATION")</f>
        <v xml:space="preserve">          6118 - VACATION</v>
      </c>
      <c r="C52" s="9"/>
      <c r="D52" s="6">
        <v>1727.94</v>
      </c>
      <c r="E52" s="3"/>
      <c r="F52" s="7">
        <f t="shared" si="12"/>
        <v>6.1176184856208847E-3</v>
      </c>
      <c r="G52" s="3"/>
      <c r="H52" s="6">
        <v>1233.7115384615399</v>
      </c>
      <c r="I52" s="3"/>
      <c r="J52" s="7">
        <f t="shared" si="13"/>
        <v>4.8063624722382856E-3</v>
      </c>
      <c r="K52" s="3"/>
      <c r="L52" s="6">
        <f t="shared" si="14"/>
        <v>494.22846153846012</v>
      </c>
      <c r="M52" s="3"/>
      <c r="N52" s="7">
        <f t="shared" si="15"/>
        <v>0.40060293361183258</v>
      </c>
      <c r="O52" s="9"/>
      <c r="P52" s="6">
        <v>23333.86</v>
      </c>
      <c r="Q52" s="3"/>
      <c r="R52" s="7">
        <f t="shared" si="16"/>
        <v>4.3672369646561961E-3</v>
      </c>
      <c r="S52" s="3"/>
      <c r="T52" s="6">
        <v>16038.25</v>
      </c>
      <c r="U52" s="3"/>
      <c r="V52" s="7">
        <f t="shared" si="17"/>
        <v>4.3382429713606854E-3</v>
      </c>
      <c r="W52" s="3"/>
      <c r="X52" s="6">
        <f t="shared" si="18"/>
        <v>7295.6100000000006</v>
      </c>
      <c r="Y52" s="3"/>
      <c r="Z52" s="7">
        <f t="shared" si="19"/>
        <v>0.45488815799728777</v>
      </c>
    </row>
    <row r="53" spans="1:26" s="70" customFormat="1" ht="15" hidden="1" customHeight="1" outlineLevel="2" x14ac:dyDescent="0.3">
      <c r="A53" s="21"/>
      <c r="B53" s="9" t="str">
        <f>CONCATENATE("          ","6119"," - ","SICK LEAVE")</f>
        <v xml:space="preserve">          6119 - SICK LEAVE</v>
      </c>
      <c r="C53" s="9"/>
      <c r="D53" s="6">
        <v>1322.54</v>
      </c>
      <c r="E53" s="3"/>
      <c r="F53" s="7">
        <f t="shared" si="12"/>
        <v>4.6823357014555162E-3</v>
      </c>
      <c r="G53" s="3"/>
      <c r="H53" s="6">
        <v>3068.6438384615399</v>
      </c>
      <c r="I53" s="3"/>
      <c r="J53" s="7">
        <f t="shared" si="13"/>
        <v>1.1954994442411613E-2</v>
      </c>
      <c r="K53" s="3"/>
      <c r="L53" s="6">
        <f t="shared" si="14"/>
        <v>-1746.1038384615399</v>
      </c>
      <c r="M53" s="3"/>
      <c r="N53" s="7">
        <f t="shared" si="15"/>
        <v>-0.56901482556442473</v>
      </c>
      <c r="O53" s="9"/>
      <c r="P53" s="6">
        <v>20289.650000000001</v>
      </c>
      <c r="Q53" s="3"/>
      <c r="R53" s="7">
        <f t="shared" si="16"/>
        <v>3.7974732633150538E-3</v>
      </c>
      <c r="S53" s="3"/>
      <c r="T53" s="6">
        <v>39241.854950000001</v>
      </c>
      <c r="U53" s="3"/>
      <c r="V53" s="7">
        <f t="shared" si="17"/>
        <v>1.0614668147708946E-2</v>
      </c>
      <c r="W53" s="3"/>
      <c r="X53" s="6">
        <f t="shared" si="18"/>
        <v>-18952.204949999999</v>
      </c>
      <c r="Y53" s="3"/>
      <c r="Z53" s="7">
        <f t="shared" si="19"/>
        <v>-0.48295894712795678</v>
      </c>
    </row>
    <row r="54" spans="1:26" s="70" customFormat="1" ht="15" hidden="1" customHeight="1" outlineLevel="2" x14ac:dyDescent="0.3">
      <c r="A54" s="21"/>
      <c r="B54" s="9" t="str">
        <f>CONCATENATE("          ","6156"," - ","EMPLOYEE MEALS")</f>
        <v xml:space="preserve">          6156 - EMPLOYEE MEALS</v>
      </c>
      <c r="C54" s="9"/>
      <c r="D54" s="6">
        <v>963.52</v>
      </c>
      <c r="E54" s="3"/>
      <c r="F54" s="7">
        <f t="shared" si="12"/>
        <v>3.4112571983202166E-3</v>
      </c>
      <c r="G54" s="3"/>
      <c r="H54" s="6">
        <v>875</v>
      </c>
      <c r="I54" s="3"/>
      <c r="J54" s="7">
        <f t="shared" si="13"/>
        <v>3.4088739807466798E-3</v>
      </c>
      <c r="K54" s="3"/>
      <c r="L54" s="6">
        <f t="shared" si="14"/>
        <v>88.519999999999982</v>
      </c>
      <c r="M54" s="3"/>
      <c r="N54" s="7">
        <f t="shared" si="15"/>
        <v>0.10116571428571426</v>
      </c>
      <c r="O54" s="9"/>
      <c r="P54" s="6">
        <v>10182.049999999999</v>
      </c>
      <c r="Q54" s="3"/>
      <c r="R54" s="7">
        <f t="shared" si="16"/>
        <v>1.9057037770852153E-3</v>
      </c>
      <c r="S54" s="3"/>
      <c r="T54" s="6">
        <v>10500</v>
      </c>
      <c r="U54" s="3"/>
      <c r="V54" s="7">
        <f t="shared" si="17"/>
        <v>2.8401821395281405E-3</v>
      </c>
      <c r="W54" s="3"/>
      <c r="X54" s="6">
        <f t="shared" si="18"/>
        <v>-317.95000000000073</v>
      </c>
      <c r="Y54" s="3"/>
      <c r="Z54" s="7">
        <f t="shared" si="19"/>
        <v>-3.028095238095245E-2</v>
      </c>
    </row>
    <row r="55" spans="1:26" s="69" customFormat="1" ht="15" customHeight="1" outlineLevel="1" collapsed="1" x14ac:dyDescent="0.3">
      <c r="A55" s="20"/>
      <c r="B55" s="11" t="str">
        <f>CONCATENATE("     ","*Payroll                                          ")</f>
        <v xml:space="preserve">     *Payroll                                          </v>
      </c>
      <c r="C55" s="11"/>
      <c r="D55" s="2">
        <f>SUM(OSRRefD22_1x_0)</f>
        <v>71875.180000000008</v>
      </c>
      <c r="E55" s="2"/>
      <c r="F55" s="5">
        <f t="shared" si="12"/>
        <v>0.25446770711096944</v>
      </c>
      <c r="G55" s="2"/>
      <c r="H55" s="2">
        <f>SUM(OSRRefH22_1x_0)</f>
        <v>73653.905692307701</v>
      </c>
      <c r="I55" s="2"/>
      <c r="J55" s="5">
        <f t="shared" si="13"/>
        <v>0.2869450087941457</v>
      </c>
      <c r="K55" s="2"/>
      <c r="L55" s="2">
        <f t="shared" si="14"/>
        <v>-1778.725692307693</v>
      </c>
      <c r="M55" s="2"/>
      <c r="N55" s="5">
        <f t="shared" si="15"/>
        <v>-2.414978100059479E-2</v>
      </c>
      <c r="O55" s="11"/>
      <c r="P55" s="2">
        <f>SUM(OSRRefP22_1x_0)</f>
        <v>868550.94</v>
      </c>
      <c r="Q55" s="2"/>
      <c r="R55" s="5">
        <f t="shared" si="16"/>
        <v>0.16256066381022624</v>
      </c>
      <c r="S55" s="2"/>
      <c r="T55" s="2">
        <f>SUM(OSRRefT22_1x_0)</f>
        <v>938481.33700000006</v>
      </c>
      <c r="U55" s="2"/>
      <c r="V55" s="5">
        <f t="shared" si="17"/>
        <v>0.25385313634551332</v>
      </c>
      <c r="W55" s="2"/>
      <c r="X55" s="2">
        <f t="shared" si="18"/>
        <v>-69930.397000000114</v>
      </c>
      <c r="Y55" s="2"/>
      <c r="Z55" s="5">
        <f t="shared" si="19"/>
        <v>-7.4514424787117645E-2</v>
      </c>
    </row>
    <row r="56" spans="1:26" s="70" customFormat="1" ht="15" hidden="1" customHeight="1" outlineLevel="2" x14ac:dyDescent="0.3">
      <c r="A56" s="21"/>
      <c r="B56" s="9" t="str">
        <f>CONCATENATE("          ","6001"," - ","ADMINISTRATIVE SALARIES")</f>
        <v xml:space="preserve">          6001 - ADMINISTRATIVE SALARIES</v>
      </c>
      <c r="C56" s="9"/>
      <c r="D56" s="6"/>
      <c r="E56" s="3"/>
      <c r="F56" s="7">
        <f t="shared" si="12"/>
        <v>0</v>
      </c>
      <c r="G56" s="3"/>
      <c r="H56" s="6">
        <v>0</v>
      </c>
      <c r="I56" s="3"/>
      <c r="J56" s="7">
        <f t="shared" si="13"/>
        <v>0</v>
      </c>
      <c r="K56" s="3"/>
      <c r="L56" s="6">
        <f t="shared" si="14"/>
        <v>0</v>
      </c>
      <c r="M56" s="3"/>
      <c r="N56" s="7">
        <f t="shared" si="15"/>
        <v>0</v>
      </c>
      <c r="O56" s="9"/>
      <c r="P56" s="6"/>
      <c r="Q56" s="3"/>
      <c r="R56" s="7">
        <f t="shared" si="16"/>
        <v>0</v>
      </c>
      <c r="S56" s="3"/>
      <c r="T56" s="6">
        <v>0</v>
      </c>
      <c r="U56" s="3"/>
      <c r="V56" s="7">
        <f t="shared" si="17"/>
        <v>0</v>
      </c>
      <c r="W56" s="3"/>
      <c r="X56" s="6">
        <f t="shared" si="18"/>
        <v>0</v>
      </c>
      <c r="Y56" s="3"/>
      <c r="Z56" s="7">
        <f t="shared" si="19"/>
        <v>0</v>
      </c>
    </row>
    <row r="57" spans="1:26" s="70" customFormat="1" ht="15" hidden="1" customHeight="1" outlineLevel="2" x14ac:dyDescent="0.3">
      <c r="A57" s="21"/>
      <c r="B57" s="9" t="str">
        <f>CONCATENATE("          ","6002"," - ","STAFF SALARIES")</f>
        <v xml:space="preserve">          6002 - STAFF SALARIES</v>
      </c>
      <c r="C57" s="9"/>
      <c r="D57" s="6">
        <v>9137.41</v>
      </c>
      <c r="E57" s="3"/>
      <c r="F57" s="7">
        <f t="shared" si="12"/>
        <v>3.2350190589197039E-2</v>
      </c>
      <c r="G57" s="3"/>
      <c r="H57" s="6">
        <v>14790.807692307701</v>
      </c>
      <c r="I57" s="3"/>
      <c r="J57" s="7">
        <f t="shared" si="13"/>
        <v>5.7622856567469218E-2</v>
      </c>
      <c r="K57" s="3"/>
      <c r="L57" s="6">
        <f t="shared" si="14"/>
        <v>-5653.3976923077007</v>
      </c>
      <c r="M57" s="3"/>
      <c r="N57" s="7">
        <f t="shared" si="15"/>
        <v>-0.38222373043548391</v>
      </c>
      <c r="O57" s="9"/>
      <c r="P57" s="6">
        <v>177425.97</v>
      </c>
      <c r="Q57" s="3"/>
      <c r="R57" s="7">
        <f t="shared" si="16"/>
        <v>3.3207589943283336E-2</v>
      </c>
      <c r="S57" s="3"/>
      <c r="T57" s="6">
        <v>192280.5</v>
      </c>
      <c r="U57" s="3"/>
      <c r="V57" s="7">
        <f t="shared" si="17"/>
        <v>5.2010632559956242E-2</v>
      </c>
      <c r="W57" s="3"/>
      <c r="X57" s="6">
        <f t="shared" si="18"/>
        <v>-14854.529999999999</v>
      </c>
      <c r="Y57" s="3"/>
      <c r="Z57" s="7">
        <f t="shared" si="19"/>
        <v>-7.7254479783441368E-2</v>
      </c>
    </row>
    <row r="58" spans="1:26" s="70" customFormat="1" ht="15" hidden="1" customHeight="1" outlineLevel="2" x14ac:dyDescent="0.3">
      <c r="A58" s="21"/>
      <c r="B58" s="9" t="str">
        <f>CONCATENATE("          ","6003"," - ","STAFF HOURLY-9 MONTH")</f>
        <v xml:space="preserve">          6003 - STAFF HOURLY-9 MONTH</v>
      </c>
      <c r="C58" s="9"/>
      <c r="D58" s="6"/>
      <c r="E58" s="3"/>
      <c r="F58" s="7">
        <f t="shared" si="12"/>
        <v>0</v>
      </c>
      <c r="G58" s="3"/>
      <c r="H58" s="6">
        <v>0</v>
      </c>
      <c r="I58" s="3"/>
      <c r="J58" s="7">
        <f t="shared" si="13"/>
        <v>0</v>
      </c>
      <c r="K58" s="3"/>
      <c r="L58" s="6">
        <f t="shared" si="14"/>
        <v>0</v>
      </c>
      <c r="M58" s="3"/>
      <c r="N58" s="7">
        <f t="shared" si="15"/>
        <v>0</v>
      </c>
      <c r="O58" s="9"/>
      <c r="P58" s="6"/>
      <c r="Q58" s="3"/>
      <c r="R58" s="7">
        <f t="shared" si="16"/>
        <v>0</v>
      </c>
      <c r="S58" s="3"/>
      <c r="T58" s="6">
        <v>0</v>
      </c>
      <c r="U58" s="3"/>
      <c r="V58" s="7">
        <f t="shared" si="17"/>
        <v>0</v>
      </c>
      <c r="W58" s="3"/>
      <c r="X58" s="6">
        <f t="shared" si="18"/>
        <v>0</v>
      </c>
      <c r="Y58" s="3"/>
      <c r="Z58" s="7">
        <f t="shared" si="19"/>
        <v>0</v>
      </c>
    </row>
    <row r="59" spans="1:26" s="70" customFormat="1" ht="15" hidden="1" customHeight="1" outlineLevel="2" x14ac:dyDescent="0.3">
      <c r="A59" s="21"/>
      <c r="B59" s="9" t="str">
        <f>CONCATENATE("          ","6004"," - ","STAFF HOURLY")</f>
        <v xml:space="preserve">          6004 - STAFF HOURLY</v>
      </c>
      <c r="C59" s="9"/>
      <c r="D59" s="6">
        <v>15952.56</v>
      </c>
      <c r="E59" s="3"/>
      <c r="F59" s="7">
        <f t="shared" si="12"/>
        <v>5.6478625385705694E-2</v>
      </c>
      <c r="G59" s="3"/>
      <c r="H59" s="6">
        <v>20297.088</v>
      </c>
      <c r="I59" s="3"/>
      <c r="J59" s="7">
        <f t="shared" si="13"/>
        <v>7.9074531620715038E-2</v>
      </c>
      <c r="K59" s="3"/>
      <c r="L59" s="6">
        <f t="shared" si="14"/>
        <v>-4344.5280000000002</v>
      </c>
      <c r="M59" s="3"/>
      <c r="N59" s="7">
        <f t="shared" si="15"/>
        <v>-0.214046862288817</v>
      </c>
      <c r="O59" s="9"/>
      <c r="P59" s="6">
        <v>137850.19</v>
      </c>
      <c r="Q59" s="3"/>
      <c r="R59" s="7">
        <f t="shared" si="16"/>
        <v>2.5800465304620837E-2</v>
      </c>
      <c r="S59" s="3"/>
      <c r="T59" s="6">
        <v>260330.272</v>
      </c>
      <c r="U59" s="3"/>
      <c r="V59" s="7">
        <f t="shared" si="17"/>
        <v>7.0417656086943115E-2</v>
      </c>
      <c r="W59" s="3"/>
      <c r="X59" s="6">
        <f t="shared" si="18"/>
        <v>-122480.08199999999</v>
      </c>
      <c r="Y59" s="3"/>
      <c r="Z59" s="7">
        <f t="shared" si="19"/>
        <v>-0.47047959908404352</v>
      </c>
    </row>
    <row r="60" spans="1:26" s="70" customFormat="1" ht="15" hidden="1" customHeight="1" outlineLevel="2" x14ac:dyDescent="0.3">
      <c r="A60" s="21"/>
      <c r="B60" s="9" t="str">
        <f>CONCATENATE("          ","6005"," - ","TEMPORARY WAGES-HOURLY")</f>
        <v xml:space="preserve">          6005 - TEMPORARY WAGES-HOURLY</v>
      </c>
      <c r="C60" s="9"/>
      <c r="D60" s="6">
        <v>203.4</v>
      </c>
      <c r="E60" s="3"/>
      <c r="F60" s="7">
        <f t="shared" si="12"/>
        <v>7.2011968006718287E-4</v>
      </c>
      <c r="G60" s="3"/>
      <c r="H60" s="6">
        <v>0</v>
      </c>
      <c r="I60" s="3"/>
      <c r="J60" s="7">
        <f t="shared" si="13"/>
        <v>0</v>
      </c>
      <c r="K60" s="3"/>
      <c r="L60" s="6">
        <f t="shared" si="14"/>
        <v>203.4</v>
      </c>
      <c r="M60" s="3"/>
      <c r="N60" s="7">
        <f t="shared" si="15"/>
        <v>0</v>
      </c>
      <c r="O60" s="9"/>
      <c r="P60" s="6">
        <v>36333.93</v>
      </c>
      <c r="Q60" s="3"/>
      <c r="R60" s="7">
        <f t="shared" si="16"/>
        <v>6.8003700273864126E-3</v>
      </c>
      <c r="S60" s="3"/>
      <c r="T60" s="6">
        <v>0</v>
      </c>
      <c r="U60" s="3"/>
      <c r="V60" s="7">
        <f t="shared" si="17"/>
        <v>0</v>
      </c>
      <c r="W60" s="3"/>
      <c r="X60" s="6">
        <f t="shared" si="18"/>
        <v>36333.93</v>
      </c>
      <c r="Y60" s="3"/>
      <c r="Z60" s="7">
        <f t="shared" si="19"/>
        <v>0</v>
      </c>
    </row>
    <row r="61" spans="1:26" s="70" customFormat="1" ht="15" hidden="1" customHeight="1" outlineLevel="2" x14ac:dyDescent="0.3">
      <c r="A61" s="21"/>
      <c r="B61" s="9" t="str">
        <f>CONCATENATE("          ","6006"," - ","TEMPORARY PART TIME")</f>
        <v xml:space="preserve">          6006 - TEMPORARY PART TIME</v>
      </c>
      <c r="C61" s="9"/>
      <c r="D61" s="6"/>
      <c r="E61" s="3"/>
      <c r="F61" s="7">
        <f t="shared" si="12"/>
        <v>0</v>
      </c>
      <c r="G61" s="3"/>
      <c r="H61" s="6">
        <v>0</v>
      </c>
      <c r="I61" s="3"/>
      <c r="J61" s="7">
        <f t="shared" si="13"/>
        <v>0</v>
      </c>
      <c r="K61" s="3"/>
      <c r="L61" s="6">
        <f t="shared" si="14"/>
        <v>0</v>
      </c>
      <c r="M61" s="3"/>
      <c r="N61" s="7">
        <f t="shared" si="15"/>
        <v>0</v>
      </c>
      <c r="O61" s="9"/>
      <c r="P61" s="6"/>
      <c r="Q61" s="3"/>
      <c r="R61" s="7">
        <f t="shared" si="16"/>
        <v>0</v>
      </c>
      <c r="S61" s="3"/>
      <c r="T61" s="6">
        <v>0</v>
      </c>
      <c r="U61" s="3"/>
      <c r="V61" s="7">
        <f t="shared" si="17"/>
        <v>0</v>
      </c>
      <c r="W61" s="3"/>
      <c r="X61" s="6">
        <f t="shared" si="18"/>
        <v>0</v>
      </c>
      <c r="Y61" s="3"/>
      <c r="Z61" s="7">
        <f t="shared" si="19"/>
        <v>0</v>
      </c>
    </row>
    <row r="62" spans="1:26" s="70" customFormat="1" ht="15" hidden="1" customHeight="1" outlineLevel="2" x14ac:dyDescent="0.3">
      <c r="A62" s="21"/>
      <c r="B62" s="9" t="str">
        <f>CONCATENATE("          ","6007"," - ","STUDENT HOURLY")</f>
        <v xml:space="preserve">          6007 - STUDENT HOURLY</v>
      </c>
      <c r="C62" s="9"/>
      <c r="D62" s="6">
        <v>39618.36</v>
      </c>
      <c r="E62" s="3"/>
      <c r="F62" s="7">
        <f t="shared" si="12"/>
        <v>0.14026529364791779</v>
      </c>
      <c r="G62" s="3"/>
      <c r="H62" s="6">
        <v>9034.01</v>
      </c>
      <c r="I62" s="3"/>
      <c r="J62" s="7">
        <f t="shared" si="13"/>
        <v>3.5195201863777503E-2</v>
      </c>
      <c r="K62" s="3"/>
      <c r="L62" s="6">
        <f t="shared" si="14"/>
        <v>30584.35</v>
      </c>
      <c r="M62" s="3"/>
      <c r="N62" s="7">
        <f t="shared" si="15"/>
        <v>3.385467804441217</v>
      </c>
      <c r="O62" s="9"/>
      <c r="P62" s="6">
        <v>415200.91</v>
      </c>
      <c r="Q62" s="3"/>
      <c r="R62" s="7">
        <f t="shared" si="16"/>
        <v>7.7710278621320711E-2</v>
      </c>
      <c r="S62" s="3"/>
      <c r="T62" s="6">
        <v>307756.76</v>
      </c>
      <c r="U62" s="3"/>
      <c r="V62" s="7">
        <f t="shared" si="17"/>
        <v>8.3246214578195088E-2</v>
      </c>
      <c r="W62" s="3"/>
      <c r="X62" s="6">
        <f t="shared" si="18"/>
        <v>107444.14999999997</v>
      </c>
      <c r="Y62" s="3"/>
      <c r="Z62" s="7">
        <f t="shared" si="19"/>
        <v>0.34912035725876489</v>
      </c>
    </row>
    <row r="63" spans="1:26" s="70" customFormat="1" ht="15" hidden="1" customHeight="1" outlineLevel="2" x14ac:dyDescent="0.3">
      <c r="A63" s="21"/>
      <c r="B63" s="9" t="str">
        <f>CONCATENATE("          ","6008"," - ","STUDENT HOURLY-FICA EXEMPT")</f>
        <v xml:space="preserve">          6008 - STUDENT HOURLY-FICA EXEMPT</v>
      </c>
      <c r="C63" s="9"/>
      <c r="D63" s="6">
        <v>6963.45</v>
      </c>
      <c r="E63" s="3"/>
      <c r="F63" s="7">
        <f t="shared" si="12"/>
        <v>2.4653477808081734E-2</v>
      </c>
      <c r="G63" s="3"/>
      <c r="H63" s="6">
        <v>29532</v>
      </c>
      <c r="I63" s="3"/>
      <c r="J63" s="7">
        <f t="shared" si="13"/>
        <v>0.11505241874218394</v>
      </c>
      <c r="K63" s="3"/>
      <c r="L63" s="6">
        <f t="shared" si="14"/>
        <v>-22568.55</v>
      </c>
      <c r="M63" s="3"/>
      <c r="N63" s="7">
        <f t="shared" si="15"/>
        <v>-0.76420662332385203</v>
      </c>
      <c r="O63" s="9"/>
      <c r="P63" s="6">
        <v>101739.94</v>
      </c>
      <c r="Q63" s="3"/>
      <c r="R63" s="7">
        <f t="shared" si="16"/>
        <v>1.9041959913614959E-2</v>
      </c>
      <c r="S63" s="3"/>
      <c r="T63" s="6">
        <v>178113.80499999999</v>
      </c>
      <c r="U63" s="3"/>
      <c r="V63" s="7">
        <f t="shared" si="17"/>
        <v>4.8178633120418854E-2</v>
      </c>
      <c r="W63" s="3"/>
      <c r="X63" s="6">
        <f t="shared" si="18"/>
        <v>-76373.864999999991</v>
      </c>
      <c r="Y63" s="3"/>
      <c r="Z63" s="7">
        <f t="shared" si="19"/>
        <v>-0.42879250712767603</v>
      </c>
    </row>
    <row r="64" spans="1:26" s="70" customFormat="1" ht="15" hidden="1" customHeight="1" outlineLevel="2" x14ac:dyDescent="0.3">
      <c r="A64" s="21"/>
      <c r="B64" s="9" t="str">
        <f>CONCATENATE("          ","6009"," - ","TEMPORARY-SEASONAL")</f>
        <v xml:space="preserve">          6009 - TEMPORARY-SEASONAL</v>
      </c>
      <c r="C64" s="9"/>
      <c r="D64" s="6"/>
      <c r="E64" s="3"/>
      <c r="F64" s="7">
        <f t="shared" si="12"/>
        <v>0</v>
      </c>
      <c r="G64" s="3"/>
      <c r="H64" s="6">
        <v>0</v>
      </c>
      <c r="I64" s="3"/>
      <c r="J64" s="7">
        <f t="shared" si="13"/>
        <v>0</v>
      </c>
      <c r="K64" s="3"/>
      <c r="L64" s="6">
        <f t="shared" si="14"/>
        <v>0</v>
      </c>
      <c r="M64" s="3"/>
      <c r="N64" s="7">
        <f t="shared" si="15"/>
        <v>0</v>
      </c>
      <c r="O64" s="9"/>
      <c r="P64" s="6"/>
      <c r="Q64" s="3"/>
      <c r="R64" s="7">
        <f t="shared" si="16"/>
        <v>0</v>
      </c>
      <c r="S64" s="3"/>
      <c r="T64" s="6">
        <v>0</v>
      </c>
      <c r="U64" s="3"/>
      <c r="V64" s="7">
        <f t="shared" si="17"/>
        <v>0</v>
      </c>
      <c r="W64" s="3"/>
      <c r="X64" s="6">
        <f t="shared" si="18"/>
        <v>0</v>
      </c>
      <c r="Y64" s="3"/>
      <c r="Z64" s="7">
        <f t="shared" si="19"/>
        <v>0</v>
      </c>
    </row>
    <row r="65" spans="1:26" s="70" customFormat="1" ht="15" hidden="1" customHeight="1" outlineLevel="2" x14ac:dyDescent="0.3">
      <c r="A65" s="21"/>
      <c r="B65" s="9" t="str">
        <f>CONCATENATE("          ","6010"," - ","GRATUITY")</f>
        <v xml:space="preserve">          6010 - GRATUITY</v>
      </c>
      <c r="C65" s="9"/>
      <c r="D65" s="6"/>
      <c r="E65" s="3"/>
      <c r="F65" s="7">
        <f t="shared" si="12"/>
        <v>0</v>
      </c>
      <c r="G65" s="3"/>
      <c r="H65" s="6">
        <v>0</v>
      </c>
      <c r="I65" s="3"/>
      <c r="J65" s="7">
        <f t="shared" si="13"/>
        <v>0</v>
      </c>
      <c r="K65" s="3"/>
      <c r="L65" s="6">
        <f t="shared" si="14"/>
        <v>0</v>
      </c>
      <c r="M65" s="3"/>
      <c r="N65" s="7">
        <f t="shared" si="15"/>
        <v>0</v>
      </c>
      <c r="O65" s="9"/>
      <c r="P65" s="6"/>
      <c r="Q65" s="3"/>
      <c r="R65" s="7">
        <f t="shared" si="16"/>
        <v>0</v>
      </c>
      <c r="S65" s="3"/>
      <c r="T65" s="6">
        <v>0</v>
      </c>
      <c r="U65" s="3"/>
      <c r="V65" s="7">
        <f t="shared" si="17"/>
        <v>0</v>
      </c>
      <c r="W65" s="3"/>
      <c r="X65" s="6">
        <f t="shared" si="18"/>
        <v>0</v>
      </c>
      <c r="Y65" s="3"/>
      <c r="Z65" s="7">
        <f t="shared" si="19"/>
        <v>0</v>
      </c>
    </row>
    <row r="66" spans="1:26" s="69" customFormat="1" ht="15" customHeight="1" outlineLevel="1" collapsed="1" x14ac:dyDescent="0.3">
      <c r="A66" s="20"/>
      <c r="B66" s="11" t="str">
        <f>CONCATENATE("     ","Advertising/Promo                                 ")</f>
        <v xml:space="preserve">     Advertising/Promo                                 </v>
      </c>
      <c r="C66" s="11"/>
      <c r="D66" s="2">
        <f>SUM(OSRRefD22_2x_0)</f>
        <v>6345.32</v>
      </c>
      <c r="E66" s="2"/>
      <c r="F66" s="5">
        <f t="shared" si="12"/>
        <v>2.2465043305427219E-2</v>
      </c>
      <c r="G66" s="2"/>
      <c r="H66" s="2">
        <f>SUM(OSRRefH22_2x_0)</f>
        <v>150</v>
      </c>
      <c r="I66" s="2"/>
      <c r="J66" s="5">
        <f t="shared" si="13"/>
        <v>5.8437839669943077E-4</v>
      </c>
      <c r="K66" s="2"/>
      <c r="L66" s="2">
        <f t="shared" si="14"/>
        <v>6195.32</v>
      </c>
      <c r="M66" s="2"/>
      <c r="N66" s="5">
        <f t="shared" si="15"/>
        <v>41.30213333333333</v>
      </c>
      <c r="O66" s="11"/>
      <c r="P66" s="2">
        <f>SUM(OSRRefP22_2x_0)</f>
        <v>18480.009999999998</v>
      </c>
      <c r="Q66" s="2"/>
      <c r="R66" s="5">
        <f t="shared" si="16"/>
        <v>3.4587754781770417E-3</v>
      </c>
      <c r="S66" s="2"/>
      <c r="T66" s="2">
        <f>SUM(OSRRefT22_2x_0)</f>
        <v>3200</v>
      </c>
      <c r="U66" s="2"/>
      <c r="V66" s="5">
        <f t="shared" si="17"/>
        <v>8.6557931871333795E-4</v>
      </c>
      <c r="W66" s="2"/>
      <c r="X66" s="2">
        <f t="shared" si="18"/>
        <v>15280.009999999998</v>
      </c>
      <c r="Y66" s="2"/>
      <c r="Z66" s="5">
        <f t="shared" si="19"/>
        <v>4.7750031249999996</v>
      </c>
    </row>
    <row r="67" spans="1:26" s="70" customFormat="1" ht="15" hidden="1" customHeight="1" outlineLevel="2" x14ac:dyDescent="0.3">
      <c r="A67" s="21"/>
      <c r="B67" s="9" t="str">
        <f>CONCATENATE("          ","6362"," - ","ADVERTISING EXPENSE")</f>
        <v xml:space="preserve">          6362 - ADVERTISING EXPENSE</v>
      </c>
      <c r="C67" s="9"/>
      <c r="D67" s="6">
        <v>6345.32</v>
      </c>
      <c r="E67" s="3"/>
      <c r="F67" s="7">
        <f t="shared" si="12"/>
        <v>2.2465043305427219E-2</v>
      </c>
      <c r="G67" s="3"/>
      <c r="H67" s="6">
        <v>150</v>
      </c>
      <c r="I67" s="3"/>
      <c r="J67" s="7">
        <f t="shared" si="13"/>
        <v>5.8437839669943077E-4</v>
      </c>
      <c r="K67" s="3"/>
      <c r="L67" s="6">
        <f t="shared" si="14"/>
        <v>6195.32</v>
      </c>
      <c r="M67" s="3"/>
      <c r="N67" s="7">
        <f t="shared" si="15"/>
        <v>41.30213333333333</v>
      </c>
      <c r="O67" s="9"/>
      <c r="P67" s="6">
        <v>18480.009999999998</v>
      </c>
      <c r="Q67" s="3"/>
      <c r="R67" s="7">
        <f t="shared" si="16"/>
        <v>3.4587754781770417E-3</v>
      </c>
      <c r="S67" s="3"/>
      <c r="T67" s="6">
        <v>3200</v>
      </c>
      <c r="U67" s="3"/>
      <c r="V67" s="7">
        <f t="shared" si="17"/>
        <v>8.6557931871333795E-4</v>
      </c>
      <c r="W67" s="3"/>
      <c r="X67" s="6">
        <f t="shared" si="18"/>
        <v>15280.009999999998</v>
      </c>
      <c r="Y67" s="3"/>
      <c r="Z67" s="7">
        <f t="shared" si="19"/>
        <v>4.7750031249999996</v>
      </c>
    </row>
    <row r="68" spans="1:26" s="69" customFormat="1" ht="15" customHeight="1" outlineLevel="1" collapsed="1" x14ac:dyDescent="0.3">
      <c r="A68" s="20"/>
      <c r="B68" s="11" t="str">
        <f>CONCATENATE("     ","Bad Debts/Over/Short                              ")</f>
        <v xml:space="preserve">     Bad Debts/Over/Short                              </v>
      </c>
      <c r="C68" s="11"/>
      <c r="D68" s="2">
        <f>SUM(OSRRefD22_3x_0)</f>
        <v>59.49</v>
      </c>
      <c r="E68" s="2"/>
      <c r="F68" s="5">
        <f t="shared" si="12"/>
        <v>2.1061907456832208E-4</v>
      </c>
      <c r="G68" s="2"/>
      <c r="H68" s="2">
        <f>SUM(OSRRefH22_3x_0)</f>
        <v>35</v>
      </c>
      <c r="I68" s="2"/>
      <c r="J68" s="5">
        <f t="shared" si="13"/>
        <v>1.3635495922986718E-4</v>
      </c>
      <c r="K68" s="2"/>
      <c r="L68" s="2">
        <f t="shared" si="14"/>
        <v>24.490000000000002</v>
      </c>
      <c r="M68" s="2"/>
      <c r="N68" s="5">
        <f t="shared" si="15"/>
        <v>0.69971428571428573</v>
      </c>
      <c r="O68" s="11"/>
      <c r="P68" s="2">
        <f>SUM(OSRRefP22_3x_0)</f>
        <v>-2.2200000000000002</v>
      </c>
      <c r="Q68" s="2"/>
      <c r="R68" s="5">
        <f t="shared" si="16"/>
        <v>-4.1550202416302988E-7</v>
      </c>
      <c r="S68" s="2"/>
      <c r="T68" s="2">
        <f>SUM(OSRRefT22_3x_0)</f>
        <v>420</v>
      </c>
      <c r="U68" s="2"/>
      <c r="V68" s="5">
        <f t="shared" si="17"/>
        <v>1.1360728558112561E-4</v>
      </c>
      <c r="W68" s="2"/>
      <c r="X68" s="2">
        <f t="shared" si="18"/>
        <v>-422.22</v>
      </c>
      <c r="Y68" s="2"/>
      <c r="Z68" s="5">
        <f t="shared" si="19"/>
        <v>-1.0052857142857143</v>
      </c>
    </row>
    <row r="69" spans="1:26" s="70" customFormat="1" ht="15" hidden="1" customHeight="1" outlineLevel="2" x14ac:dyDescent="0.3">
      <c r="A69" s="21"/>
      <c r="B69" s="9" t="str">
        <f>CONCATENATE("          ","6272"," - ","CASH (OVER/SHORT)")</f>
        <v xml:space="preserve">          6272 - CASH (OVER/SHORT)</v>
      </c>
      <c r="C69" s="9"/>
      <c r="D69" s="6">
        <v>59.49</v>
      </c>
      <c r="E69" s="3"/>
      <c r="F69" s="7">
        <f t="shared" si="12"/>
        <v>2.1061907456832208E-4</v>
      </c>
      <c r="G69" s="3"/>
      <c r="H69" s="6">
        <v>35</v>
      </c>
      <c r="I69" s="3"/>
      <c r="J69" s="7">
        <f t="shared" si="13"/>
        <v>1.3635495922986718E-4</v>
      </c>
      <c r="K69" s="3"/>
      <c r="L69" s="6">
        <f t="shared" si="14"/>
        <v>24.490000000000002</v>
      </c>
      <c r="M69" s="3"/>
      <c r="N69" s="7">
        <f t="shared" si="15"/>
        <v>0.69971428571428573</v>
      </c>
      <c r="O69" s="9"/>
      <c r="P69" s="6">
        <v>-2.2200000000000002</v>
      </c>
      <c r="Q69" s="3"/>
      <c r="R69" s="7">
        <f t="shared" si="16"/>
        <v>-4.1550202416302988E-7</v>
      </c>
      <c r="S69" s="3"/>
      <c r="T69" s="6">
        <v>420</v>
      </c>
      <c r="U69" s="3"/>
      <c r="V69" s="7">
        <f t="shared" si="17"/>
        <v>1.1360728558112561E-4</v>
      </c>
      <c r="W69" s="3"/>
      <c r="X69" s="6">
        <f t="shared" si="18"/>
        <v>-422.22</v>
      </c>
      <c r="Y69" s="3"/>
      <c r="Z69" s="7">
        <f t="shared" si="19"/>
        <v>-1.0052857142857143</v>
      </c>
    </row>
    <row r="70" spans="1:26" s="69" customFormat="1" ht="15" customHeight="1" outlineLevel="1" collapsed="1" x14ac:dyDescent="0.3">
      <c r="A70" s="20"/>
      <c r="B70" s="11" t="str">
        <f>CONCATENATE("     ","Bank/card Fees                                    ")</f>
        <v xml:space="preserve">     Bank/card Fees                                    </v>
      </c>
      <c r="C70" s="11"/>
      <c r="D70" s="2">
        <f>SUM(OSRRefD22_4x_0)</f>
        <v>613.19000000000005</v>
      </c>
      <c r="E70" s="2"/>
      <c r="F70" s="5">
        <f t="shared" si="12"/>
        <v>2.1709448703067643E-3</v>
      </c>
      <c r="G70" s="2"/>
      <c r="H70" s="2">
        <f>SUM(OSRRefH22_4x_0)</f>
        <v>1144</v>
      </c>
      <c r="I70" s="2"/>
      <c r="J70" s="5">
        <f t="shared" si="13"/>
        <v>4.4568592388276587E-3</v>
      </c>
      <c r="K70" s="2"/>
      <c r="L70" s="2">
        <f t="shared" si="14"/>
        <v>-530.80999999999995</v>
      </c>
      <c r="M70" s="2"/>
      <c r="N70" s="5">
        <f t="shared" si="15"/>
        <v>-0.4639947552447552</v>
      </c>
      <c r="O70" s="11"/>
      <c r="P70" s="2">
        <f>SUM(OSRRefP22_4x_0)</f>
        <v>6814.66</v>
      </c>
      <c r="Q70" s="2"/>
      <c r="R70" s="5">
        <f t="shared" si="16"/>
        <v>1.2754527135057806E-3</v>
      </c>
      <c r="S70" s="2"/>
      <c r="T70" s="2">
        <f>SUM(OSRRefT22_4x_0)</f>
        <v>17032</v>
      </c>
      <c r="U70" s="2"/>
      <c r="V70" s="5">
        <f t="shared" si="17"/>
        <v>4.6070459238517414E-3</v>
      </c>
      <c r="W70" s="2"/>
      <c r="X70" s="2">
        <f t="shared" si="18"/>
        <v>-10217.34</v>
      </c>
      <c r="Y70" s="2"/>
      <c r="Z70" s="5">
        <f t="shared" si="19"/>
        <v>-0.59989079379990606</v>
      </c>
    </row>
    <row r="71" spans="1:26" s="70" customFormat="1" ht="15" hidden="1" customHeight="1" outlineLevel="2" x14ac:dyDescent="0.3">
      <c r="A71" s="21"/>
      <c r="B71" s="9" t="str">
        <f>CONCATENATE("          ","6381"," - ","BANK/CREDIT CARD FEES")</f>
        <v xml:space="preserve">          6381 - BANK/CREDIT CARD FEES</v>
      </c>
      <c r="C71" s="9"/>
      <c r="D71" s="6">
        <v>613.19000000000005</v>
      </c>
      <c r="E71" s="3"/>
      <c r="F71" s="7">
        <f t="shared" si="12"/>
        <v>2.1709448703067643E-3</v>
      </c>
      <c r="G71" s="3"/>
      <c r="H71" s="6">
        <v>1144</v>
      </c>
      <c r="I71" s="3"/>
      <c r="J71" s="7">
        <f t="shared" si="13"/>
        <v>4.4568592388276587E-3</v>
      </c>
      <c r="K71" s="3"/>
      <c r="L71" s="6">
        <f t="shared" si="14"/>
        <v>-530.80999999999995</v>
      </c>
      <c r="M71" s="3"/>
      <c r="N71" s="7">
        <f t="shared" si="15"/>
        <v>-0.4639947552447552</v>
      </c>
      <c r="O71" s="9"/>
      <c r="P71" s="6">
        <v>6814.66</v>
      </c>
      <c r="Q71" s="3"/>
      <c r="R71" s="7">
        <f t="shared" si="16"/>
        <v>1.2754527135057806E-3</v>
      </c>
      <c r="S71" s="3"/>
      <c r="T71" s="6">
        <v>17032</v>
      </c>
      <c r="U71" s="3"/>
      <c r="V71" s="7">
        <f t="shared" si="17"/>
        <v>4.6070459238517414E-3</v>
      </c>
      <c r="W71" s="3"/>
      <c r="X71" s="6">
        <f t="shared" si="18"/>
        <v>-10217.34</v>
      </c>
      <c r="Y71" s="3"/>
      <c r="Z71" s="7">
        <f t="shared" si="19"/>
        <v>-0.59989079379990606</v>
      </c>
    </row>
    <row r="72" spans="1:26" s="69" customFormat="1" ht="15" customHeight="1" outlineLevel="1" collapsed="1" x14ac:dyDescent="0.3">
      <c r="A72" s="20"/>
      <c r="B72" s="11" t="str">
        <f>CONCATENATE("     ","Discounts and Markdowns                           ")</f>
        <v xml:space="preserve">     Discounts and Markdowns                           </v>
      </c>
      <c r="C72" s="11"/>
      <c r="D72" s="2">
        <f>SUM(OSRRefD22_5x_0)</f>
        <v>30.17</v>
      </c>
      <c r="E72" s="2"/>
      <c r="F72" s="5">
        <f t="shared" si="12"/>
        <v>1.0681421213189237E-4</v>
      </c>
      <c r="G72" s="2"/>
      <c r="H72" s="2">
        <f>SUM(OSRRefH22_5x_0)</f>
        <v>0</v>
      </c>
      <c r="I72" s="2"/>
      <c r="J72" s="5">
        <f t="shared" si="13"/>
        <v>0</v>
      </c>
      <c r="K72" s="2"/>
      <c r="L72" s="2">
        <f t="shared" si="14"/>
        <v>30.17</v>
      </c>
      <c r="M72" s="2"/>
      <c r="N72" s="5">
        <f t="shared" si="15"/>
        <v>0</v>
      </c>
      <c r="O72" s="11"/>
      <c r="P72" s="2">
        <f>SUM(OSRRefP22_5x_0)</f>
        <v>-8.93</v>
      </c>
      <c r="Q72" s="2"/>
      <c r="R72" s="5">
        <f t="shared" si="16"/>
        <v>-1.6713662503494849E-6</v>
      </c>
      <c r="S72" s="2"/>
      <c r="T72" s="2">
        <f>SUM(OSRRefT22_5x_0)</f>
        <v>0</v>
      </c>
      <c r="U72" s="2"/>
      <c r="V72" s="5">
        <f t="shared" si="17"/>
        <v>0</v>
      </c>
      <c r="W72" s="2"/>
      <c r="X72" s="2">
        <f t="shared" si="18"/>
        <v>-8.93</v>
      </c>
      <c r="Y72" s="2"/>
      <c r="Z72" s="5">
        <f t="shared" si="19"/>
        <v>0</v>
      </c>
    </row>
    <row r="73" spans="1:26" s="70" customFormat="1" ht="15" hidden="1" customHeight="1" outlineLevel="2" x14ac:dyDescent="0.3">
      <c r="A73" s="21"/>
      <c r="B73" s="9" t="str">
        <f>CONCATENATE("          ","6382"," - ","DISCOUNTS/MARK DOWNS")</f>
        <v xml:space="preserve">          6382 - DISCOUNTS/MARK DOWNS</v>
      </c>
      <c r="C73" s="9"/>
      <c r="D73" s="6"/>
      <c r="E73" s="3"/>
      <c r="F73" s="7">
        <f t="shared" si="12"/>
        <v>0</v>
      </c>
      <c r="G73" s="3"/>
      <c r="H73" s="6"/>
      <c r="I73" s="3"/>
      <c r="J73" s="7">
        <f t="shared" si="13"/>
        <v>0</v>
      </c>
      <c r="K73" s="3"/>
      <c r="L73" s="6">
        <f t="shared" si="14"/>
        <v>0</v>
      </c>
      <c r="M73" s="3"/>
      <c r="N73" s="7">
        <f t="shared" si="15"/>
        <v>0</v>
      </c>
      <c r="O73" s="9"/>
      <c r="P73" s="6"/>
      <c r="Q73" s="3"/>
      <c r="R73" s="7">
        <f t="shared" si="16"/>
        <v>0</v>
      </c>
      <c r="S73" s="3"/>
      <c r="T73" s="6">
        <v>0</v>
      </c>
      <c r="U73" s="3"/>
      <c r="V73" s="7">
        <f t="shared" si="17"/>
        <v>0</v>
      </c>
      <c r="W73" s="3"/>
      <c r="X73" s="6">
        <f t="shared" si="18"/>
        <v>0</v>
      </c>
      <c r="Y73" s="3"/>
      <c r="Z73" s="7">
        <f t="shared" si="19"/>
        <v>0</v>
      </c>
    </row>
    <row r="74" spans="1:26" s="70" customFormat="1" ht="15" hidden="1" customHeight="1" outlineLevel="2" x14ac:dyDescent="0.3">
      <c r="A74" s="21"/>
      <c r="B74" s="9" t="str">
        <f>CONCATENATE("          ","9175"," - ","EARNED DISCOUNTS")</f>
        <v xml:space="preserve">          9175 - EARNED DISCOUNTS</v>
      </c>
      <c r="C74" s="9"/>
      <c r="D74" s="6">
        <v>30.17</v>
      </c>
      <c r="E74" s="3"/>
      <c r="F74" s="7">
        <f t="shared" si="12"/>
        <v>1.0681421213189237E-4</v>
      </c>
      <c r="G74" s="3"/>
      <c r="H74" s="6"/>
      <c r="I74" s="3"/>
      <c r="J74" s="7">
        <f t="shared" si="13"/>
        <v>0</v>
      </c>
      <c r="K74" s="3"/>
      <c r="L74" s="6">
        <f t="shared" si="14"/>
        <v>30.17</v>
      </c>
      <c r="M74" s="3"/>
      <c r="N74" s="7">
        <f t="shared" si="15"/>
        <v>0</v>
      </c>
      <c r="O74" s="9"/>
      <c r="P74" s="6">
        <v>-8.93</v>
      </c>
      <c r="Q74" s="3"/>
      <c r="R74" s="7">
        <f t="shared" si="16"/>
        <v>-1.6713662503494849E-6</v>
      </c>
      <c r="S74" s="3"/>
      <c r="T74" s="6"/>
      <c r="U74" s="3"/>
      <c r="V74" s="7">
        <f t="shared" si="17"/>
        <v>0</v>
      </c>
      <c r="W74" s="3"/>
      <c r="X74" s="6">
        <f t="shared" si="18"/>
        <v>-8.93</v>
      </c>
      <c r="Y74" s="3"/>
      <c r="Z74" s="7">
        <f t="shared" si="19"/>
        <v>0</v>
      </c>
    </row>
    <row r="75" spans="1:26" s="69" customFormat="1" ht="15" customHeight="1" outlineLevel="1" collapsed="1" x14ac:dyDescent="0.3">
      <c r="A75" s="20"/>
      <c r="B75" s="11" t="str">
        <f>CONCATENATE("     ","Employees' Appreciation                           ")</f>
        <v xml:space="preserve">     Employees' Appreciation                           </v>
      </c>
      <c r="C75" s="11"/>
      <c r="D75" s="2">
        <f>SUM(OSRRefD22_6x_0)</f>
        <v>1068.18</v>
      </c>
      <c r="E75" s="2"/>
      <c r="F75" s="5">
        <f t="shared" si="12"/>
        <v>3.781796656116831E-3</v>
      </c>
      <c r="G75" s="2"/>
      <c r="H75" s="2">
        <f>SUM(OSRRefH22_6x_0)</f>
        <v>75</v>
      </c>
      <c r="I75" s="2"/>
      <c r="J75" s="5">
        <f t="shared" si="13"/>
        <v>2.9218919834971539E-4</v>
      </c>
      <c r="K75" s="2"/>
      <c r="L75" s="2">
        <f t="shared" si="14"/>
        <v>993.18000000000006</v>
      </c>
      <c r="M75" s="2"/>
      <c r="N75" s="5">
        <f t="shared" si="15"/>
        <v>13.242400000000002</v>
      </c>
      <c r="O75" s="11"/>
      <c r="P75" s="2">
        <f>SUM(OSRRefP22_6x_0)</f>
        <v>1359.31</v>
      </c>
      <c r="Q75" s="2"/>
      <c r="R75" s="5">
        <f t="shared" si="16"/>
        <v>2.5441263804731895E-4</v>
      </c>
      <c r="S75" s="2"/>
      <c r="T75" s="2">
        <f>SUM(OSRRefT22_6x_0)</f>
        <v>900</v>
      </c>
      <c r="U75" s="2"/>
      <c r="V75" s="5">
        <f t="shared" si="17"/>
        <v>2.4344418338812629E-4</v>
      </c>
      <c r="W75" s="2"/>
      <c r="X75" s="2">
        <f t="shared" si="18"/>
        <v>459.30999999999995</v>
      </c>
      <c r="Y75" s="2"/>
      <c r="Z75" s="5">
        <f t="shared" si="19"/>
        <v>0.51034444444444438</v>
      </c>
    </row>
    <row r="76" spans="1:26" s="70" customFormat="1" ht="15" hidden="1" customHeight="1" outlineLevel="2" x14ac:dyDescent="0.3">
      <c r="A76" s="21"/>
      <c r="B76" s="9" t="str">
        <f>CONCATENATE("          ","6277"," - ","EMPLOYEE APPRECIATION")</f>
        <v xml:space="preserve">          6277 - EMPLOYEE APPRECIATION</v>
      </c>
      <c r="C76" s="9"/>
      <c r="D76" s="6">
        <v>1068.18</v>
      </c>
      <c r="E76" s="3"/>
      <c r="F76" s="7">
        <f t="shared" ref="F76:F107" si="20">IF(D$12=0,0,D76/D$12)</f>
        <v>3.781796656116831E-3</v>
      </c>
      <c r="G76" s="3"/>
      <c r="H76" s="6">
        <v>75</v>
      </c>
      <c r="I76" s="3"/>
      <c r="J76" s="7">
        <f t="shared" ref="J76:J107" si="21">IF(H$12=0,0,H76/H$12)</f>
        <v>2.9218919834971539E-4</v>
      </c>
      <c r="K76" s="3"/>
      <c r="L76" s="6">
        <f t="shared" ref="L76:L107" si="22">+D76-H76</f>
        <v>993.18000000000006</v>
      </c>
      <c r="M76" s="3"/>
      <c r="N76" s="7">
        <f t="shared" ref="N76:N107" si="23">IF(H76=0,0,L76/H76)</f>
        <v>13.242400000000002</v>
      </c>
      <c r="O76" s="9"/>
      <c r="P76" s="6">
        <v>1359.31</v>
      </c>
      <c r="Q76" s="3"/>
      <c r="R76" s="7">
        <f t="shared" ref="R76:R107" si="24">IF(P$12=0,0,P76/P$12)</f>
        <v>2.5441263804731895E-4</v>
      </c>
      <c r="S76" s="3"/>
      <c r="T76" s="6">
        <v>900</v>
      </c>
      <c r="U76" s="3"/>
      <c r="V76" s="7">
        <f t="shared" ref="V76:V107" si="25">IF(T$12=0,0,T76/T$12)</f>
        <v>2.4344418338812629E-4</v>
      </c>
      <c r="W76" s="3"/>
      <c r="X76" s="6">
        <f t="shared" ref="X76:X107" si="26">+P76-T76</f>
        <v>459.30999999999995</v>
      </c>
      <c r="Y76" s="3"/>
      <c r="Z76" s="7">
        <f t="shared" ref="Z76:Z107" si="27">IF(T76=0,0,X76/T76)</f>
        <v>0.51034444444444438</v>
      </c>
    </row>
    <row r="77" spans="1:26" s="69" customFormat="1" ht="15" customHeight="1" outlineLevel="1" collapsed="1" x14ac:dyDescent="0.3">
      <c r="A77" s="20"/>
      <c r="B77" s="11" t="str">
        <f>CONCATENATE("     ","Equipment Rental                                  ")</f>
        <v xml:space="preserve">     Equipment Rental                                  </v>
      </c>
      <c r="C77" s="11"/>
      <c r="D77" s="2">
        <f>SUM(OSRRefD22_7x_0)</f>
        <v>96.22</v>
      </c>
      <c r="E77" s="2"/>
      <c r="F77" s="5">
        <f t="shared" si="20"/>
        <v>3.4065838552637333E-4</v>
      </c>
      <c r="G77" s="2"/>
      <c r="H77" s="2">
        <f>SUM(OSRRefH22_7x_0)</f>
        <v>0</v>
      </c>
      <c r="I77" s="2"/>
      <c r="J77" s="5">
        <f t="shared" si="21"/>
        <v>0</v>
      </c>
      <c r="K77" s="2"/>
      <c r="L77" s="2">
        <f t="shared" si="22"/>
        <v>96.22</v>
      </c>
      <c r="M77" s="2"/>
      <c r="N77" s="5">
        <f t="shared" si="23"/>
        <v>0</v>
      </c>
      <c r="O77" s="11"/>
      <c r="P77" s="2">
        <f>SUM(OSRRefP22_7x_0)</f>
        <v>215.13</v>
      </c>
      <c r="Q77" s="2"/>
      <c r="R77" s="5">
        <f t="shared" si="24"/>
        <v>4.0264392098284958E-5</v>
      </c>
      <c r="S77" s="2"/>
      <c r="T77" s="2">
        <f>SUM(OSRRefT22_7x_0)</f>
        <v>0</v>
      </c>
      <c r="U77" s="2"/>
      <c r="V77" s="5">
        <f t="shared" si="25"/>
        <v>0</v>
      </c>
      <c r="W77" s="2"/>
      <c r="X77" s="2">
        <f t="shared" si="26"/>
        <v>215.13</v>
      </c>
      <c r="Y77" s="2"/>
      <c r="Z77" s="5">
        <f t="shared" si="27"/>
        <v>0</v>
      </c>
    </row>
    <row r="78" spans="1:26" s="70" customFormat="1" ht="15" hidden="1" customHeight="1" outlineLevel="2" x14ac:dyDescent="0.3">
      <c r="A78" s="21"/>
      <c r="B78" s="9" t="str">
        <f>CONCATENATE("          ","6351"," - ","EQUIPMENT RENTAL")</f>
        <v xml:space="preserve">          6351 - EQUIPMENT RENTAL</v>
      </c>
      <c r="C78" s="9"/>
      <c r="D78" s="6">
        <v>96.22</v>
      </c>
      <c r="E78" s="3"/>
      <c r="F78" s="7">
        <f t="shared" si="20"/>
        <v>3.4065838552637333E-4</v>
      </c>
      <c r="G78" s="3"/>
      <c r="H78" s="6"/>
      <c r="I78" s="3"/>
      <c r="J78" s="7">
        <f t="shared" si="21"/>
        <v>0</v>
      </c>
      <c r="K78" s="3"/>
      <c r="L78" s="6">
        <f t="shared" si="22"/>
        <v>96.22</v>
      </c>
      <c r="M78" s="3"/>
      <c r="N78" s="7">
        <f t="shared" si="23"/>
        <v>0</v>
      </c>
      <c r="O78" s="9"/>
      <c r="P78" s="6">
        <v>215.13</v>
      </c>
      <c r="Q78" s="3"/>
      <c r="R78" s="7">
        <f t="shared" si="24"/>
        <v>4.0264392098284958E-5</v>
      </c>
      <c r="S78" s="3"/>
      <c r="T78" s="6"/>
      <c r="U78" s="3"/>
      <c r="V78" s="7">
        <f t="shared" si="25"/>
        <v>0</v>
      </c>
      <c r="W78" s="3"/>
      <c r="X78" s="6">
        <f t="shared" si="26"/>
        <v>215.13</v>
      </c>
      <c r="Y78" s="3"/>
      <c r="Z78" s="7">
        <f t="shared" si="27"/>
        <v>0</v>
      </c>
    </row>
    <row r="79" spans="1:26" s="69" customFormat="1" ht="15" customHeight="1" outlineLevel="1" collapsed="1" x14ac:dyDescent="0.3">
      <c r="A79" s="20"/>
      <c r="B79" s="11" t="str">
        <f>CONCATENATE("     ","Freight out/Postage                               ")</f>
        <v xml:space="preserve">     Freight out/Postage                               </v>
      </c>
      <c r="C79" s="11"/>
      <c r="D79" s="2">
        <f>SUM(OSRRefD22_8x_0)</f>
        <v>0</v>
      </c>
      <c r="E79" s="2"/>
      <c r="F79" s="5">
        <f t="shared" si="20"/>
        <v>0</v>
      </c>
      <c r="G79" s="2"/>
      <c r="H79" s="2">
        <f>SUM(OSRRefH22_8x_0)</f>
        <v>50</v>
      </c>
      <c r="I79" s="2"/>
      <c r="J79" s="5">
        <f t="shared" si="21"/>
        <v>1.9479279889981027E-4</v>
      </c>
      <c r="K79" s="2"/>
      <c r="L79" s="2">
        <f t="shared" si="22"/>
        <v>-50</v>
      </c>
      <c r="M79" s="2"/>
      <c r="N79" s="5">
        <f t="shared" si="23"/>
        <v>-1</v>
      </c>
      <c r="O79" s="11"/>
      <c r="P79" s="2">
        <f>SUM(OSRRefP22_8x_0)</f>
        <v>983.79</v>
      </c>
      <c r="Q79" s="2"/>
      <c r="R79" s="5">
        <f t="shared" si="24"/>
        <v>1.8412916051862484E-4</v>
      </c>
      <c r="S79" s="2"/>
      <c r="T79" s="2">
        <f>SUM(OSRRefT22_8x_0)</f>
        <v>600</v>
      </c>
      <c r="U79" s="2"/>
      <c r="V79" s="5">
        <f t="shared" si="25"/>
        <v>1.6229612225875087E-4</v>
      </c>
      <c r="W79" s="2"/>
      <c r="X79" s="2">
        <f t="shared" si="26"/>
        <v>383.78999999999996</v>
      </c>
      <c r="Y79" s="2"/>
      <c r="Z79" s="5">
        <f t="shared" si="27"/>
        <v>0.63964999999999994</v>
      </c>
    </row>
    <row r="80" spans="1:26" s="70" customFormat="1" ht="15" hidden="1" customHeight="1" outlineLevel="2" x14ac:dyDescent="0.3">
      <c r="A80" s="21"/>
      <c r="B80" s="9" t="str">
        <f>CONCATENATE("          ","6305"," - ","FREIGHT OUT")</f>
        <v xml:space="preserve">          6305 - FREIGHT OUT</v>
      </c>
      <c r="C80" s="9"/>
      <c r="D80" s="6"/>
      <c r="E80" s="3"/>
      <c r="F80" s="7">
        <f t="shared" si="20"/>
        <v>0</v>
      </c>
      <c r="G80" s="3"/>
      <c r="H80" s="6">
        <v>50</v>
      </c>
      <c r="I80" s="3"/>
      <c r="J80" s="7">
        <f t="shared" si="21"/>
        <v>1.9479279889981027E-4</v>
      </c>
      <c r="K80" s="3"/>
      <c r="L80" s="6">
        <f t="shared" si="22"/>
        <v>-50</v>
      </c>
      <c r="M80" s="3"/>
      <c r="N80" s="7">
        <f t="shared" si="23"/>
        <v>-1</v>
      </c>
      <c r="O80" s="9"/>
      <c r="P80" s="6">
        <v>893.87</v>
      </c>
      <c r="Q80" s="3"/>
      <c r="R80" s="7">
        <f t="shared" si="24"/>
        <v>1.6729945690928267E-4</v>
      </c>
      <c r="S80" s="3"/>
      <c r="T80" s="6">
        <v>600</v>
      </c>
      <c r="U80" s="3"/>
      <c r="V80" s="7">
        <f t="shared" si="25"/>
        <v>1.6229612225875087E-4</v>
      </c>
      <c r="W80" s="3"/>
      <c r="X80" s="6">
        <f t="shared" si="26"/>
        <v>293.87</v>
      </c>
      <c r="Y80" s="3"/>
      <c r="Z80" s="7">
        <f t="shared" si="27"/>
        <v>0.48978333333333335</v>
      </c>
    </row>
    <row r="81" spans="1:26" s="70" customFormat="1" ht="15" hidden="1" customHeight="1" outlineLevel="2" x14ac:dyDescent="0.3">
      <c r="A81" s="21"/>
      <c r="B81" s="9" t="str">
        <f>CONCATENATE("          ","6307"," - ","POSTAGE")</f>
        <v xml:space="preserve">          6307 - POSTAGE</v>
      </c>
      <c r="C81" s="9"/>
      <c r="D81" s="6"/>
      <c r="E81" s="3"/>
      <c r="F81" s="7">
        <f t="shared" si="20"/>
        <v>0</v>
      </c>
      <c r="G81" s="3"/>
      <c r="H81" s="6"/>
      <c r="I81" s="3"/>
      <c r="J81" s="7">
        <f t="shared" si="21"/>
        <v>0</v>
      </c>
      <c r="K81" s="3"/>
      <c r="L81" s="6">
        <f t="shared" si="22"/>
        <v>0</v>
      </c>
      <c r="M81" s="3"/>
      <c r="N81" s="7">
        <f t="shared" si="23"/>
        <v>0</v>
      </c>
      <c r="O81" s="9"/>
      <c r="P81" s="6">
        <v>89.92</v>
      </c>
      <c r="Q81" s="3"/>
      <c r="R81" s="7">
        <f t="shared" si="24"/>
        <v>1.6829703609342184E-5</v>
      </c>
      <c r="S81" s="3"/>
      <c r="T81" s="6"/>
      <c r="U81" s="3"/>
      <c r="V81" s="7">
        <f t="shared" si="25"/>
        <v>0</v>
      </c>
      <c r="W81" s="3"/>
      <c r="X81" s="6">
        <f t="shared" si="26"/>
        <v>89.92</v>
      </c>
      <c r="Y81" s="3"/>
      <c r="Z81" s="7">
        <f t="shared" si="27"/>
        <v>0</v>
      </c>
    </row>
    <row r="82" spans="1:26" s="69" customFormat="1" ht="15" customHeight="1" outlineLevel="1" collapsed="1" x14ac:dyDescent="0.3">
      <c r="A82" s="20"/>
      <c r="B82" s="11" t="str">
        <f>CONCATENATE("     ","General                                           ")</f>
        <v xml:space="preserve">     General                                           </v>
      </c>
      <c r="C82" s="11"/>
      <c r="D82" s="2">
        <f>SUM(OSRRefD22_9x_0)</f>
        <v>0</v>
      </c>
      <c r="E82" s="2"/>
      <c r="F82" s="5">
        <f t="shared" si="20"/>
        <v>0</v>
      </c>
      <c r="G82" s="2"/>
      <c r="H82" s="2">
        <f>SUM(OSRRefH22_9x_0)</f>
        <v>1000</v>
      </c>
      <c r="I82" s="2"/>
      <c r="J82" s="5">
        <f t="shared" si="21"/>
        <v>3.8958559779962054E-3</v>
      </c>
      <c r="K82" s="2"/>
      <c r="L82" s="2">
        <f t="shared" si="22"/>
        <v>-1000</v>
      </c>
      <c r="M82" s="2"/>
      <c r="N82" s="5">
        <f t="shared" si="23"/>
        <v>-1</v>
      </c>
      <c r="O82" s="11"/>
      <c r="P82" s="2">
        <f>SUM(OSRRefP22_9x_0)</f>
        <v>3524.95</v>
      </c>
      <c r="Q82" s="2"/>
      <c r="R82" s="5">
        <f t="shared" si="24"/>
        <v>6.5974047751057299E-4</v>
      </c>
      <c r="S82" s="2"/>
      <c r="T82" s="2">
        <f>SUM(OSRRefT22_9x_0)</f>
        <v>2250</v>
      </c>
      <c r="U82" s="2"/>
      <c r="V82" s="5">
        <f t="shared" si="25"/>
        <v>6.0861045847031574E-4</v>
      </c>
      <c r="W82" s="2"/>
      <c r="X82" s="2">
        <f t="shared" si="26"/>
        <v>1274.9499999999998</v>
      </c>
      <c r="Y82" s="2"/>
      <c r="Z82" s="5">
        <f t="shared" si="27"/>
        <v>0.5666444444444444</v>
      </c>
    </row>
    <row r="83" spans="1:26" s="70" customFormat="1" ht="15" hidden="1" customHeight="1" outlineLevel="2" x14ac:dyDescent="0.3">
      <c r="A83" s="21"/>
      <c r="B83" s="9" t="str">
        <f>CONCATENATE("          ","6276"," - ","PROPERTY TAX")</f>
        <v xml:space="preserve">          6276 - PROPERTY TAX</v>
      </c>
      <c r="C83" s="9"/>
      <c r="D83" s="6"/>
      <c r="E83" s="3"/>
      <c r="F83" s="7">
        <f t="shared" si="20"/>
        <v>0</v>
      </c>
      <c r="G83" s="3"/>
      <c r="H83" s="6"/>
      <c r="I83" s="3"/>
      <c r="J83" s="7">
        <f t="shared" si="21"/>
        <v>0</v>
      </c>
      <c r="K83" s="3"/>
      <c r="L83" s="6">
        <f t="shared" si="22"/>
        <v>0</v>
      </c>
      <c r="M83" s="3"/>
      <c r="N83" s="7">
        <f t="shared" si="23"/>
        <v>0</v>
      </c>
      <c r="O83" s="9"/>
      <c r="P83" s="6"/>
      <c r="Q83" s="3"/>
      <c r="R83" s="7">
        <f t="shared" si="24"/>
        <v>0</v>
      </c>
      <c r="S83" s="3"/>
      <c r="T83" s="6">
        <v>1250</v>
      </c>
      <c r="U83" s="3"/>
      <c r="V83" s="7">
        <f t="shared" si="25"/>
        <v>3.3811692137239766E-4</v>
      </c>
      <c r="W83" s="3"/>
      <c r="X83" s="6">
        <f t="shared" si="26"/>
        <v>-1250</v>
      </c>
      <c r="Y83" s="3"/>
      <c r="Z83" s="7">
        <f t="shared" si="27"/>
        <v>-1</v>
      </c>
    </row>
    <row r="84" spans="1:26" s="70" customFormat="1" ht="15" hidden="1" customHeight="1" outlineLevel="2" x14ac:dyDescent="0.3">
      <c r="A84" s="21"/>
      <c r="B84" s="9" t="str">
        <f>CONCATENATE("          ","6279"," - ","GENERAL EXPENSE")</f>
        <v xml:space="preserve">          6279 - GENERAL EXPENSE</v>
      </c>
      <c r="C84" s="9"/>
      <c r="D84" s="6"/>
      <c r="E84" s="3"/>
      <c r="F84" s="7">
        <f t="shared" si="20"/>
        <v>0</v>
      </c>
      <c r="G84" s="3"/>
      <c r="H84" s="6">
        <v>1000</v>
      </c>
      <c r="I84" s="3"/>
      <c r="J84" s="7">
        <f t="shared" si="21"/>
        <v>3.8958559779962054E-3</v>
      </c>
      <c r="K84" s="3"/>
      <c r="L84" s="6">
        <f t="shared" si="22"/>
        <v>-1000</v>
      </c>
      <c r="M84" s="3"/>
      <c r="N84" s="7">
        <f t="shared" si="23"/>
        <v>-1</v>
      </c>
      <c r="O84" s="9"/>
      <c r="P84" s="6">
        <v>3524.95</v>
      </c>
      <c r="Q84" s="3"/>
      <c r="R84" s="7">
        <f t="shared" si="24"/>
        <v>6.5974047751057299E-4</v>
      </c>
      <c r="S84" s="3"/>
      <c r="T84" s="6">
        <v>1000</v>
      </c>
      <c r="U84" s="3"/>
      <c r="V84" s="7">
        <f t="shared" si="25"/>
        <v>2.7049353709791813E-4</v>
      </c>
      <c r="W84" s="3"/>
      <c r="X84" s="6">
        <f t="shared" si="26"/>
        <v>2524.9499999999998</v>
      </c>
      <c r="Y84" s="3"/>
      <c r="Z84" s="7">
        <f t="shared" si="27"/>
        <v>2.52495</v>
      </c>
    </row>
    <row r="85" spans="1:26" s="69" customFormat="1" ht="15" customHeight="1" outlineLevel="1" collapsed="1" x14ac:dyDescent="0.3">
      <c r="A85" s="20"/>
      <c r="B85" s="11" t="str">
        <f>CONCATENATE("     ","Insurance                                         ")</f>
        <v xml:space="preserve">     Insurance                                         </v>
      </c>
      <c r="C85" s="11"/>
      <c r="D85" s="2">
        <f>SUM(OSRRefD22_10x_0)</f>
        <v>-68.040000000000006</v>
      </c>
      <c r="E85" s="2"/>
      <c r="F85" s="5">
        <f t="shared" si="20"/>
        <v>-2.4088959209327005E-4</v>
      </c>
      <c r="G85" s="2"/>
      <c r="H85" s="2">
        <f>SUM(OSRRefH22_10x_0)</f>
        <v>175</v>
      </c>
      <c r="I85" s="2"/>
      <c r="J85" s="5">
        <f t="shared" si="21"/>
        <v>6.8177479614933592E-4</v>
      </c>
      <c r="K85" s="2"/>
      <c r="L85" s="2">
        <f t="shared" si="22"/>
        <v>-243.04000000000002</v>
      </c>
      <c r="M85" s="2"/>
      <c r="N85" s="5">
        <f t="shared" si="23"/>
        <v>-1.3888</v>
      </c>
      <c r="O85" s="11"/>
      <c r="P85" s="2">
        <f>SUM(OSRRefP22_10x_0)</f>
        <v>2341.84</v>
      </c>
      <c r="Q85" s="2"/>
      <c r="R85" s="5">
        <f t="shared" si="24"/>
        <v>4.3830597309277026E-4</v>
      </c>
      <c r="S85" s="2"/>
      <c r="T85" s="2">
        <f>SUM(OSRRefT22_10x_0)</f>
        <v>2100</v>
      </c>
      <c r="U85" s="2"/>
      <c r="V85" s="5">
        <f t="shared" si="25"/>
        <v>5.6803642790562809E-4</v>
      </c>
      <c r="W85" s="2"/>
      <c r="X85" s="2">
        <f t="shared" si="26"/>
        <v>241.84000000000015</v>
      </c>
      <c r="Y85" s="2"/>
      <c r="Z85" s="5">
        <f t="shared" si="27"/>
        <v>0.11516190476190483</v>
      </c>
    </row>
    <row r="86" spans="1:26" s="70" customFormat="1" ht="15" hidden="1" customHeight="1" outlineLevel="2" x14ac:dyDescent="0.3">
      <c r="A86" s="21"/>
      <c r="B86" s="9" t="str">
        <f>CONCATENATE("          ","6314"," - ","LIABILITY INSURANCE")</f>
        <v xml:space="preserve">          6314 - LIABILITY INSURANCE</v>
      </c>
      <c r="C86" s="9"/>
      <c r="D86" s="6">
        <v>-68.040000000000006</v>
      </c>
      <c r="E86" s="3"/>
      <c r="F86" s="7">
        <f t="shared" si="20"/>
        <v>-2.4088959209327005E-4</v>
      </c>
      <c r="G86" s="3"/>
      <c r="H86" s="6">
        <v>175</v>
      </c>
      <c r="I86" s="3"/>
      <c r="J86" s="7">
        <f t="shared" si="21"/>
        <v>6.8177479614933592E-4</v>
      </c>
      <c r="K86" s="3"/>
      <c r="L86" s="6">
        <f t="shared" si="22"/>
        <v>-243.04000000000002</v>
      </c>
      <c r="M86" s="3"/>
      <c r="N86" s="7">
        <f t="shared" si="23"/>
        <v>-1.3888</v>
      </c>
      <c r="O86" s="9"/>
      <c r="P86" s="6">
        <v>2341.84</v>
      </c>
      <c r="Q86" s="3"/>
      <c r="R86" s="7">
        <f t="shared" si="24"/>
        <v>4.3830597309277026E-4</v>
      </c>
      <c r="S86" s="3"/>
      <c r="T86" s="6">
        <v>2100</v>
      </c>
      <c r="U86" s="3"/>
      <c r="V86" s="7">
        <f t="shared" si="25"/>
        <v>5.6803642790562809E-4</v>
      </c>
      <c r="W86" s="3"/>
      <c r="X86" s="6">
        <f t="shared" si="26"/>
        <v>241.84000000000015</v>
      </c>
      <c r="Y86" s="3"/>
      <c r="Z86" s="7">
        <f t="shared" si="27"/>
        <v>0.11516190476190483</v>
      </c>
    </row>
    <row r="87" spans="1:26" s="69" customFormat="1" ht="15" customHeight="1" outlineLevel="1" collapsed="1" x14ac:dyDescent="0.3">
      <c r="A87" s="20"/>
      <c r="B87" s="11" t="str">
        <f>CONCATENATE("     ","Inventory Adjustment                              ")</f>
        <v xml:space="preserve">     Inventory Adjustment                              </v>
      </c>
      <c r="C87" s="11"/>
      <c r="D87" s="2">
        <f>SUM(OSRRefD22_11x_0)</f>
        <v>-45100</v>
      </c>
      <c r="E87" s="2"/>
      <c r="F87" s="5">
        <f t="shared" si="20"/>
        <v>-0.15967255442984241</v>
      </c>
      <c r="G87" s="2"/>
      <c r="H87" s="2">
        <f>SUM(OSRRefH22_11x_0)</f>
        <v>4100</v>
      </c>
      <c r="I87" s="2"/>
      <c r="J87" s="5">
        <f t="shared" si="21"/>
        <v>1.5973009509784444E-2</v>
      </c>
      <c r="K87" s="2"/>
      <c r="L87" s="2">
        <f t="shared" si="22"/>
        <v>-49200</v>
      </c>
      <c r="M87" s="2"/>
      <c r="N87" s="5">
        <f t="shared" si="23"/>
        <v>-12</v>
      </c>
      <c r="O87" s="11"/>
      <c r="P87" s="2">
        <f>SUM(OSRRefP22_11x_0)</f>
        <v>0</v>
      </c>
      <c r="Q87" s="2"/>
      <c r="R87" s="5">
        <f t="shared" si="24"/>
        <v>0</v>
      </c>
      <c r="S87" s="2"/>
      <c r="T87" s="2">
        <f>SUM(OSRRefT22_11x_0)</f>
        <v>49200</v>
      </c>
      <c r="U87" s="2"/>
      <c r="V87" s="5">
        <f t="shared" si="25"/>
        <v>1.3308282025217572E-2</v>
      </c>
      <c r="W87" s="2"/>
      <c r="X87" s="2">
        <f t="shared" si="26"/>
        <v>-49200</v>
      </c>
      <c r="Y87" s="2"/>
      <c r="Z87" s="5">
        <f t="shared" si="27"/>
        <v>-1</v>
      </c>
    </row>
    <row r="88" spans="1:26" s="70" customFormat="1" ht="15" hidden="1" customHeight="1" outlineLevel="2" x14ac:dyDescent="0.3">
      <c r="A88" s="21"/>
      <c r="B88" s="9" t="str">
        <f>CONCATENATE("          ","6408"," - ","INVENTORY ADJUSTMENT")</f>
        <v xml:space="preserve">          6408 - INVENTORY ADJUSTMENT</v>
      </c>
      <c r="C88" s="9"/>
      <c r="D88" s="6">
        <v>-45100</v>
      </c>
      <c r="E88" s="3"/>
      <c r="F88" s="7">
        <f t="shared" si="20"/>
        <v>-0.15967255442984241</v>
      </c>
      <c r="G88" s="3"/>
      <c r="H88" s="6">
        <v>4100</v>
      </c>
      <c r="I88" s="3"/>
      <c r="J88" s="7">
        <f t="shared" si="21"/>
        <v>1.5973009509784444E-2</v>
      </c>
      <c r="K88" s="3"/>
      <c r="L88" s="6">
        <f t="shared" si="22"/>
        <v>-49200</v>
      </c>
      <c r="M88" s="3"/>
      <c r="N88" s="7">
        <f t="shared" si="23"/>
        <v>-12</v>
      </c>
      <c r="O88" s="9"/>
      <c r="P88" s="6">
        <v>0</v>
      </c>
      <c r="Q88" s="3"/>
      <c r="R88" s="7">
        <f t="shared" si="24"/>
        <v>0</v>
      </c>
      <c r="S88" s="3"/>
      <c r="T88" s="6">
        <v>49200</v>
      </c>
      <c r="U88" s="3"/>
      <c r="V88" s="7">
        <f t="shared" si="25"/>
        <v>1.3308282025217572E-2</v>
      </c>
      <c r="W88" s="3"/>
      <c r="X88" s="6">
        <f t="shared" si="26"/>
        <v>-49200</v>
      </c>
      <c r="Y88" s="3"/>
      <c r="Z88" s="7">
        <f t="shared" si="27"/>
        <v>-1</v>
      </c>
    </row>
    <row r="89" spans="1:26" s="69" customFormat="1" ht="15" customHeight="1" outlineLevel="1" collapsed="1" x14ac:dyDescent="0.3">
      <c r="A89" s="20"/>
      <c r="B89" s="11" t="str">
        <f>CONCATENATE("     ","Professional Services                             ")</f>
        <v xml:space="preserve">     Professional Services                             </v>
      </c>
      <c r="C89" s="11"/>
      <c r="D89" s="2">
        <f>SUM(OSRRefD22_12x_0)</f>
        <v>1401.33</v>
      </c>
      <c r="E89" s="2"/>
      <c r="F89" s="5">
        <f t="shared" si="20"/>
        <v>4.9612847161678731E-3</v>
      </c>
      <c r="G89" s="2"/>
      <c r="H89" s="2">
        <f>SUM(OSRRefH22_12x_0)</f>
        <v>0</v>
      </c>
      <c r="I89" s="2"/>
      <c r="J89" s="5">
        <f t="shared" si="21"/>
        <v>0</v>
      </c>
      <c r="K89" s="2"/>
      <c r="L89" s="2">
        <f t="shared" si="22"/>
        <v>1401.33</v>
      </c>
      <c r="M89" s="2"/>
      <c r="N89" s="5">
        <f t="shared" si="23"/>
        <v>0</v>
      </c>
      <c r="O89" s="11"/>
      <c r="P89" s="2">
        <f>SUM(OSRRefP22_12x_0)</f>
        <v>3510.43</v>
      </c>
      <c r="Q89" s="2"/>
      <c r="R89" s="5">
        <f t="shared" si="24"/>
        <v>6.5702286967685803E-4</v>
      </c>
      <c r="S89" s="2"/>
      <c r="T89" s="2">
        <f>SUM(OSRRefT22_12x_0)</f>
        <v>1750</v>
      </c>
      <c r="U89" s="2"/>
      <c r="V89" s="5">
        <f t="shared" si="25"/>
        <v>4.7336368992135673E-4</v>
      </c>
      <c r="W89" s="2"/>
      <c r="X89" s="2">
        <f t="shared" si="26"/>
        <v>1760.4299999999998</v>
      </c>
      <c r="Y89" s="2"/>
      <c r="Z89" s="5">
        <f t="shared" si="27"/>
        <v>1.00596</v>
      </c>
    </row>
    <row r="90" spans="1:26" s="70" customFormat="1" ht="15" hidden="1" customHeight="1" outlineLevel="2" x14ac:dyDescent="0.3">
      <c r="A90" s="21"/>
      <c r="B90" s="9" t="str">
        <f>CONCATENATE("          ","6336"," - ","PROFESSIONAL SERVICES")</f>
        <v xml:space="preserve">          6336 - PROFESSIONAL SERVICES</v>
      </c>
      <c r="C90" s="9"/>
      <c r="D90" s="6">
        <v>1401.33</v>
      </c>
      <c r="E90" s="3"/>
      <c r="F90" s="7">
        <f t="shared" si="20"/>
        <v>4.9612847161678731E-3</v>
      </c>
      <c r="G90" s="3"/>
      <c r="H90" s="6">
        <v>0</v>
      </c>
      <c r="I90" s="3"/>
      <c r="J90" s="7">
        <f t="shared" si="21"/>
        <v>0</v>
      </c>
      <c r="K90" s="3"/>
      <c r="L90" s="6">
        <f t="shared" si="22"/>
        <v>1401.33</v>
      </c>
      <c r="M90" s="3"/>
      <c r="N90" s="7">
        <f t="shared" si="23"/>
        <v>0</v>
      </c>
      <c r="O90" s="9"/>
      <c r="P90" s="6">
        <v>3510.43</v>
      </c>
      <c r="Q90" s="3"/>
      <c r="R90" s="7">
        <f t="shared" si="24"/>
        <v>6.5702286967685803E-4</v>
      </c>
      <c r="S90" s="3"/>
      <c r="T90" s="6">
        <v>1750</v>
      </c>
      <c r="U90" s="3"/>
      <c r="V90" s="7">
        <f t="shared" si="25"/>
        <v>4.7336368992135673E-4</v>
      </c>
      <c r="W90" s="3"/>
      <c r="X90" s="6">
        <f t="shared" si="26"/>
        <v>1760.4299999999998</v>
      </c>
      <c r="Y90" s="3"/>
      <c r="Z90" s="7">
        <f t="shared" si="27"/>
        <v>1.00596</v>
      </c>
    </row>
    <row r="91" spans="1:26" s="69" customFormat="1" ht="15" customHeight="1" outlineLevel="1" collapsed="1" x14ac:dyDescent="0.3">
      <c r="A91" s="20"/>
      <c r="B91" s="11" t="str">
        <f>CONCATENATE("     ","Rent                                              ")</f>
        <v xml:space="preserve">     Rent                                              </v>
      </c>
      <c r="C91" s="11"/>
      <c r="D91" s="2">
        <f>SUM(OSRRefD22_13x_0)</f>
        <v>6900</v>
      </c>
      <c r="E91" s="2"/>
      <c r="F91" s="5">
        <f t="shared" si="20"/>
        <v>2.4428838704343963E-2</v>
      </c>
      <c r="G91" s="2"/>
      <c r="H91" s="2">
        <f>SUM(OSRRefH22_13x_0)</f>
        <v>6900</v>
      </c>
      <c r="I91" s="2"/>
      <c r="J91" s="5">
        <f t="shared" si="21"/>
        <v>2.6881406248173818E-2</v>
      </c>
      <c r="K91" s="2"/>
      <c r="L91" s="2">
        <f t="shared" si="22"/>
        <v>0</v>
      </c>
      <c r="M91" s="2"/>
      <c r="N91" s="5">
        <f t="shared" si="23"/>
        <v>0</v>
      </c>
      <c r="O91" s="11"/>
      <c r="P91" s="2">
        <f>SUM(OSRRefP22_13x_0)</f>
        <v>82800</v>
      </c>
      <c r="Q91" s="2"/>
      <c r="R91" s="5">
        <f t="shared" si="24"/>
        <v>1.5497102522837329E-2</v>
      </c>
      <c r="S91" s="2"/>
      <c r="T91" s="2">
        <f>SUM(OSRRefT22_13x_0)</f>
        <v>82800</v>
      </c>
      <c r="U91" s="2"/>
      <c r="V91" s="5">
        <f t="shared" si="25"/>
        <v>2.2396864871707622E-2</v>
      </c>
      <c r="W91" s="2"/>
      <c r="X91" s="2">
        <f t="shared" si="26"/>
        <v>0</v>
      </c>
      <c r="Y91" s="2"/>
      <c r="Z91" s="5">
        <f t="shared" si="27"/>
        <v>0</v>
      </c>
    </row>
    <row r="92" spans="1:26" s="70" customFormat="1" ht="15" hidden="1" customHeight="1" outlineLevel="2" x14ac:dyDescent="0.3">
      <c r="A92" s="21"/>
      <c r="B92" s="9" t="str">
        <f>CONCATENATE("          ","6273"," - ","RENT")</f>
        <v xml:space="preserve">          6273 - RENT</v>
      </c>
      <c r="C92" s="9"/>
      <c r="D92" s="6">
        <v>6900</v>
      </c>
      <c r="E92" s="3"/>
      <c r="F92" s="7">
        <f t="shared" si="20"/>
        <v>2.4428838704343963E-2</v>
      </c>
      <c r="G92" s="3"/>
      <c r="H92" s="6">
        <v>6900</v>
      </c>
      <c r="I92" s="3"/>
      <c r="J92" s="7">
        <f t="shared" si="21"/>
        <v>2.6881406248173818E-2</v>
      </c>
      <c r="K92" s="3"/>
      <c r="L92" s="6">
        <f t="shared" si="22"/>
        <v>0</v>
      </c>
      <c r="M92" s="3"/>
      <c r="N92" s="7">
        <f t="shared" si="23"/>
        <v>0</v>
      </c>
      <c r="O92" s="9"/>
      <c r="P92" s="6">
        <v>82800</v>
      </c>
      <c r="Q92" s="3"/>
      <c r="R92" s="7">
        <f t="shared" si="24"/>
        <v>1.5497102522837329E-2</v>
      </c>
      <c r="S92" s="3"/>
      <c r="T92" s="6">
        <v>82800</v>
      </c>
      <c r="U92" s="3"/>
      <c r="V92" s="7">
        <f t="shared" si="25"/>
        <v>2.2396864871707622E-2</v>
      </c>
      <c r="W92" s="3"/>
      <c r="X92" s="6">
        <f t="shared" si="26"/>
        <v>0</v>
      </c>
      <c r="Y92" s="3"/>
      <c r="Z92" s="7">
        <f t="shared" si="27"/>
        <v>0</v>
      </c>
    </row>
    <row r="93" spans="1:26" s="69" customFormat="1" ht="15" customHeight="1" outlineLevel="1" collapsed="1" x14ac:dyDescent="0.3">
      <c r="A93" s="20"/>
      <c r="B93" s="11" t="str">
        <f>CONCATENATE("     ","Repair and Maintenance                            ")</f>
        <v xml:space="preserve">     Repair and Maintenance                            </v>
      </c>
      <c r="C93" s="11"/>
      <c r="D93" s="2">
        <f>SUM(OSRRefD22_14x_0)</f>
        <v>0</v>
      </c>
      <c r="E93" s="2"/>
      <c r="F93" s="5">
        <f t="shared" si="20"/>
        <v>0</v>
      </c>
      <c r="G93" s="2"/>
      <c r="H93" s="2">
        <f>SUM(OSRRefH22_14x_0)</f>
        <v>115</v>
      </c>
      <c r="I93" s="2"/>
      <c r="J93" s="5">
        <f t="shared" si="21"/>
        <v>4.4802343746956364E-4</v>
      </c>
      <c r="K93" s="2"/>
      <c r="L93" s="2">
        <f t="shared" si="22"/>
        <v>-115</v>
      </c>
      <c r="M93" s="2"/>
      <c r="N93" s="5">
        <f t="shared" si="23"/>
        <v>-1</v>
      </c>
      <c r="O93" s="11"/>
      <c r="P93" s="2">
        <f>SUM(OSRRefP22_14x_0)</f>
        <v>6435.8700000000008</v>
      </c>
      <c r="Q93" s="2"/>
      <c r="R93" s="5">
        <f t="shared" si="24"/>
        <v>1.204557212725279E-3</v>
      </c>
      <c r="S93" s="2"/>
      <c r="T93" s="2">
        <f>SUM(OSRRefT22_14x_0)</f>
        <v>1880</v>
      </c>
      <c r="U93" s="2"/>
      <c r="V93" s="5">
        <f t="shared" si="25"/>
        <v>5.0852784974408601E-4</v>
      </c>
      <c r="W93" s="2"/>
      <c r="X93" s="2">
        <f t="shared" si="26"/>
        <v>4555.8700000000008</v>
      </c>
      <c r="Y93" s="2"/>
      <c r="Z93" s="5">
        <f t="shared" si="27"/>
        <v>2.4233351063829791</v>
      </c>
    </row>
    <row r="94" spans="1:26" s="70" customFormat="1" ht="15" hidden="1" customHeight="1" outlineLevel="2" x14ac:dyDescent="0.3">
      <c r="A94" s="21"/>
      <c r="B94" s="9" t="str">
        <f>CONCATENATE("          ","6373"," - ","MAINTENANCE CONTRACTS")</f>
        <v xml:space="preserve">          6373 - MAINTENANCE CONTRACTS</v>
      </c>
      <c r="C94" s="9"/>
      <c r="D94" s="6"/>
      <c r="E94" s="3"/>
      <c r="F94" s="7">
        <f t="shared" si="20"/>
        <v>0</v>
      </c>
      <c r="G94" s="3"/>
      <c r="H94" s="6">
        <v>115</v>
      </c>
      <c r="I94" s="3"/>
      <c r="J94" s="7">
        <f t="shared" si="21"/>
        <v>4.4802343746956364E-4</v>
      </c>
      <c r="K94" s="3"/>
      <c r="L94" s="6">
        <f t="shared" si="22"/>
        <v>-115</v>
      </c>
      <c r="M94" s="3"/>
      <c r="N94" s="7">
        <f t="shared" si="23"/>
        <v>-1</v>
      </c>
      <c r="O94" s="9"/>
      <c r="P94" s="6">
        <v>1053.73</v>
      </c>
      <c r="Q94" s="3"/>
      <c r="R94" s="7">
        <f t="shared" si="24"/>
        <v>1.9721934591049976E-4</v>
      </c>
      <c r="S94" s="3"/>
      <c r="T94" s="6">
        <v>1380</v>
      </c>
      <c r="U94" s="3"/>
      <c r="V94" s="7">
        <f t="shared" si="25"/>
        <v>3.73281081195127E-4</v>
      </c>
      <c r="W94" s="3"/>
      <c r="X94" s="6">
        <f t="shared" si="26"/>
        <v>-326.27</v>
      </c>
      <c r="Y94" s="3"/>
      <c r="Z94" s="7">
        <f t="shared" si="27"/>
        <v>-0.23642753623188403</v>
      </c>
    </row>
    <row r="95" spans="1:26" s="70" customFormat="1" ht="15" hidden="1" customHeight="1" outlineLevel="2" x14ac:dyDescent="0.3">
      <c r="A95" s="21"/>
      <c r="B95" s="9" t="str">
        <f>CONCATENATE("          ","6375"," - ","OUTSIDE REPAIRS &amp; MAINTENANCE")</f>
        <v xml:space="preserve">          6375 - OUTSIDE REPAIRS &amp; MAINTENANCE</v>
      </c>
      <c r="C95" s="9"/>
      <c r="D95" s="6"/>
      <c r="E95" s="3"/>
      <c r="F95" s="7">
        <f t="shared" si="20"/>
        <v>0</v>
      </c>
      <c r="G95" s="3"/>
      <c r="H95" s="6">
        <v>0</v>
      </c>
      <c r="I95" s="3"/>
      <c r="J95" s="7">
        <f t="shared" si="21"/>
        <v>0</v>
      </c>
      <c r="K95" s="3"/>
      <c r="L95" s="6">
        <f t="shared" si="22"/>
        <v>0</v>
      </c>
      <c r="M95" s="3"/>
      <c r="N95" s="7">
        <f t="shared" si="23"/>
        <v>0</v>
      </c>
      <c r="O95" s="9"/>
      <c r="P95" s="6">
        <v>5382.14</v>
      </c>
      <c r="Q95" s="3"/>
      <c r="R95" s="7">
        <f t="shared" si="24"/>
        <v>1.0073378668147791E-3</v>
      </c>
      <c r="S95" s="3"/>
      <c r="T95" s="6">
        <v>500</v>
      </c>
      <c r="U95" s="3"/>
      <c r="V95" s="7">
        <f t="shared" si="25"/>
        <v>1.3524676854895906E-4</v>
      </c>
      <c r="W95" s="3"/>
      <c r="X95" s="6">
        <f t="shared" si="26"/>
        <v>4882.1400000000003</v>
      </c>
      <c r="Y95" s="3"/>
      <c r="Z95" s="7">
        <f t="shared" si="27"/>
        <v>9.7642800000000012</v>
      </c>
    </row>
    <row r="96" spans="1:26" s="69" customFormat="1" ht="15" customHeight="1" outlineLevel="1" collapsed="1" x14ac:dyDescent="0.3">
      <c r="A96" s="20"/>
      <c r="B96" s="11" t="str">
        <f>CONCATENATE("     ","Royalty &amp; Commissions                             ")</f>
        <v xml:space="preserve">     Royalty &amp; Commissions                             </v>
      </c>
      <c r="C96" s="11"/>
      <c r="D96" s="2">
        <f>SUM(OSRRefD22_15x_0)</f>
        <v>108</v>
      </c>
      <c r="E96" s="2"/>
      <c r="F96" s="5">
        <f t="shared" si="20"/>
        <v>3.8236443189407942E-4</v>
      </c>
      <c r="G96" s="2"/>
      <c r="H96" s="2">
        <f>SUM(OSRRefH22_15x_0)</f>
        <v>3322</v>
      </c>
      <c r="I96" s="2"/>
      <c r="J96" s="5">
        <f t="shared" si="21"/>
        <v>1.2942033558903394E-2</v>
      </c>
      <c r="K96" s="2"/>
      <c r="L96" s="2">
        <f t="shared" si="22"/>
        <v>-3214</v>
      </c>
      <c r="M96" s="2"/>
      <c r="N96" s="5">
        <f t="shared" si="23"/>
        <v>-0.96748946417820592</v>
      </c>
      <c r="O96" s="11"/>
      <c r="P96" s="2">
        <f>SUM(OSRRefP22_15x_0)</f>
        <v>72264.009999999995</v>
      </c>
      <c r="Q96" s="2"/>
      <c r="R96" s="5">
        <f t="shared" si="24"/>
        <v>1.3525154247359202E-2</v>
      </c>
      <c r="S96" s="2"/>
      <c r="T96" s="2">
        <f>SUM(OSRRefT22_15x_0)</f>
        <v>62010</v>
      </c>
      <c r="U96" s="2"/>
      <c r="V96" s="5">
        <f t="shared" si="25"/>
        <v>1.6773304235441901E-2</v>
      </c>
      <c r="W96" s="2"/>
      <c r="X96" s="2">
        <f t="shared" si="26"/>
        <v>10254.009999999995</v>
      </c>
      <c r="Y96" s="2"/>
      <c r="Z96" s="5">
        <f t="shared" si="27"/>
        <v>0.16536058700209635</v>
      </c>
    </row>
    <row r="97" spans="1:26" s="70" customFormat="1" ht="15" hidden="1" customHeight="1" outlineLevel="2" x14ac:dyDescent="0.3">
      <c r="A97" s="21"/>
      <c r="B97" s="9" t="str">
        <f>CONCATENATE("          ","6252"," - ","ROYALTY DUE CSTV")</f>
        <v xml:space="preserve">          6252 - ROYALTY DUE CSTV</v>
      </c>
      <c r="C97" s="9"/>
      <c r="D97" s="6"/>
      <c r="E97" s="3"/>
      <c r="F97" s="7">
        <f t="shared" si="20"/>
        <v>0</v>
      </c>
      <c r="G97" s="3"/>
      <c r="H97" s="6">
        <v>3322</v>
      </c>
      <c r="I97" s="3"/>
      <c r="J97" s="7">
        <f t="shared" si="21"/>
        <v>1.2942033558903394E-2</v>
      </c>
      <c r="K97" s="3"/>
      <c r="L97" s="6">
        <f t="shared" si="22"/>
        <v>-3322</v>
      </c>
      <c r="M97" s="3"/>
      <c r="N97" s="7">
        <f t="shared" si="23"/>
        <v>-1</v>
      </c>
      <c r="O97" s="9"/>
      <c r="P97" s="6"/>
      <c r="Q97" s="3"/>
      <c r="R97" s="7">
        <f t="shared" si="24"/>
        <v>0</v>
      </c>
      <c r="S97" s="3"/>
      <c r="T97" s="6">
        <v>19008</v>
      </c>
      <c r="U97" s="3"/>
      <c r="V97" s="7">
        <f t="shared" si="25"/>
        <v>5.1415411531572277E-3</v>
      </c>
      <c r="W97" s="3"/>
      <c r="X97" s="6">
        <f t="shared" si="26"/>
        <v>-19008</v>
      </c>
      <c r="Y97" s="3"/>
      <c r="Z97" s="7">
        <f t="shared" si="27"/>
        <v>-1</v>
      </c>
    </row>
    <row r="98" spans="1:26" s="70" customFormat="1" ht="15" hidden="1" customHeight="1" outlineLevel="2" x14ac:dyDescent="0.3">
      <c r="A98" s="21"/>
      <c r="B98" s="9" t="str">
        <f>CONCATENATE("          ","6253"," - ","ROYALTY DUE ATHLETICS-LRG")</f>
        <v xml:space="preserve">          6253 - ROYALTY DUE ATHLETICS-LRG</v>
      </c>
      <c r="C98" s="9"/>
      <c r="D98" s="6"/>
      <c r="E98" s="3"/>
      <c r="F98" s="7">
        <f t="shared" si="20"/>
        <v>0</v>
      </c>
      <c r="G98" s="3"/>
      <c r="H98" s="6">
        <v>0</v>
      </c>
      <c r="I98" s="3"/>
      <c r="J98" s="7">
        <f t="shared" si="21"/>
        <v>0</v>
      </c>
      <c r="K98" s="3"/>
      <c r="L98" s="6">
        <f t="shared" si="22"/>
        <v>0</v>
      </c>
      <c r="M98" s="3"/>
      <c r="N98" s="7">
        <f t="shared" si="23"/>
        <v>0</v>
      </c>
      <c r="O98" s="9"/>
      <c r="P98" s="6">
        <v>51456.52</v>
      </c>
      <c r="Q98" s="3"/>
      <c r="R98" s="7">
        <f t="shared" si="24"/>
        <v>9.6307604578312733E-3</v>
      </c>
      <c r="S98" s="3"/>
      <c r="T98" s="6">
        <v>38502</v>
      </c>
      <c r="U98" s="3"/>
      <c r="V98" s="7">
        <f t="shared" si="25"/>
        <v>1.0414542165344043E-2</v>
      </c>
      <c r="W98" s="3"/>
      <c r="X98" s="6">
        <f t="shared" si="26"/>
        <v>12954.519999999997</v>
      </c>
      <c r="Y98" s="3"/>
      <c r="Z98" s="7">
        <f t="shared" si="27"/>
        <v>0.33646356033452801</v>
      </c>
    </row>
    <row r="99" spans="1:26" s="70" customFormat="1" ht="15" hidden="1" customHeight="1" outlineLevel="2" x14ac:dyDescent="0.3">
      <c r="A99" s="21"/>
      <c r="B99" s="9" t="str">
        <f>CONCATENATE("          ","6254"," - ","ROYALTY &amp; COMMISSIONS")</f>
        <v xml:space="preserve">          6254 - ROYALTY &amp; COMMISSIONS</v>
      </c>
      <c r="C99" s="9"/>
      <c r="D99" s="6">
        <v>108</v>
      </c>
      <c r="E99" s="3"/>
      <c r="F99" s="7">
        <f t="shared" si="20"/>
        <v>3.8236443189407942E-4</v>
      </c>
      <c r="G99" s="3"/>
      <c r="H99" s="6">
        <v>0</v>
      </c>
      <c r="I99" s="3"/>
      <c r="J99" s="7">
        <f t="shared" si="21"/>
        <v>0</v>
      </c>
      <c r="K99" s="3"/>
      <c r="L99" s="6">
        <f t="shared" si="22"/>
        <v>108</v>
      </c>
      <c r="M99" s="3"/>
      <c r="N99" s="7">
        <f t="shared" si="23"/>
        <v>0</v>
      </c>
      <c r="O99" s="9"/>
      <c r="P99" s="6">
        <v>20807.490000000002</v>
      </c>
      <c r="Q99" s="3"/>
      <c r="R99" s="7">
        <f t="shared" si="24"/>
        <v>3.894393789527929E-3</v>
      </c>
      <c r="S99" s="3"/>
      <c r="T99" s="6">
        <v>4500</v>
      </c>
      <c r="U99" s="3"/>
      <c r="V99" s="7">
        <f t="shared" si="25"/>
        <v>1.2172209169406315E-3</v>
      </c>
      <c r="W99" s="3"/>
      <c r="X99" s="6">
        <f t="shared" si="26"/>
        <v>16307.490000000002</v>
      </c>
      <c r="Y99" s="3"/>
      <c r="Z99" s="7">
        <f t="shared" si="27"/>
        <v>3.6238866666666669</v>
      </c>
    </row>
    <row r="100" spans="1:26" s="69" customFormat="1" ht="15" customHeight="1" outlineLevel="1" collapsed="1" x14ac:dyDescent="0.3">
      <c r="A100" s="20"/>
      <c r="B100" s="11" t="str">
        <f>CONCATENATE("     ","Services                                          ")</f>
        <v xml:space="preserve">     Services                                          </v>
      </c>
      <c r="C100" s="11"/>
      <c r="D100" s="2">
        <f>SUM(OSRRefD22_16x_0)</f>
        <v>1667.5900000000001</v>
      </c>
      <c r="E100" s="2"/>
      <c r="F100" s="5">
        <f t="shared" si="20"/>
        <v>5.9039546572430364E-3</v>
      </c>
      <c r="G100" s="2"/>
      <c r="H100" s="2">
        <f>SUM(OSRRefH22_16x_0)</f>
        <v>120</v>
      </c>
      <c r="I100" s="2"/>
      <c r="J100" s="5">
        <f t="shared" si="21"/>
        <v>4.6750271735954466E-4</v>
      </c>
      <c r="K100" s="2"/>
      <c r="L100" s="2">
        <f t="shared" si="22"/>
        <v>1547.5900000000001</v>
      </c>
      <c r="M100" s="2"/>
      <c r="N100" s="5">
        <f t="shared" si="23"/>
        <v>12.896583333333334</v>
      </c>
      <c r="O100" s="11"/>
      <c r="P100" s="2">
        <f>SUM(OSRRefP22_16x_0)</f>
        <v>8178.6</v>
      </c>
      <c r="Q100" s="2"/>
      <c r="R100" s="5">
        <f t="shared" si="24"/>
        <v>1.5307319165854757E-3</v>
      </c>
      <c r="S100" s="2"/>
      <c r="T100" s="2">
        <f>SUM(OSRRefT22_16x_0)</f>
        <v>960</v>
      </c>
      <c r="U100" s="2"/>
      <c r="V100" s="5">
        <f t="shared" si="25"/>
        <v>2.5967379561400142E-4</v>
      </c>
      <c r="W100" s="2"/>
      <c r="X100" s="2">
        <f t="shared" si="26"/>
        <v>7218.6</v>
      </c>
      <c r="Y100" s="2"/>
      <c r="Z100" s="5">
        <f t="shared" si="27"/>
        <v>7.5193750000000001</v>
      </c>
    </row>
    <row r="101" spans="1:26" s="70" customFormat="1" ht="15" hidden="1" customHeight="1" outlineLevel="2" x14ac:dyDescent="0.3">
      <c r="A101" s="21"/>
      <c r="B101" s="9" t="str">
        <f>CONCATENATE("          ","6282"," - ","JANITORIAL/EXTERMINATOR EXPENS")</f>
        <v xml:space="preserve">          6282 - JANITORIAL/EXTERMINATOR EXPENS</v>
      </c>
      <c r="C101" s="9"/>
      <c r="D101" s="6">
        <v>69</v>
      </c>
      <c r="E101" s="3"/>
      <c r="F101" s="7">
        <f t="shared" si="20"/>
        <v>2.4428838704343962E-4</v>
      </c>
      <c r="G101" s="3"/>
      <c r="H101" s="6"/>
      <c r="I101" s="3"/>
      <c r="J101" s="7">
        <f t="shared" si="21"/>
        <v>0</v>
      </c>
      <c r="K101" s="3"/>
      <c r="L101" s="6">
        <f t="shared" si="22"/>
        <v>69</v>
      </c>
      <c r="M101" s="3"/>
      <c r="N101" s="7">
        <f t="shared" si="23"/>
        <v>0</v>
      </c>
      <c r="O101" s="9"/>
      <c r="P101" s="6">
        <v>1043.5999999999999</v>
      </c>
      <c r="Q101" s="3"/>
      <c r="R101" s="7">
        <f t="shared" si="24"/>
        <v>1.9532338397141349E-4</v>
      </c>
      <c r="S101" s="3"/>
      <c r="T101" s="6"/>
      <c r="U101" s="3"/>
      <c r="V101" s="7">
        <f t="shared" si="25"/>
        <v>0</v>
      </c>
      <c r="W101" s="3"/>
      <c r="X101" s="6">
        <f t="shared" si="26"/>
        <v>1043.5999999999999</v>
      </c>
      <c r="Y101" s="3"/>
      <c r="Z101" s="7">
        <f t="shared" si="27"/>
        <v>0</v>
      </c>
    </row>
    <row r="102" spans="1:26" s="70" customFormat="1" ht="15" hidden="1" customHeight="1" outlineLevel="2" x14ac:dyDescent="0.3">
      <c r="A102" s="21"/>
      <c r="B102" s="9" t="str">
        <f>CONCATENATE("          ","6284"," - ","TRASH REMOVAL EXPENSE")</f>
        <v xml:space="preserve">          6284 - TRASH REMOVAL EXPENSE</v>
      </c>
      <c r="C102" s="9"/>
      <c r="D102" s="6">
        <v>149.69999999999999</v>
      </c>
      <c r="E102" s="3"/>
      <c r="F102" s="7">
        <f t="shared" si="20"/>
        <v>5.2999958754207117E-4</v>
      </c>
      <c r="G102" s="3"/>
      <c r="H102" s="6">
        <v>120</v>
      </c>
      <c r="I102" s="3"/>
      <c r="J102" s="7">
        <f t="shared" si="21"/>
        <v>4.6750271735954466E-4</v>
      </c>
      <c r="K102" s="3"/>
      <c r="L102" s="6">
        <f t="shared" si="22"/>
        <v>29.699999999999989</v>
      </c>
      <c r="M102" s="3"/>
      <c r="N102" s="7">
        <f t="shared" si="23"/>
        <v>0.24749999999999991</v>
      </c>
      <c r="O102" s="9"/>
      <c r="P102" s="6">
        <v>1639.57</v>
      </c>
      <c r="Q102" s="3"/>
      <c r="R102" s="7">
        <f t="shared" si="24"/>
        <v>3.0686696115179226E-4</v>
      </c>
      <c r="S102" s="3"/>
      <c r="T102" s="6">
        <v>960</v>
      </c>
      <c r="U102" s="3"/>
      <c r="V102" s="7">
        <f t="shared" si="25"/>
        <v>2.5967379561400142E-4</v>
      </c>
      <c r="W102" s="3"/>
      <c r="X102" s="6">
        <f t="shared" si="26"/>
        <v>679.56999999999994</v>
      </c>
      <c r="Y102" s="3"/>
      <c r="Z102" s="7">
        <f t="shared" si="27"/>
        <v>0.7078854166666666</v>
      </c>
    </row>
    <row r="103" spans="1:26" s="70" customFormat="1" ht="15" hidden="1" customHeight="1" outlineLevel="2" x14ac:dyDescent="0.3">
      <c r="A103" s="21"/>
      <c r="B103" s="9" t="str">
        <f>CONCATENATE("          ","6285"," - ","JANITORIAL SERVICES")</f>
        <v xml:space="preserve">          6285 - JANITORIAL SERVICES</v>
      </c>
      <c r="C103" s="9"/>
      <c r="D103" s="6">
        <v>1448.89</v>
      </c>
      <c r="E103" s="3"/>
      <c r="F103" s="7">
        <f t="shared" si="20"/>
        <v>5.1296666826575257E-3</v>
      </c>
      <c r="G103" s="3"/>
      <c r="H103" s="6"/>
      <c r="I103" s="3"/>
      <c r="J103" s="7">
        <f t="shared" si="21"/>
        <v>0</v>
      </c>
      <c r="K103" s="3"/>
      <c r="L103" s="6">
        <f t="shared" si="22"/>
        <v>1448.89</v>
      </c>
      <c r="M103" s="3"/>
      <c r="N103" s="7">
        <f t="shared" si="23"/>
        <v>0</v>
      </c>
      <c r="O103" s="9"/>
      <c r="P103" s="6">
        <v>5495.43</v>
      </c>
      <c r="Q103" s="3"/>
      <c r="R103" s="7">
        <f t="shared" si="24"/>
        <v>1.0285415714622699E-3</v>
      </c>
      <c r="S103" s="3"/>
      <c r="T103" s="6"/>
      <c r="U103" s="3"/>
      <c r="V103" s="7">
        <f t="shared" si="25"/>
        <v>0</v>
      </c>
      <c r="W103" s="3"/>
      <c r="X103" s="6">
        <f t="shared" si="26"/>
        <v>5495.43</v>
      </c>
      <c r="Y103" s="3"/>
      <c r="Z103" s="7">
        <f t="shared" si="27"/>
        <v>0</v>
      </c>
    </row>
    <row r="104" spans="1:26" s="69" customFormat="1" ht="15" customHeight="1" outlineLevel="1" collapsed="1" x14ac:dyDescent="0.3">
      <c r="A104" s="20"/>
      <c r="B104" s="11" t="str">
        <f>CONCATENATE("     ","Subscriptions &amp; Dues                              ")</f>
        <v xml:space="preserve">     Subscriptions &amp; Dues                              </v>
      </c>
      <c r="C104" s="11"/>
      <c r="D104" s="2">
        <f>SUM(OSRRefD22_17x_0)</f>
        <v>0</v>
      </c>
      <c r="E104" s="2"/>
      <c r="F104" s="5">
        <f t="shared" si="20"/>
        <v>0</v>
      </c>
      <c r="G104" s="2"/>
      <c r="H104" s="2">
        <f>SUM(OSRRefH22_17x_0)</f>
        <v>361</v>
      </c>
      <c r="I104" s="2"/>
      <c r="J104" s="5">
        <f t="shared" si="21"/>
        <v>1.4064040080566302E-3</v>
      </c>
      <c r="K104" s="2"/>
      <c r="L104" s="2">
        <f t="shared" si="22"/>
        <v>-361</v>
      </c>
      <c r="M104" s="2"/>
      <c r="N104" s="5">
        <f t="shared" si="23"/>
        <v>-1</v>
      </c>
      <c r="O104" s="11"/>
      <c r="P104" s="2">
        <f>SUM(OSRRefP22_17x_0)</f>
        <v>170.27</v>
      </c>
      <c r="Q104" s="2"/>
      <c r="R104" s="5">
        <f t="shared" si="24"/>
        <v>3.1868256601008603E-5</v>
      </c>
      <c r="S104" s="2"/>
      <c r="T104" s="2">
        <f>SUM(OSRRefT22_17x_0)</f>
        <v>3047</v>
      </c>
      <c r="U104" s="2"/>
      <c r="V104" s="5">
        <f t="shared" si="25"/>
        <v>8.2419380753735651E-4</v>
      </c>
      <c r="W104" s="2"/>
      <c r="X104" s="2">
        <f t="shared" si="26"/>
        <v>-2876.73</v>
      </c>
      <c r="Y104" s="2"/>
      <c r="Z104" s="5">
        <f t="shared" si="27"/>
        <v>-0.94411880538234327</v>
      </c>
    </row>
    <row r="105" spans="1:26" s="70" customFormat="1" ht="15" hidden="1" customHeight="1" outlineLevel="2" x14ac:dyDescent="0.3">
      <c r="A105" s="21"/>
      <c r="B105" s="9" t="str">
        <f>CONCATENATE("          ","6258"," - ","MEMBERSHIP DUES")</f>
        <v xml:space="preserve">          6258 - MEMBERSHIP DUES</v>
      </c>
      <c r="C105" s="9"/>
      <c r="D105" s="6"/>
      <c r="E105" s="3"/>
      <c r="F105" s="7">
        <f t="shared" si="20"/>
        <v>0</v>
      </c>
      <c r="G105" s="3"/>
      <c r="H105" s="6">
        <v>200</v>
      </c>
      <c r="I105" s="3"/>
      <c r="J105" s="7">
        <f t="shared" si="21"/>
        <v>7.7917119559924107E-4</v>
      </c>
      <c r="K105" s="3"/>
      <c r="L105" s="6">
        <f t="shared" si="22"/>
        <v>-200</v>
      </c>
      <c r="M105" s="3"/>
      <c r="N105" s="7">
        <f t="shared" si="23"/>
        <v>-1</v>
      </c>
      <c r="O105" s="9"/>
      <c r="P105" s="6">
        <v>170.27</v>
      </c>
      <c r="Q105" s="3"/>
      <c r="R105" s="7">
        <f t="shared" si="24"/>
        <v>3.1868256601008603E-5</v>
      </c>
      <c r="S105" s="3"/>
      <c r="T105" s="6">
        <v>1595</v>
      </c>
      <c r="U105" s="3"/>
      <c r="V105" s="7">
        <f t="shared" si="25"/>
        <v>4.3143719167117943E-4</v>
      </c>
      <c r="W105" s="3"/>
      <c r="X105" s="6">
        <f t="shared" si="26"/>
        <v>-1424.73</v>
      </c>
      <c r="Y105" s="3"/>
      <c r="Z105" s="7">
        <f t="shared" si="27"/>
        <v>-0.89324764890282138</v>
      </c>
    </row>
    <row r="106" spans="1:26" s="70" customFormat="1" ht="15" hidden="1" customHeight="1" outlineLevel="2" x14ac:dyDescent="0.3">
      <c r="A106" s="21"/>
      <c r="B106" s="9" t="str">
        <f>CONCATENATE("          ","6275"," - ","SUBSCRIPTIONS")</f>
        <v xml:space="preserve">          6275 - SUBSCRIPTIONS</v>
      </c>
      <c r="C106" s="9"/>
      <c r="D106" s="6"/>
      <c r="E106" s="3"/>
      <c r="F106" s="7">
        <f t="shared" si="20"/>
        <v>0</v>
      </c>
      <c r="G106" s="3"/>
      <c r="H106" s="6">
        <v>161</v>
      </c>
      <c r="I106" s="3"/>
      <c r="J106" s="7">
        <f t="shared" si="21"/>
        <v>6.2723281245738905E-4</v>
      </c>
      <c r="K106" s="3"/>
      <c r="L106" s="6">
        <f t="shared" si="22"/>
        <v>-161</v>
      </c>
      <c r="M106" s="3"/>
      <c r="N106" s="7">
        <f t="shared" si="23"/>
        <v>-1</v>
      </c>
      <c r="O106" s="9"/>
      <c r="P106" s="6"/>
      <c r="Q106" s="3"/>
      <c r="R106" s="7">
        <f t="shared" si="24"/>
        <v>0</v>
      </c>
      <c r="S106" s="3"/>
      <c r="T106" s="6">
        <v>1452</v>
      </c>
      <c r="U106" s="3"/>
      <c r="V106" s="7">
        <f t="shared" si="25"/>
        <v>3.9275661586617709E-4</v>
      </c>
      <c r="W106" s="3"/>
      <c r="X106" s="6">
        <f t="shared" si="26"/>
        <v>-1452</v>
      </c>
      <c r="Y106" s="3"/>
      <c r="Z106" s="7">
        <f t="shared" si="27"/>
        <v>-1</v>
      </c>
    </row>
    <row r="107" spans="1:26" s="69" customFormat="1" ht="15" customHeight="1" outlineLevel="1" collapsed="1" x14ac:dyDescent="0.3">
      <c r="A107" s="20"/>
      <c r="B107" s="11" t="str">
        <f>CONCATENATE("     ","Supplies                                          ")</f>
        <v xml:space="preserve">     Supplies                                          </v>
      </c>
      <c r="C107" s="11"/>
      <c r="D107" s="2">
        <f>SUM(OSRRefD22_18x_0)</f>
        <v>1780.98</v>
      </c>
      <c r="E107" s="2"/>
      <c r="F107" s="5">
        <f t="shared" si="20"/>
        <v>6.3054019066177552E-3</v>
      </c>
      <c r="G107" s="2"/>
      <c r="H107" s="2">
        <f>SUM(OSRRefH22_18x_0)</f>
        <v>180</v>
      </c>
      <c r="I107" s="2"/>
      <c r="J107" s="5">
        <f t="shared" si="21"/>
        <v>7.0125407603931699E-4</v>
      </c>
      <c r="K107" s="2"/>
      <c r="L107" s="2">
        <f t="shared" si="22"/>
        <v>1600.98</v>
      </c>
      <c r="M107" s="2"/>
      <c r="N107" s="5">
        <f t="shared" si="23"/>
        <v>8.8943333333333339</v>
      </c>
      <c r="O107" s="11"/>
      <c r="P107" s="2">
        <f>SUM(OSRRefP22_18x_0)</f>
        <v>17030.97</v>
      </c>
      <c r="Q107" s="2"/>
      <c r="R107" s="5">
        <f t="shared" si="24"/>
        <v>3.1875686975044314E-3</v>
      </c>
      <c r="S107" s="2"/>
      <c r="T107" s="2">
        <f>SUM(OSRRefT22_18x_0)</f>
        <v>2280</v>
      </c>
      <c r="U107" s="2"/>
      <c r="V107" s="5">
        <f t="shared" si="25"/>
        <v>6.1672526458325335E-4</v>
      </c>
      <c r="W107" s="2"/>
      <c r="X107" s="2">
        <f t="shared" si="26"/>
        <v>14750.970000000001</v>
      </c>
      <c r="Y107" s="2"/>
      <c r="Z107" s="5">
        <f t="shared" si="27"/>
        <v>6.4697236842105266</v>
      </c>
    </row>
    <row r="108" spans="1:26" s="70" customFormat="1" ht="15" hidden="1" customHeight="1" outlineLevel="2" x14ac:dyDescent="0.3">
      <c r="A108" s="21"/>
      <c r="B108" s="9" t="str">
        <f>CONCATENATE("          ","6234"," - ","EXPENDABLE SUPPLIES &amp; EQUIPMEN")</f>
        <v xml:space="preserve">          6234 - EXPENDABLE SUPPLIES &amp; EQUIPMEN</v>
      </c>
      <c r="C108" s="9"/>
      <c r="D108" s="6"/>
      <c r="E108" s="3"/>
      <c r="F108" s="7">
        <f t="shared" ref="F108:F122" si="28">IF(D$12=0,0,D108/D$12)</f>
        <v>0</v>
      </c>
      <c r="G108" s="3"/>
      <c r="H108" s="6"/>
      <c r="I108" s="3"/>
      <c r="J108" s="7">
        <f t="shared" ref="J108:J122" si="29">IF(H$12=0,0,H108/H$12)</f>
        <v>0</v>
      </c>
      <c r="K108" s="3"/>
      <c r="L108" s="6">
        <f t="shared" ref="L108:L122" si="30">+D108-H108</f>
        <v>0</v>
      </c>
      <c r="M108" s="3"/>
      <c r="N108" s="7">
        <f t="shared" ref="N108:N122" si="31">IF(H108=0,0,L108/H108)</f>
        <v>0</v>
      </c>
      <c r="O108" s="9"/>
      <c r="P108" s="6">
        <v>1393.55</v>
      </c>
      <c r="Q108" s="3"/>
      <c r="R108" s="7">
        <f t="shared" ref="R108:R122" si="32">IF(P$12=0,0,P108/P$12)</f>
        <v>2.6082110169927487E-4</v>
      </c>
      <c r="S108" s="3"/>
      <c r="T108" s="6"/>
      <c r="U108" s="3"/>
      <c r="V108" s="7">
        <f t="shared" ref="V108:V122" si="33">IF(T$12=0,0,T108/T$12)</f>
        <v>0</v>
      </c>
      <c r="W108" s="3"/>
      <c r="X108" s="6">
        <f t="shared" ref="X108:X122" si="34">+P108-T108</f>
        <v>1393.55</v>
      </c>
      <c r="Y108" s="3"/>
      <c r="Z108" s="7">
        <f t="shared" ref="Z108:Z122" si="35">IF(T108=0,0,X108/T108)</f>
        <v>0</v>
      </c>
    </row>
    <row r="109" spans="1:26" s="70" customFormat="1" ht="15" hidden="1" customHeight="1" outlineLevel="2" x14ac:dyDescent="0.3">
      <c r="A109" s="21"/>
      <c r="B109" s="9" t="str">
        <f>CONCATENATE("          ","6235"," - ","COVID-19 EXPENSES")</f>
        <v xml:space="preserve">          6235 - COVID-19 EXPENSES</v>
      </c>
      <c r="C109" s="9"/>
      <c r="D109" s="6"/>
      <c r="E109" s="3"/>
      <c r="F109" s="7">
        <f t="shared" si="28"/>
        <v>0</v>
      </c>
      <c r="G109" s="3"/>
      <c r="H109" s="6">
        <v>25</v>
      </c>
      <c r="I109" s="3"/>
      <c r="J109" s="7">
        <f t="shared" si="29"/>
        <v>9.7396399449905133E-5</v>
      </c>
      <c r="K109" s="3"/>
      <c r="L109" s="6">
        <f t="shared" si="30"/>
        <v>-25</v>
      </c>
      <c r="M109" s="3"/>
      <c r="N109" s="7">
        <f t="shared" si="31"/>
        <v>-1</v>
      </c>
      <c r="O109" s="9"/>
      <c r="P109" s="6"/>
      <c r="Q109" s="3"/>
      <c r="R109" s="7">
        <f t="shared" si="32"/>
        <v>0</v>
      </c>
      <c r="S109" s="3"/>
      <c r="T109" s="6">
        <v>300</v>
      </c>
      <c r="U109" s="3"/>
      <c r="V109" s="7">
        <f t="shared" si="33"/>
        <v>8.1148061129375436E-5</v>
      </c>
      <c r="W109" s="3"/>
      <c r="X109" s="6">
        <f t="shared" si="34"/>
        <v>-300</v>
      </c>
      <c r="Y109" s="3"/>
      <c r="Z109" s="7">
        <f t="shared" si="35"/>
        <v>-1</v>
      </c>
    </row>
    <row r="110" spans="1:26" s="70" customFormat="1" ht="15" hidden="1" customHeight="1" outlineLevel="2" x14ac:dyDescent="0.3">
      <c r="A110" s="21"/>
      <c r="B110" s="9" t="str">
        <f>CONCATENATE("          ","6237"," - ","JANITORIAL SUPPLIES")</f>
        <v xml:space="preserve">          6237 - JANITORIAL SUPPLIES</v>
      </c>
      <c r="C110" s="9"/>
      <c r="D110" s="6"/>
      <c r="E110" s="3"/>
      <c r="F110" s="7">
        <f t="shared" si="28"/>
        <v>0</v>
      </c>
      <c r="G110" s="3"/>
      <c r="H110" s="6">
        <v>10</v>
      </c>
      <c r="I110" s="3"/>
      <c r="J110" s="7">
        <f t="shared" si="29"/>
        <v>3.8958559779962057E-5</v>
      </c>
      <c r="K110" s="3"/>
      <c r="L110" s="6">
        <f t="shared" si="30"/>
        <v>-10</v>
      </c>
      <c r="M110" s="3"/>
      <c r="N110" s="7">
        <f t="shared" si="31"/>
        <v>-1</v>
      </c>
      <c r="O110" s="9"/>
      <c r="P110" s="6">
        <v>852.79</v>
      </c>
      <c r="Q110" s="3"/>
      <c r="R110" s="7">
        <f t="shared" si="32"/>
        <v>1.5961079783152713E-4</v>
      </c>
      <c r="S110" s="3"/>
      <c r="T110" s="6">
        <v>240</v>
      </c>
      <c r="U110" s="3"/>
      <c r="V110" s="7">
        <f t="shared" si="33"/>
        <v>6.4918448903500354E-5</v>
      </c>
      <c r="W110" s="3"/>
      <c r="X110" s="6">
        <f t="shared" si="34"/>
        <v>612.79</v>
      </c>
      <c r="Y110" s="3"/>
      <c r="Z110" s="7">
        <f t="shared" si="35"/>
        <v>2.5532916666666665</v>
      </c>
    </row>
    <row r="111" spans="1:26" s="70" customFormat="1" ht="15" hidden="1" customHeight="1" outlineLevel="2" x14ac:dyDescent="0.3">
      <c r="A111" s="21"/>
      <c r="B111" s="9" t="str">
        <f>CONCATENATE("          ","6241"," - ","OFFICE EXPENSE")</f>
        <v xml:space="preserve">          6241 - OFFICE EXPENSE</v>
      </c>
      <c r="C111" s="9"/>
      <c r="D111" s="6">
        <v>629.23</v>
      </c>
      <c r="E111" s="3"/>
      <c r="F111" s="7">
        <f t="shared" si="28"/>
        <v>2.2277330692658482E-3</v>
      </c>
      <c r="G111" s="3"/>
      <c r="H111" s="6">
        <v>70</v>
      </c>
      <c r="I111" s="3"/>
      <c r="J111" s="7">
        <f t="shared" si="29"/>
        <v>2.7270991845973437E-4</v>
      </c>
      <c r="K111" s="3"/>
      <c r="L111" s="6">
        <f t="shared" si="30"/>
        <v>559.23</v>
      </c>
      <c r="M111" s="3"/>
      <c r="N111" s="7">
        <f t="shared" si="31"/>
        <v>7.9889999999999999</v>
      </c>
      <c r="O111" s="9"/>
      <c r="P111" s="6">
        <v>3423.29</v>
      </c>
      <c r="Q111" s="3"/>
      <c r="R111" s="7">
        <f t="shared" si="32"/>
        <v>6.4071347941308942E-4</v>
      </c>
      <c r="S111" s="3"/>
      <c r="T111" s="6">
        <v>840</v>
      </c>
      <c r="U111" s="3"/>
      <c r="V111" s="7">
        <f t="shared" si="33"/>
        <v>2.2721457116225123E-4</v>
      </c>
      <c r="W111" s="3"/>
      <c r="X111" s="6">
        <f t="shared" si="34"/>
        <v>2583.29</v>
      </c>
      <c r="Y111" s="3"/>
      <c r="Z111" s="7">
        <f t="shared" si="35"/>
        <v>3.0753452380952382</v>
      </c>
    </row>
    <row r="112" spans="1:26" s="70" customFormat="1" ht="15" hidden="1" customHeight="1" outlineLevel="2" x14ac:dyDescent="0.3">
      <c r="A112" s="21"/>
      <c r="B112" s="9" t="str">
        <f>CONCATENATE("          ","6245"," - ","PRINTING")</f>
        <v xml:space="preserve">          6245 - PRINTING</v>
      </c>
      <c r="C112" s="9"/>
      <c r="D112" s="6"/>
      <c r="E112" s="3"/>
      <c r="F112" s="7">
        <f t="shared" si="28"/>
        <v>0</v>
      </c>
      <c r="G112" s="3"/>
      <c r="H112" s="6"/>
      <c r="I112" s="3"/>
      <c r="J112" s="7">
        <f t="shared" si="29"/>
        <v>0</v>
      </c>
      <c r="K112" s="3"/>
      <c r="L112" s="6">
        <f t="shared" si="30"/>
        <v>0</v>
      </c>
      <c r="M112" s="3"/>
      <c r="N112" s="7">
        <f t="shared" si="31"/>
        <v>0</v>
      </c>
      <c r="O112" s="9"/>
      <c r="P112" s="6">
        <v>35.549999999999997</v>
      </c>
      <c r="Q112" s="3"/>
      <c r="R112" s="7">
        <f t="shared" si="32"/>
        <v>6.6536472788268963E-6</v>
      </c>
      <c r="S112" s="3"/>
      <c r="T112" s="6"/>
      <c r="U112" s="3"/>
      <c r="V112" s="7">
        <f t="shared" si="33"/>
        <v>0</v>
      </c>
      <c r="W112" s="3"/>
      <c r="X112" s="6">
        <f t="shared" si="34"/>
        <v>35.549999999999997</v>
      </c>
      <c r="Y112" s="3"/>
      <c r="Z112" s="7">
        <f t="shared" si="35"/>
        <v>0</v>
      </c>
    </row>
    <row r="113" spans="1:26" s="70" customFormat="1" ht="15" hidden="1" customHeight="1" outlineLevel="2" x14ac:dyDescent="0.3">
      <c r="A113" s="21"/>
      <c r="B113" s="9" t="str">
        <f>CONCATENATE("          ","6247"," - ","STORE SUPPLIES")</f>
        <v xml:space="preserve">          6247 - STORE SUPPLIES</v>
      </c>
      <c r="C113" s="9"/>
      <c r="D113" s="6">
        <v>1151.75</v>
      </c>
      <c r="E113" s="3"/>
      <c r="F113" s="7">
        <f t="shared" si="28"/>
        <v>4.077668837351907E-3</v>
      </c>
      <c r="G113" s="3"/>
      <c r="H113" s="6">
        <v>75</v>
      </c>
      <c r="I113" s="3"/>
      <c r="J113" s="7">
        <f t="shared" si="29"/>
        <v>2.9218919834971539E-4</v>
      </c>
      <c r="K113" s="3"/>
      <c r="L113" s="6">
        <f t="shared" si="30"/>
        <v>1076.75</v>
      </c>
      <c r="M113" s="3"/>
      <c r="N113" s="7">
        <f t="shared" si="31"/>
        <v>14.356666666666667</v>
      </c>
      <c r="O113" s="9"/>
      <c r="P113" s="6">
        <v>11325.79</v>
      </c>
      <c r="Q113" s="3"/>
      <c r="R113" s="7">
        <f t="shared" si="32"/>
        <v>2.1197696712817126E-3</v>
      </c>
      <c r="S113" s="3"/>
      <c r="T113" s="6">
        <v>900</v>
      </c>
      <c r="U113" s="3"/>
      <c r="V113" s="7">
        <f t="shared" si="33"/>
        <v>2.4344418338812629E-4</v>
      </c>
      <c r="W113" s="3"/>
      <c r="X113" s="6">
        <f t="shared" si="34"/>
        <v>10425.790000000001</v>
      </c>
      <c r="Y113" s="3"/>
      <c r="Z113" s="7">
        <f t="shared" si="35"/>
        <v>11.584211111111111</v>
      </c>
    </row>
    <row r="114" spans="1:26" s="69" customFormat="1" ht="15" customHeight="1" outlineLevel="1" collapsed="1" x14ac:dyDescent="0.3">
      <c r="A114" s="20"/>
      <c r="B114" s="11" t="str">
        <f>CONCATENATE("     ","Telephone/Data Lines                              ")</f>
        <v xml:space="preserve">     Telephone/Data Lines                              </v>
      </c>
      <c r="C114" s="11"/>
      <c r="D114" s="2">
        <f>SUM(OSRRefD22_19x_0)</f>
        <v>590.59</v>
      </c>
      <c r="E114" s="2"/>
      <c r="F114" s="5">
        <f t="shared" si="28"/>
        <v>2.0909315725215218E-3</v>
      </c>
      <c r="G114" s="2"/>
      <c r="H114" s="2">
        <f>SUM(OSRRefH22_19x_0)</f>
        <v>610</v>
      </c>
      <c r="I114" s="2"/>
      <c r="J114" s="5">
        <f t="shared" si="29"/>
        <v>2.3764721465776855E-3</v>
      </c>
      <c r="K114" s="2"/>
      <c r="L114" s="2">
        <f t="shared" si="30"/>
        <v>-19.409999999999968</v>
      </c>
      <c r="M114" s="2"/>
      <c r="N114" s="5">
        <f t="shared" si="31"/>
        <v>-3.1819672131147489E-2</v>
      </c>
      <c r="O114" s="11"/>
      <c r="P114" s="2">
        <f>SUM(OSRRefP22_19x_0)</f>
        <v>7045.62</v>
      </c>
      <c r="Q114" s="2"/>
      <c r="R114" s="5">
        <f t="shared" si="32"/>
        <v>1.3186798970646516E-3</v>
      </c>
      <c r="S114" s="2"/>
      <c r="T114" s="2">
        <f>SUM(OSRRefT22_19x_0)</f>
        <v>7320</v>
      </c>
      <c r="U114" s="2"/>
      <c r="V114" s="5">
        <f t="shared" si="33"/>
        <v>1.9800126915567608E-3</v>
      </c>
      <c r="W114" s="2"/>
      <c r="X114" s="2">
        <f t="shared" si="34"/>
        <v>-274.38000000000011</v>
      </c>
      <c r="Y114" s="2"/>
      <c r="Z114" s="5">
        <f t="shared" si="35"/>
        <v>-3.7483606557377064E-2</v>
      </c>
    </row>
    <row r="115" spans="1:26" s="70" customFormat="1" ht="15" hidden="1" customHeight="1" outlineLevel="2" x14ac:dyDescent="0.3">
      <c r="A115" s="21"/>
      <c r="B115" s="9" t="str">
        <f>CONCATENATE("          ","6309"," - ","TELEPHONE")</f>
        <v xml:space="preserve">          6309 - TELEPHONE</v>
      </c>
      <c r="C115" s="9"/>
      <c r="D115" s="6">
        <v>590.59</v>
      </c>
      <c r="E115" s="3"/>
      <c r="F115" s="7">
        <f t="shared" si="28"/>
        <v>2.0909315725215218E-3</v>
      </c>
      <c r="G115" s="3"/>
      <c r="H115" s="6">
        <v>610</v>
      </c>
      <c r="I115" s="3"/>
      <c r="J115" s="7">
        <f t="shared" si="29"/>
        <v>2.3764721465776855E-3</v>
      </c>
      <c r="K115" s="3"/>
      <c r="L115" s="6">
        <f t="shared" si="30"/>
        <v>-19.409999999999968</v>
      </c>
      <c r="M115" s="3"/>
      <c r="N115" s="7">
        <f t="shared" si="31"/>
        <v>-3.1819672131147489E-2</v>
      </c>
      <c r="O115" s="9"/>
      <c r="P115" s="6">
        <v>7045.62</v>
      </c>
      <c r="Q115" s="3"/>
      <c r="R115" s="7">
        <f t="shared" si="32"/>
        <v>1.3186798970646516E-3</v>
      </c>
      <c r="S115" s="3"/>
      <c r="T115" s="6">
        <v>7320</v>
      </c>
      <c r="U115" s="3"/>
      <c r="V115" s="7">
        <f t="shared" si="33"/>
        <v>1.9800126915567608E-3</v>
      </c>
      <c r="W115" s="3"/>
      <c r="X115" s="6">
        <f t="shared" si="34"/>
        <v>-274.38000000000011</v>
      </c>
      <c r="Y115" s="3"/>
      <c r="Z115" s="7">
        <f t="shared" si="35"/>
        <v>-3.7483606557377064E-2</v>
      </c>
    </row>
    <row r="116" spans="1:26" s="69" customFormat="1" ht="15" customHeight="1" outlineLevel="1" collapsed="1" x14ac:dyDescent="0.3">
      <c r="A116" s="20"/>
      <c r="B116" s="11" t="str">
        <f>CONCATENATE("     ","Training                                          ")</f>
        <v xml:space="preserve">     Training                                          </v>
      </c>
      <c r="C116" s="11"/>
      <c r="D116" s="2">
        <f>SUM(OSRRefD22_20x_0)</f>
        <v>0</v>
      </c>
      <c r="E116" s="2"/>
      <c r="F116" s="5">
        <f t="shared" si="28"/>
        <v>0</v>
      </c>
      <c r="G116" s="2"/>
      <c r="H116" s="2">
        <f>SUM(OSRRefH22_20x_0)</f>
        <v>0</v>
      </c>
      <c r="I116" s="2"/>
      <c r="J116" s="5">
        <f t="shared" si="29"/>
        <v>0</v>
      </c>
      <c r="K116" s="2"/>
      <c r="L116" s="2">
        <f t="shared" si="30"/>
        <v>0</v>
      </c>
      <c r="M116" s="2"/>
      <c r="N116" s="5">
        <f t="shared" si="31"/>
        <v>0</v>
      </c>
      <c r="O116" s="11"/>
      <c r="P116" s="2">
        <f>SUM(OSRRefP22_20x_0)</f>
        <v>300</v>
      </c>
      <c r="Q116" s="2"/>
      <c r="R116" s="5">
        <f t="shared" si="32"/>
        <v>5.6148922184193224E-5</v>
      </c>
      <c r="S116" s="2"/>
      <c r="T116" s="2">
        <f>SUM(OSRRefT22_20x_0)</f>
        <v>0</v>
      </c>
      <c r="U116" s="2"/>
      <c r="V116" s="5">
        <f t="shared" si="33"/>
        <v>0</v>
      </c>
      <c r="W116" s="2"/>
      <c r="X116" s="2">
        <f t="shared" si="34"/>
        <v>300</v>
      </c>
      <c r="Y116" s="2"/>
      <c r="Z116" s="5">
        <f t="shared" si="35"/>
        <v>0</v>
      </c>
    </row>
    <row r="117" spans="1:26" s="70" customFormat="1" ht="15" hidden="1" customHeight="1" outlineLevel="2" x14ac:dyDescent="0.3">
      <c r="A117" s="21"/>
      <c r="B117" s="9" t="str">
        <f>CONCATENATE("          ","6376"," - ","TRAINING")</f>
        <v xml:space="preserve">          6376 - TRAINING</v>
      </c>
      <c r="C117" s="9"/>
      <c r="D117" s="6"/>
      <c r="E117" s="3"/>
      <c r="F117" s="7">
        <f t="shared" si="28"/>
        <v>0</v>
      </c>
      <c r="G117" s="3"/>
      <c r="H117" s="6"/>
      <c r="I117" s="3"/>
      <c r="J117" s="7">
        <f t="shared" si="29"/>
        <v>0</v>
      </c>
      <c r="K117" s="3"/>
      <c r="L117" s="6">
        <f t="shared" si="30"/>
        <v>0</v>
      </c>
      <c r="M117" s="3"/>
      <c r="N117" s="7">
        <f t="shared" si="31"/>
        <v>0</v>
      </c>
      <c r="O117" s="9"/>
      <c r="P117" s="6">
        <v>300</v>
      </c>
      <c r="Q117" s="3"/>
      <c r="R117" s="7">
        <f t="shared" si="32"/>
        <v>5.6148922184193224E-5</v>
      </c>
      <c r="S117" s="3"/>
      <c r="T117" s="6"/>
      <c r="U117" s="3"/>
      <c r="V117" s="7">
        <f t="shared" si="33"/>
        <v>0</v>
      </c>
      <c r="W117" s="3"/>
      <c r="X117" s="6">
        <f t="shared" si="34"/>
        <v>300</v>
      </c>
      <c r="Y117" s="3"/>
      <c r="Z117" s="7">
        <f t="shared" si="35"/>
        <v>0</v>
      </c>
    </row>
    <row r="118" spans="1:26" s="69" customFormat="1" ht="15" customHeight="1" outlineLevel="1" collapsed="1" x14ac:dyDescent="0.3">
      <c r="A118" s="20"/>
      <c r="B118" s="11" t="str">
        <f>CONCATENATE("     ","Travel                                            ")</f>
        <v xml:space="preserve">     Travel                                            </v>
      </c>
      <c r="C118" s="11"/>
      <c r="D118" s="2">
        <f>SUM(OSRRefD22_21x_0)</f>
        <v>1017.65</v>
      </c>
      <c r="E118" s="2"/>
      <c r="F118" s="5">
        <f t="shared" si="28"/>
        <v>3.6028996677500915E-3</v>
      </c>
      <c r="G118" s="2"/>
      <c r="H118" s="2">
        <f>SUM(OSRRefH22_21x_0)</f>
        <v>50</v>
      </c>
      <c r="I118" s="2"/>
      <c r="J118" s="5">
        <f t="shared" si="29"/>
        <v>1.9479279889981027E-4</v>
      </c>
      <c r="K118" s="2"/>
      <c r="L118" s="2">
        <f t="shared" si="30"/>
        <v>967.65</v>
      </c>
      <c r="M118" s="2"/>
      <c r="N118" s="5">
        <f t="shared" si="31"/>
        <v>19.352999999999998</v>
      </c>
      <c r="O118" s="11"/>
      <c r="P118" s="2">
        <f>SUM(OSRRefP22_21x_0)</f>
        <v>1608.28</v>
      </c>
      <c r="Q118" s="2"/>
      <c r="R118" s="5">
        <f t="shared" si="32"/>
        <v>3.0101062856798092E-4</v>
      </c>
      <c r="S118" s="2"/>
      <c r="T118" s="2">
        <f>SUM(OSRRefT22_21x_0)</f>
        <v>850</v>
      </c>
      <c r="U118" s="2"/>
      <c r="V118" s="5">
        <f t="shared" si="33"/>
        <v>2.299195065332304E-4</v>
      </c>
      <c r="W118" s="2"/>
      <c r="X118" s="2">
        <f t="shared" si="34"/>
        <v>758.28</v>
      </c>
      <c r="Y118" s="2"/>
      <c r="Z118" s="5">
        <f t="shared" si="35"/>
        <v>0.89209411764705882</v>
      </c>
    </row>
    <row r="119" spans="1:26" s="70" customFormat="1" ht="15" hidden="1" customHeight="1" outlineLevel="2" x14ac:dyDescent="0.3">
      <c r="A119" s="21"/>
      <c r="B119" s="9" t="str">
        <f>CONCATENATE("          ","6294"," - ","TRAVEL OPERATIONAL")</f>
        <v xml:space="preserve">          6294 - TRAVEL OPERATIONAL</v>
      </c>
      <c r="C119" s="9"/>
      <c r="D119" s="6">
        <v>1017.65</v>
      </c>
      <c r="E119" s="3"/>
      <c r="F119" s="7">
        <f t="shared" si="28"/>
        <v>3.6028996677500915E-3</v>
      </c>
      <c r="G119" s="3"/>
      <c r="H119" s="6">
        <v>25</v>
      </c>
      <c r="I119" s="3"/>
      <c r="J119" s="7">
        <f t="shared" si="29"/>
        <v>9.7396399449905133E-5</v>
      </c>
      <c r="K119" s="3"/>
      <c r="L119" s="6">
        <f t="shared" si="30"/>
        <v>992.65</v>
      </c>
      <c r="M119" s="3"/>
      <c r="N119" s="7">
        <f t="shared" si="31"/>
        <v>39.705999999999996</v>
      </c>
      <c r="O119" s="9"/>
      <c r="P119" s="6">
        <v>1608.28</v>
      </c>
      <c r="Q119" s="3"/>
      <c r="R119" s="7">
        <f t="shared" si="32"/>
        <v>3.0101062856798092E-4</v>
      </c>
      <c r="S119" s="3"/>
      <c r="T119" s="6">
        <v>300</v>
      </c>
      <c r="U119" s="3"/>
      <c r="V119" s="7">
        <f t="shared" si="33"/>
        <v>8.1148061129375436E-5</v>
      </c>
      <c r="W119" s="3"/>
      <c r="X119" s="6">
        <f t="shared" si="34"/>
        <v>1308.28</v>
      </c>
      <c r="Y119" s="3"/>
      <c r="Z119" s="7">
        <f t="shared" si="35"/>
        <v>4.3609333333333336</v>
      </c>
    </row>
    <row r="120" spans="1:26" s="70" customFormat="1" ht="15" hidden="1" customHeight="1" outlineLevel="2" x14ac:dyDescent="0.3">
      <c r="A120" s="21"/>
      <c r="B120" s="9" t="str">
        <f>CONCATENATE("          ","6298"," - ","VEHICLE MILEAGE")</f>
        <v xml:space="preserve">          6298 - VEHICLE MILEAGE</v>
      </c>
      <c r="C120" s="9"/>
      <c r="D120" s="6"/>
      <c r="E120" s="3"/>
      <c r="F120" s="7">
        <f t="shared" si="28"/>
        <v>0</v>
      </c>
      <c r="G120" s="3"/>
      <c r="H120" s="6">
        <v>25</v>
      </c>
      <c r="I120" s="3"/>
      <c r="J120" s="7">
        <f t="shared" si="29"/>
        <v>9.7396399449905133E-5</v>
      </c>
      <c r="K120" s="3"/>
      <c r="L120" s="6">
        <f t="shared" si="30"/>
        <v>-25</v>
      </c>
      <c r="M120" s="3"/>
      <c r="N120" s="7">
        <f t="shared" si="31"/>
        <v>-1</v>
      </c>
      <c r="O120" s="9"/>
      <c r="P120" s="6"/>
      <c r="Q120" s="3"/>
      <c r="R120" s="7">
        <f t="shared" si="32"/>
        <v>0</v>
      </c>
      <c r="S120" s="3"/>
      <c r="T120" s="6">
        <v>550</v>
      </c>
      <c r="U120" s="3"/>
      <c r="V120" s="7">
        <f t="shared" si="33"/>
        <v>1.4877144540385495E-4</v>
      </c>
      <c r="W120" s="3"/>
      <c r="X120" s="6">
        <f t="shared" si="34"/>
        <v>-550</v>
      </c>
      <c r="Y120" s="3"/>
      <c r="Z120" s="7">
        <f t="shared" si="35"/>
        <v>-1</v>
      </c>
    </row>
    <row r="121" spans="1:26" s="69" customFormat="1" ht="15" customHeight="1" outlineLevel="1" collapsed="1" x14ac:dyDescent="0.3">
      <c r="A121" s="20"/>
      <c r="B121" s="11" t="str">
        <f>CONCATENATE("     ","Utilities                                         ")</f>
        <v xml:space="preserve">     Utilities                                         </v>
      </c>
      <c r="C121" s="11"/>
      <c r="D121" s="2">
        <f>SUM(OSRRefD22_22x_0)</f>
        <v>26.49</v>
      </c>
      <c r="E121" s="2"/>
      <c r="F121" s="5">
        <f t="shared" si="28"/>
        <v>9.3785498156242247E-5</v>
      </c>
      <c r="G121" s="2"/>
      <c r="H121" s="2">
        <f>SUM(OSRRefH22_22x_0)</f>
        <v>120</v>
      </c>
      <c r="I121" s="2"/>
      <c r="J121" s="5">
        <f t="shared" si="29"/>
        <v>4.6750271735954466E-4</v>
      </c>
      <c r="K121" s="2"/>
      <c r="L121" s="2">
        <f t="shared" si="30"/>
        <v>-93.51</v>
      </c>
      <c r="M121" s="2"/>
      <c r="N121" s="5">
        <f t="shared" si="31"/>
        <v>-0.77925</v>
      </c>
      <c r="O121" s="11"/>
      <c r="P121" s="2">
        <f>SUM(OSRRefP22_22x_0)</f>
        <v>1330.38</v>
      </c>
      <c r="Q121" s="2"/>
      <c r="R121" s="5">
        <f t="shared" si="32"/>
        <v>2.4899801031802329E-4</v>
      </c>
      <c r="S121" s="2"/>
      <c r="T121" s="2">
        <f>SUM(OSRRefT22_22x_0)</f>
        <v>4120</v>
      </c>
      <c r="U121" s="2"/>
      <c r="V121" s="5">
        <f t="shared" si="33"/>
        <v>1.1144333728434225E-3</v>
      </c>
      <c r="W121" s="2"/>
      <c r="X121" s="2">
        <f t="shared" si="34"/>
        <v>-2789.62</v>
      </c>
      <c r="Y121" s="2"/>
      <c r="Z121" s="5">
        <f t="shared" si="35"/>
        <v>-0.67709223300970867</v>
      </c>
    </row>
    <row r="122" spans="1:26" s="70" customFormat="1" ht="15" hidden="1" customHeight="1" outlineLevel="2" x14ac:dyDescent="0.3">
      <c r="A122" s="21"/>
      <c r="B122" s="9" t="str">
        <f>CONCATENATE("          ","6274"," - ","UTILITIES")</f>
        <v xml:space="preserve">          6274 - UTILITIES</v>
      </c>
      <c r="C122" s="9"/>
      <c r="D122" s="6">
        <v>26.49</v>
      </c>
      <c r="E122" s="3"/>
      <c r="F122" s="7">
        <f t="shared" si="28"/>
        <v>9.3785498156242247E-5</v>
      </c>
      <c r="G122" s="3"/>
      <c r="H122" s="6">
        <v>120</v>
      </c>
      <c r="I122" s="3"/>
      <c r="J122" s="7">
        <f t="shared" si="29"/>
        <v>4.6750271735954466E-4</v>
      </c>
      <c r="K122" s="3"/>
      <c r="L122" s="6">
        <f t="shared" si="30"/>
        <v>-93.51</v>
      </c>
      <c r="M122" s="3"/>
      <c r="N122" s="7">
        <f t="shared" si="31"/>
        <v>-0.77925</v>
      </c>
      <c r="O122" s="9"/>
      <c r="P122" s="6">
        <v>1330.38</v>
      </c>
      <c r="Q122" s="3"/>
      <c r="R122" s="7">
        <f t="shared" si="32"/>
        <v>2.4899801031802329E-4</v>
      </c>
      <c r="S122" s="3"/>
      <c r="T122" s="6">
        <v>4120</v>
      </c>
      <c r="U122" s="3"/>
      <c r="V122" s="7">
        <f t="shared" si="33"/>
        <v>1.1144333728434225E-3</v>
      </c>
      <c r="W122" s="3"/>
      <c r="X122" s="6">
        <f t="shared" si="34"/>
        <v>-2789.62</v>
      </c>
      <c r="Y122" s="3"/>
      <c r="Z122" s="7">
        <f t="shared" si="35"/>
        <v>-0.67709223300970867</v>
      </c>
    </row>
    <row r="123" spans="1:26" s="65" customFormat="1" ht="15" customHeight="1" x14ac:dyDescent="0.3">
      <c r="A123" s="36"/>
      <c r="B123" s="36"/>
      <c r="C123" s="36"/>
      <c r="D123" s="2"/>
      <c r="E123" s="2"/>
      <c r="F123" s="5"/>
      <c r="G123" s="2"/>
      <c r="H123" s="2"/>
      <c r="I123" s="2"/>
      <c r="J123" s="5"/>
      <c r="K123" s="2"/>
      <c r="L123" s="2"/>
      <c r="M123" s="2"/>
      <c r="N123" s="5"/>
      <c r="O123" s="36"/>
      <c r="P123" s="2"/>
      <c r="Q123" s="2"/>
      <c r="R123" s="5"/>
      <c r="S123" s="2"/>
      <c r="T123" s="2"/>
      <c r="U123" s="2"/>
      <c r="V123" s="5"/>
      <c r="W123" s="2"/>
      <c r="X123" s="2"/>
      <c r="Y123" s="2"/>
      <c r="Z123" s="5"/>
    </row>
    <row r="124" spans="1:26" s="63" customFormat="1" ht="15" customHeight="1" collapsed="1" x14ac:dyDescent="0.3">
      <c r="A124" s="13"/>
      <c r="B124" s="28" t="s">
        <v>291</v>
      </c>
      <c r="C124" s="13"/>
      <c r="D124" s="8">
        <f>SUM(OSRRefD25x_0)</f>
        <v>18080.689999999999</v>
      </c>
      <c r="E124" s="8"/>
      <c r="F124" s="14">
        <f>IF(D$12=0,0,D124/D$12)</f>
        <v>6.4013081112064468E-2</v>
      </c>
      <c r="G124" s="8"/>
      <c r="H124" s="8">
        <f>SUM(OSRRefH25x_0)</f>
        <v>208334</v>
      </c>
      <c r="I124" s="8"/>
      <c r="J124" s="14">
        <f>IF(H$12=0,0,H124/H$12)</f>
        <v>0.81163925931986147</v>
      </c>
      <c r="K124" s="8"/>
      <c r="L124" s="8">
        <f>+D124-H124</f>
        <v>-190253.31</v>
      </c>
      <c r="M124" s="8"/>
      <c r="N124" s="14">
        <f>IF(H124=0,0,L124/H124)</f>
        <v>-0.91321296571850974</v>
      </c>
      <c r="O124" s="13"/>
      <c r="P124" s="8">
        <f>SUM(OSRRefP25x_0)</f>
        <v>770455.72</v>
      </c>
      <c r="Q124" s="8"/>
      <c r="R124" s="14">
        <f>IF(P$12=0,0,P124/P$12)</f>
        <v>0.14420086089548853</v>
      </c>
      <c r="S124" s="8"/>
      <c r="T124" s="8">
        <f>SUM(OSRRefT25x_0)</f>
        <v>652006</v>
      </c>
      <c r="U124" s="8"/>
      <c r="V124" s="14">
        <f>IF(T$12=0,0,T124/T$12)</f>
        <v>0.1763634091490652</v>
      </c>
      <c r="W124" s="8"/>
      <c r="X124" s="8">
        <f>+P124-T124</f>
        <v>118449.71999999997</v>
      </c>
      <c r="Y124" s="8"/>
      <c r="Z124" s="14">
        <f>IF(T124=0,0,X124/T124)</f>
        <v>0.18166967788639979</v>
      </c>
    </row>
    <row r="125" spans="1:26" s="70" customFormat="1" ht="15" hidden="1" customHeight="1" outlineLevel="1" x14ac:dyDescent="0.3">
      <c r="A125" s="48"/>
      <c r="B125" s="9" t="str">
        <f>CONCATENATE("          ","9150"," - ","MISC. INCOME")</f>
        <v xml:space="preserve">          9150 - MISC. INCOME</v>
      </c>
      <c r="C125" s="9"/>
      <c r="D125" s="3">
        <f>--78.19</f>
        <v>78.19</v>
      </c>
      <c r="E125" s="3"/>
      <c r="F125" s="26">
        <f>IF(D$12=0,0,D125/D$12)</f>
        <v>2.7682476786850061E-4</v>
      </c>
      <c r="G125" s="3"/>
      <c r="H125" s="3">
        <v>0</v>
      </c>
      <c r="I125" s="3"/>
      <c r="J125" s="26">
        <f>IF(H$12=0,0,H125/H$12)</f>
        <v>0</v>
      </c>
      <c r="K125" s="3"/>
      <c r="L125" s="3">
        <f>+D125-H125</f>
        <v>78.19</v>
      </c>
      <c r="M125" s="3"/>
      <c r="N125" s="26">
        <f>IF(H125=0,0,L125/H125)</f>
        <v>0</v>
      </c>
      <c r="O125" s="9"/>
      <c r="P125" s="3">
        <f>--110983.52</f>
        <v>110983.52</v>
      </c>
      <c r="Q125" s="3"/>
      <c r="R125" s="26">
        <f>IF(P$12=0,0,P125/P$12)</f>
        <v>2.0772016760692843E-2</v>
      </c>
      <c r="S125" s="3"/>
      <c r="T125" s="3">
        <v>77006</v>
      </c>
      <c r="U125" s="3"/>
      <c r="V125" s="26">
        <f>IF(T$12=0,0,T125/T$12)</f>
        <v>2.0829625317762283E-2</v>
      </c>
      <c r="W125" s="3"/>
      <c r="X125" s="3">
        <f>+P125-T125</f>
        <v>33977.520000000004</v>
      </c>
      <c r="Y125" s="3"/>
      <c r="Z125" s="26">
        <f>IF(T125=0,0,X125/T125)</f>
        <v>0.44123211178349742</v>
      </c>
    </row>
    <row r="126" spans="1:26" s="70" customFormat="1" ht="15" hidden="1" customHeight="1" outlineLevel="1" x14ac:dyDescent="0.3">
      <c r="A126" s="48"/>
      <c r="B126" s="9" t="str">
        <f>CONCATENATE("          ","9151"," - ","MISC. INCOME")</f>
        <v xml:space="preserve">          9151 - MISC. INCOME</v>
      </c>
      <c r="C126" s="9"/>
      <c r="D126" s="3">
        <f>0</f>
        <v>0</v>
      </c>
      <c r="E126" s="3"/>
      <c r="F126" s="26">
        <f>IF(D$12=0,0,D126/D$12)</f>
        <v>0</v>
      </c>
      <c r="G126" s="3"/>
      <c r="H126" s="3">
        <v>150000</v>
      </c>
      <c r="I126" s="3"/>
      <c r="J126" s="26">
        <f>IF(H$12=0,0,H126/H$12)</f>
        <v>0.58437839669943081</v>
      </c>
      <c r="K126" s="3"/>
      <c r="L126" s="3">
        <f>+D126-H126</f>
        <v>-150000</v>
      </c>
      <c r="M126" s="3"/>
      <c r="N126" s="26">
        <f>IF(H126=0,0,L126/H126)</f>
        <v>-1</v>
      </c>
      <c r="O126" s="9"/>
      <c r="P126" s="3">
        <f>0</f>
        <v>0</v>
      </c>
      <c r="Q126" s="3"/>
      <c r="R126" s="26">
        <f>IF(P$12=0,0,P126/P$12)</f>
        <v>0</v>
      </c>
      <c r="S126" s="3"/>
      <c r="T126" s="3">
        <v>400000</v>
      </c>
      <c r="U126" s="3"/>
      <c r="V126" s="26">
        <f>IF(T$12=0,0,T126/T$12)</f>
        <v>0.10819741483916724</v>
      </c>
      <c r="W126" s="3"/>
      <c r="X126" s="3">
        <f>+P126-T126</f>
        <v>-400000</v>
      </c>
      <c r="Y126" s="3"/>
      <c r="Z126" s="26">
        <f>IF(T126=0,0,X126/T126)</f>
        <v>-1</v>
      </c>
    </row>
    <row r="127" spans="1:26" s="70" customFormat="1" ht="15" hidden="1" customHeight="1" outlineLevel="1" x14ac:dyDescent="0.3">
      <c r="A127" s="48"/>
      <c r="B127" s="9" t="str">
        <f>CONCATENATE("          ","9160"," - ","MISC. INCOME")</f>
        <v xml:space="preserve">          9160 - MISC. INCOME</v>
      </c>
      <c r="C127" s="9"/>
      <c r="D127" s="3">
        <f>0</f>
        <v>0</v>
      </c>
      <c r="E127" s="3"/>
      <c r="F127" s="26">
        <f>IF(D$12=0,0,D127/D$12)</f>
        <v>0</v>
      </c>
      <c r="G127" s="3"/>
      <c r="H127" s="3">
        <v>58334</v>
      </c>
      <c r="I127" s="3"/>
      <c r="J127" s="26">
        <f>IF(H$12=0,0,H127/H$12)</f>
        <v>0.22726086262043066</v>
      </c>
      <c r="K127" s="3"/>
      <c r="L127" s="3">
        <f>+D127-H127</f>
        <v>-58334</v>
      </c>
      <c r="M127" s="3"/>
      <c r="N127" s="26">
        <f>IF(H127=0,0,L127/H127)</f>
        <v>-1</v>
      </c>
      <c r="O127" s="9"/>
      <c r="P127" s="3">
        <f>0</f>
        <v>0</v>
      </c>
      <c r="Q127" s="3"/>
      <c r="R127" s="26">
        <f>IF(P$12=0,0,P127/P$12)</f>
        <v>0</v>
      </c>
      <c r="S127" s="3"/>
      <c r="T127" s="3">
        <v>175000</v>
      </c>
      <c r="U127" s="3"/>
      <c r="V127" s="26">
        <f>IF(T$12=0,0,T127/T$12)</f>
        <v>4.7336368992135669E-2</v>
      </c>
      <c r="W127" s="3"/>
      <c r="X127" s="3">
        <f>+P127-T127</f>
        <v>-175000</v>
      </c>
      <c r="Y127" s="3"/>
      <c r="Z127" s="26">
        <f>IF(T127=0,0,X127/T127)</f>
        <v>-1</v>
      </c>
    </row>
    <row r="128" spans="1:26" s="70" customFormat="1" ht="15" hidden="1" customHeight="1" outlineLevel="1" x14ac:dyDescent="0.3">
      <c r="A128" s="48"/>
      <c r="B128" s="9" t="str">
        <f>CONCATENATE("          ","9163"," - ","MISC. INCOME")</f>
        <v xml:space="preserve">          9163 - MISC. INCOME</v>
      </c>
      <c r="C128" s="9"/>
      <c r="D128" s="3">
        <f>--18002.5</f>
        <v>18002.5</v>
      </c>
      <c r="E128" s="3"/>
      <c r="F128" s="26">
        <f>IF(D$12=0,0,D128/D$12)</f>
        <v>6.3736256344195968E-2</v>
      </c>
      <c r="G128" s="3"/>
      <c r="H128" s="3"/>
      <c r="I128" s="3"/>
      <c r="J128" s="26">
        <f>IF(H$12=0,0,H128/H$12)</f>
        <v>0</v>
      </c>
      <c r="K128" s="3"/>
      <c r="L128" s="3">
        <f>+D128-H128</f>
        <v>18002.5</v>
      </c>
      <c r="M128" s="3"/>
      <c r="N128" s="26">
        <f>IF(H128=0,0,L128/H128)</f>
        <v>0</v>
      </c>
      <c r="O128" s="9"/>
      <c r="P128" s="3">
        <f>--659472.2</f>
        <v>659472.19999999995</v>
      </c>
      <c r="Q128" s="3"/>
      <c r="R128" s="26">
        <f>IF(P$12=0,0,P128/P$12)</f>
        <v>0.1234288441347957</v>
      </c>
      <c r="S128" s="3"/>
      <c r="T128" s="3"/>
      <c r="U128" s="3"/>
      <c r="V128" s="26">
        <f>IF(T$12=0,0,T128/T$12)</f>
        <v>0</v>
      </c>
      <c r="W128" s="3"/>
      <c r="X128" s="3">
        <f>+P128-T128</f>
        <v>659472.19999999995</v>
      </c>
      <c r="Y128" s="3"/>
      <c r="Z128" s="26">
        <f>IF(T128=0,0,X128/T128)</f>
        <v>0</v>
      </c>
    </row>
    <row r="129" spans="1:26" ht="15" customHeight="1" x14ac:dyDescent="0.3">
      <c r="A129" s="12"/>
      <c r="B129" s="13"/>
      <c r="C129" s="13"/>
      <c r="D129" s="4"/>
      <c r="E129" s="4"/>
      <c r="F129" s="10"/>
      <c r="G129" s="4"/>
      <c r="H129" s="4"/>
      <c r="I129" s="4"/>
      <c r="J129" s="10"/>
      <c r="K129" s="4"/>
      <c r="L129" s="4"/>
      <c r="M129" s="4"/>
      <c r="N129" s="10"/>
      <c r="O129" s="13"/>
      <c r="P129" s="4"/>
      <c r="Q129" s="4"/>
      <c r="R129" s="10"/>
      <c r="S129" s="4"/>
      <c r="T129" s="4"/>
      <c r="U129" s="4"/>
      <c r="V129" s="10"/>
      <c r="W129" s="4"/>
      <c r="X129" s="4"/>
      <c r="Y129" s="4"/>
      <c r="Z129" s="10"/>
    </row>
    <row r="130" spans="1:26" s="63" customFormat="1" ht="15" customHeight="1" x14ac:dyDescent="0.3">
      <c r="A130" s="13"/>
      <c r="B130" s="27" t="s">
        <v>292</v>
      </c>
      <c r="C130" s="27"/>
      <c r="D130" s="23">
        <f>+D42-D44+D124</f>
        <v>-35887.33000000006</v>
      </c>
      <c r="E130" s="15"/>
      <c r="F130" s="22">
        <f>IF(D$12=0,0,D130/D$12)</f>
        <v>-0.12705591247819792</v>
      </c>
      <c r="G130" s="15"/>
      <c r="H130" s="23">
        <f>+H42-H44+H124</f>
        <v>219022.75974080767</v>
      </c>
      <c r="I130" s="15"/>
      <c r="J130" s="22">
        <f>IF(H$12=0,0,H130/H$12)</f>
        <v>0.85328112785345223</v>
      </c>
      <c r="K130" s="17"/>
      <c r="L130" s="23">
        <f>+D130-H130</f>
        <v>-254910.08974080771</v>
      </c>
      <c r="M130" s="17"/>
      <c r="N130" s="22">
        <f>IF(H130=0,0,L130/H130)</f>
        <v>-1.1638520583087768</v>
      </c>
      <c r="O130" s="28"/>
      <c r="P130" s="23">
        <f>+P42-P44+P124</f>
        <v>2191885.92</v>
      </c>
      <c r="Q130" s="15"/>
      <c r="R130" s="22">
        <f>IF(P$12=0,0,P130/P$12)</f>
        <v>0.41024010652902926</v>
      </c>
      <c r="S130" s="15"/>
      <c r="T130" s="23">
        <f>+T42-T44+T124</f>
        <v>1009862.5043719001</v>
      </c>
      <c r="U130" s="15"/>
      <c r="V130" s="22">
        <f>IF(T$12=0,0,T130/T$12)</f>
        <v>0.27316128079011709</v>
      </c>
      <c r="W130" s="17"/>
      <c r="X130" s="23">
        <f>+P130-T130</f>
        <v>1182023.4156280998</v>
      </c>
      <c r="Y130" s="17"/>
      <c r="Z130" s="22">
        <f>IF(T130=0,0,X130/T130)</f>
        <v>1.170479555890906</v>
      </c>
    </row>
    <row r="131" spans="1:26" ht="15" customHeight="1" x14ac:dyDescent="0.3">
      <c r="A131" s="12"/>
      <c r="B131" s="13"/>
      <c r="C131" s="12"/>
      <c r="D131" s="4"/>
      <c r="E131" s="4"/>
      <c r="F131" s="10"/>
      <c r="G131" s="4"/>
      <c r="H131" s="4"/>
      <c r="I131" s="4"/>
      <c r="J131" s="10"/>
      <c r="K131" s="4"/>
      <c r="L131" s="4"/>
      <c r="M131" s="4"/>
      <c r="N131" s="10"/>
      <c r="P131" s="4"/>
      <c r="Q131" s="4"/>
      <c r="R131" s="10"/>
      <c r="S131" s="4"/>
      <c r="T131" s="4"/>
      <c r="U131" s="4"/>
      <c r="V131" s="10"/>
      <c r="W131" s="4"/>
      <c r="X131" s="4"/>
      <c r="Y131" s="4"/>
      <c r="Z131" s="10"/>
    </row>
    <row r="132" spans="1:26" s="63" customFormat="1" ht="15" customHeight="1" x14ac:dyDescent="0.3">
      <c r="A132" s="49"/>
      <c r="B132" s="13" t="s">
        <v>293</v>
      </c>
      <c r="C132" s="13"/>
      <c r="D132" s="8">
        <v>-1184906.48</v>
      </c>
      <c r="E132" s="8"/>
      <c r="F132" s="14">
        <f>IF(D$12=0,0,D132/D$12)</f>
        <v>-4.1950564173408642</v>
      </c>
      <c r="G132" s="8"/>
      <c r="H132" s="8">
        <v>-7252</v>
      </c>
      <c r="I132" s="8"/>
      <c r="J132" s="14">
        <f>IF(H$12=0,0,H132/H$12)</f>
        <v>-2.8252747552428483E-2</v>
      </c>
      <c r="K132" s="8"/>
      <c r="L132" s="8">
        <f>+D132-H132</f>
        <v>-1177654.48</v>
      </c>
      <c r="M132" s="8"/>
      <c r="N132" s="14">
        <f>IF(H132=0,0,L132/H132)</f>
        <v>162.39030336458907</v>
      </c>
      <c r="O132" s="13"/>
      <c r="P132" s="8">
        <v>-615980.09</v>
      </c>
      <c r="Q132" s="8"/>
      <c r="R132" s="14">
        <f>IF(P$12=0,0,P132/P$12)</f>
        <v>-0.11528872713474113</v>
      </c>
      <c r="S132" s="8"/>
      <c r="T132" s="8">
        <v>419212</v>
      </c>
      <c r="U132" s="8"/>
      <c r="V132" s="14">
        <f>IF(T$12=0,0,T132/T$12)</f>
        <v>0.11339413667389245</v>
      </c>
      <c r="W132" s="8"/>
      <c r="X132" s="8">
        <f>+P132-T132</f>
        <v>-1035192.09</v>
      </c>
      <c r="Y132" s="8"/>
      <c r="Z132" s="14">
        <f>IF(T132=0,0,X132/T132)</f>
        <v>-2.4693760913332632</v>
      </c>
    </row>
    <row r="133" spans="1:26" ht="15" customHeight="1" x14ac:dyDescent="0.3">
      <c r="A133" s="12"/>
      <c r="B133" s="13"/>
      <c r="C133" s="13"/>
      <c r="D133" s="4"/>
      <c r="E133" s="4"/>
      <c r="F133" s="10"/>
      <c r="G133" s="4"/>
      <c r="H133" s="4"/>
      <c r="I133" s="4"/>
      <c r="J133" s="10"/>
      <c r="K133" s="4"/>
      <c r="L133" s="4"/>
      <c r="M133" s="4"/>
      <c r="N133" s="10"/>
      <c r="O133" s="13"/>
      <c r="P133" s="4"/>
      <c r="Q133" s="4"/>
      <c r="R133" s="10"/>
      <c r="S133" s="4"/>
      <c r="T133" s="4"/>
      <c r="U133" s="4"/>
      <c r="V133" s="10"/>
      <c r="W133" s="4"/>
      <c r="X133" s="4"/>
      <c r="Y133" s="4"/>
      <c r="Z133" s="10"/>
    </row>
    <row r="134" spans="1:26" s="63" customFormat="1" ht="15" customHeight="1" x14ac:dyDescent="0.3">
      <c r="A134" s="13"/>
      <c r="B134" s="27" t="s">
        <v>294</v>
      </c>
      <c r="C134" s="27"/>
      <c r="D134" s="30">
        <f>+D130-D132</f>
        <v>1149019.1499999999</v>
      </c>
      <c r="E134" s="15"/>
      <c r="F134" s="35">
        <f>IF(D$12=0,0,D134/D$12)</f>
        <v>4.068000504862666</v>
      </c>
      <c r="G134" s="15"/>
      <c r="H134" s="30">
        <f>+H130-H132</f>
        <v>226274.75974080767</v>
      </c>
      <c r="I134" s="15"/>
      <c r="J134" s="35">
        <f>IF(H$12=0,0,H134/H$12)</f>
        <v>0.88153387540588068</v>
      </c>
      <c r="K134" s="17"/>
      <c r="L134" s="30">
        <f>D134-H134</f>
        <v>922744.39025919221</v>
      </c>
      <c r="M134" s="17"/>
      <c r="N134" s="35">
        <f>IF(H134=0,0,L134/H134)</f>
        <v>4.0779819689839636</v>
      </c>
      <c r="O134" s="28"/>
      <c r="P134" s="30">
        <f>+P130-P132</f>
        <v>2807866.01</v>
      </c>
      <c r="Q134" s="15"/>
      <c r="R134" s="35">
        <f>IF(P$12=0,0,P134/P$12)</f>
        <v>0.52552883366377035</v>
      </c>
      <c r="S134" s="15"/>
      <c r="T134" s="30">
        <f>+T130-T132</f>
        <v>590650.50437190011</v>
      </c>
      <c r="U134" s="15"/>
      <c r="V134" s="35">
        <f>IF(T$12=0,0,T134/T$12)</f>
        <v>0.15976714411622461</v>
      </c>
      <c r="W134" s="17"/>
      <c r="X134" s="30">
        <f>P134-T134</f>
        <v>2217215.5056280997</v>
      </c>
      <c r="Y134" s="17"/>
      <c r="Z134" s="35">
        <f>IF(T134=0,0,X134/T134)</f>
        <v>3.7538535719797523</v>
      </c>
    </row>
    <row r="135" spans="1:26" ht="15" customHeight="1" x14ac:dyDescent="0.3">
      <c r="A135" s="12"/>
      <c r="B135" s="12"/>
      <c r="C135" s="12"/>
      <c r="D135" s="4"/>
      <c r="E135" s="4"/>
      <c r="F135" s="10"/>
      <c r="G135" s="4"/>
      <c r="H135" s="4"/>
      <c r="I135" s="4"/>
      <c r="J135" s="10"/>
      <c r="K135" s="4"/>
      <c r="L135" s="4"/>
      <c r="M135" s="4"/>
      <c r="N135" s="10"/>
      <c r="P135" s="4"/>
      <c r="Q135" s="4"/>
      <c r="R135" s="10"/>
      <c r="S135" s="4"/>
      <c r="T135" s="4"/>
      <c r="U135" s="4"/>
      <c r="V135" s="10"/>
      <c r="W135" s="4"/>
      <c r="X135" s="4"/>
      <c r="Y135" s="4"/>
      <c r="Z135" s="10"/>
    </row>
    <row r="136" spans="1:26" ht="15" customHeight="1" x14ac:dyDescent="0.3">
      <c r="A136" s="12"/>
      <c r="B136" s="12"/>
      <c r="C136" s="12"/>
      <c r="D136" s="4"/>
      <c r="E136" s="4"/>
      <c r="F136" s="10"/>
      <c r="G136" s="4"/>
      <c r="H136" s="4"/>
      <c r="I136" s="4"/>
      <c r="J136" s="10"/>
      <c r="K136" s="4"/>
      <c r="L136" s="4"/>
      <c r="M136" s="4"/>
      <c r="N136" s="10"/>
      <c r="P136" s="4"/>
      <c r="Q136" s="4"/>
      <c r="R136" s="10"/>
      <c r="S136" s="4"/>
      <c r="T136" s="4"/>
      <c r="U136" s="4"/>
      <c r="V136" s="10"/>
      <c r="W136" s="4"/>
      <c r="X136" s="4"/>
      <c r="Y136" s="4"/>
      <c r="Z136" s="10"/>
    </row>
    <row r="137" spans="1:26" s="63" customFormat="1" ht="15" customHeight="1" x14ac:dyDescent="0.3">
      <c r="A137" s="13"/>
      <c r="B137" s="27" t="s">
        <v>297</v>
      </c>
      <c r="C137" s="27"/>
      <c r="D137" s="33">
        <f>SUM(D134:D136)</f>
        <v>1149019.1499999999</v>
      </c>
      <c r="E137" s="15"/>
      <c r="F137" s="31">
        <f>IF(D$12=0,0,D137/D$12)</f>
        <v>4.068000504862666</v>
      </c>
      <c r="G137" s="15"/>
      <c r="H137" s="33">
        <f>SUM(H134:H136)</f>
        <v>226274.75974080767</v>
      </c>
      <c r="I137" s="15"/>
      <c r="J137" s="31">
        <f>IF(H$12=0,0,H137/H$12)</f>
        <v>0.88153387540588068</v>
      </c>
      <c r="K137" s="17"/>
      <c r="L137" s="33">
        <f>+D137-H137</f>
        <v>922744.39025919221</v>
      </c>
      <c r="M137" s="17"/>
      <c r="N137" s="31">
        <f>IF(H137=0,0,L137/H137)</f>
        <v>4.0779819689839636</v>
      </c>
      <c r="O137" s="28"/>
      <c r="P137" s="33">
        <f>SUM(P134:P136)</f>
        <v>2807866.01</v>
      </c>
      <c r="Q137" s="15"/>
      <c r="R137" s="31">
        <f>IF(P$12=0,0,P137/P$12)</f>
        <v>0.52552883366377035</v>
      </c>
      <c r="S137" s="15"/>
      <c r="T137" s="33">
        <f>SUM(T134:T136)</f>
        <v>590650.50437190011</v>
      </c>
      <c r="U137" s="15"/>
      <c r="V137" s="31">
        <f>IF(T$12=0,0,T137/T$12)</f>
        <v>0.15976714411622461</v>
      </c>
      <c r="W137" s="17"/>
      <c r="X137" s="33">
        <f>+P137-T137</f>
        <v>2217215.5056280997</v>
      </c>
      <c r="Y137" s="17"/>
      <c r="Z137" s="31">
        <f>IF(T137=0,0,X137/T137)</f>
        <v>3.7538535719797523</v>
      </c>
    </row>
    <row r="138" spans="1:26" ht="15" customHeight="1" x14ac:dyDescent="0.3">
      <c r="A138" s="12"/>
      <c r="C138" s="12"/>
      <c r="D138" s="19"/>
      <c r="E138" s="19"/>
      <c r="G138" s="19"/>
      <c r="H138" s="19"/>
      <c r="I138" s="19"/>
      <c r="J138" s="41"/>
      <c r="K138" s="19"/>
      <c r="L138" s="19"/>
      <c r="M138" s="19"/>
      <c r="P138" s="19"/>
      <c r="Q138" s="19"/>
      <c r="R138" s="41"/>
      <c r="S138" s="19"/>
      <c r="T138" s="19"/>
      <c r="U138" s="19"/>
      <c r="V138" s="41"/>
      <c r="W138" s="19"/>
      <c r="X138" s="19"/>
    </row>
    <row r="139" spans="1:26" ht="15" customHeight="1" x14ac:dyDescent="0.3">
      <c r="A139" s="12"/>
      <c r="B139" s="50">
        <v>44767.799509143515</v>
      </c>
      <c r="D139" s="19"/>
      <c r="E139" s="19"/>
      <c r="G139" s="19"/>
      <c r="H139" s="19"/>
      <c r="I139" s="19"/>
      <c r="J139" s="41"/>
      <c r="K139" s="19"/>
      <c r="L139" s="19"/>
      <c r="M139" s="19"/>
      <c r="P139" s="19"/>
      <c r="Q139" s="19"/>
      <c r="R139" s="41"/>
      <c r="S139" s="19"/>
      <c r="T139" s="19"/>
      <c r="U139" s="19"/>
      <c r="V139" s="41"/>
      <c r="W139" s="19"/>
      <c r="X139" s="19"/>
    </row>
    <row r="140" spans="1:26" ht="15" customHeight="1" x14ac:dyDescent="0.3">
      <c r="A140" s="12"/>
      <c r="B140" s="57" t="s">
        <v>298</v>
      </c>
      <c r="D140" s="19"/>
      <c r="E140" s="19"/>
      <c r="G140" s="19"/>
      <c r="H140" s="19"/>
      <c r="I140" s="19"/>
      <c r="J140" s="41"/>
      <c r="K140" s="19"/>
      <c r="L140" s="19"/>
      <c r="M140" s="19"/>
      <c r="P140" s="19"/>
      <c r="Q140" s="19"/>
      <c r="R140" s="41"/>
      <c r="S140" s="19"/>
      <c r="T140" s="19"/>
      <c r="U140" s="19"/>
      <c r="V140" s="41"/>
      <c r="W140" s="19"/>
      <c r="X140" s="19"/>
    </row>
    <row r="141" spans="1:26" ht="15" customHeight="1" x14ac:dyDescent="0.3">
      <c r="A141" s="12"/>
      <c r="B141" s="51"/>
      <c r="D141" s="19"/>
      <c r="E141" s="19"/>
      <c r="G141" s="19"/>
      <c r="H141" s="19"/>
      <c r="I141" s="19"/>
      <c r="J141" s="41"/>
      <c r="K141" s="19"/>
      <c r="L141" s="19"/>
      <c r="M141" s="19"/>
      <c r="P141" s="19"/>
      <c r="Q141" s="19"/>
      <c r="R141" s="41"/>
      <c r="S141" s="19"/>
      <c r="T141" s="19"/>
      <c r="U141" s="19"/>
      <c r="V141" s="41"/>
      <c r="W141" s="19"/>
      <c r="X141" s="19"/>
    </row>
    <row r="142" spans="1:26" ht="15" customHeight="1" x14ac:dyDescent="0.3">
      <c r="D142" s="19"/>
      <c r="E142" s="19"/>
      <c r="G142" s="19"/>
      <c r="H142" s="19"/>
      <c r="I142" s="19"/>
      <c r="J142" s="41"/>
      <c r="K142" s="19"/>
      <c r="L142" s="19"/>
      <c r="M142" s="19"/>
      <c r="P142" s="19"/>
      <c r="Q142" s="19"/>
      <c r="R142" s="41"/>
      <c r="S142" s="19"/>
      <c r="T142" s="19"/>
      <c r="U142" s="19"/>
      <c r="V142" s="41"/>
      <c r="W142" s="19"/>
      <c r="X142" s="19"/>
    </row>
  </sheetData>
  <pageMargins left="0.25" right="0.25" top="0.75" bottom="0.75" header="0.3" footer="0.3"/>
  <pageSetup scale="55" orientation="landscape" r:id="rId1"/>
  <headerFooter>
    <oddHeader>&amp;RPre-Audit</oddHeader>
    <oddFooter>&amp;L&amp;C&amp;R</oddFooter>
    <evenHeader>&amp;L&amp;C&amp;R</evenHeader>
    <evenFooter>&amp;L&amp;C&amp;R</even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241738-D72E-8D1F-EA39-6E96885237DE}">
  <sheetPr>
    <tabColor rgb="FF92D050"/>
    <outlinePr summaryBelow="0" summaryRight="0"/>
  </sheetPr>
  <dimension ref="A2:Z99"/>
  <sheetViews>
    <sheetView showGridLines="0" defaultGridColor="0" colorId="8" zoomScale="80" workbookViewId="0">
      <pane xSplit="3" ySplit="10" topLeftCell="D11" activePane="bottomRight" state="frozen"/>
      <selection activeCell="D78" sqref="D78"/>
      <selection pane="topRight" activeCell="D78" sqref="D78"/>
      <selection pane="bottomLeft" activeCell="D78" sqref="D78"/>
      <selection pane="bottomRight" activeCell="D78" sqref="D78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3" t="s">
        <v>276</v>
      </c>
    </row>
    <row r="3" spans="1:26" ht="15" customHeight="1" x14ac:dyDescent="0.3">
      <c r="D3" s="53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3" t="str">
        <f>CONCATENATE("Period ",RIGHT(202212,2),", ",2022)</f>
        <v>Period 12,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5"/>
      <c r="D5" s="60">
        <v>44742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5"/>
      <c r="B6" s="47"/>
      <c r="C6" s="47"/>
      <c r="D6" s="25" t="str">
        <f>CONCATENATE("Department ","307"," - ","Art Store")</f>
        <v>Department 307 - Art Store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4"/>
    </row>
    <row r="8" spans="1:26" ht="15" customHeight="1" x14ac:dyDescent="0.3">
      <c r="B8" s="54"/>
    </row>
    <row r="9" spans="1:26" ht="15" customHeight="1" x14ac:dyDescent="0.3">
      <c r="B9" s="12"/>
      <c r="C9" s="12"/>
      <c r="D9" s="16" t="s">
        <v>279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280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ht="15" customHeight="1" x14ac:dyDescent="0.3">
      <c r="A10" s="13"/>
      <c r="B10" s="52"/>
      <c r="C10" s="13"/>
      <c r="D10" s="40" t="s">
        <v>281</v>
      </c>
      <c r="E10" s="32"/>
      <c r="F10" s="39" t="s">
        <v>282</v>
      </c>
      <c r="G10" s="32"/>
      <c r="H10" s="45" t="s">
        <v>283</v>
      </c>
      <c r="I10" s="32"/>
      <c r="J10" s="42" t="s">
        <v>284</v>
      </c>
      <c r="K10" s="13"/>
      <c r="L10" s="40" t="s">
        <v>285</v>
      </c>
      <c r="M10" s="13"/>
      <c r="N10" s="39" t="s">
        <v>286</v>
      </c>
      <c r="O10" s="13"/>
      <c r="P10" s="55" t="s">
        <v>281</v>
      </c>
      <c r="Q10" s="32"/>
      <c r="R10" s="39" t="s">
        <v>282</v>
      </c>
      <c r="S10" s="32"/>
      <c r="T10" s="45" t="s">
        <v>283</v>
      </c>
      <c r="U10" s="32"/>
      <c r="V10" s="42" t="s">
        <v>284</v>
      </c>
      <c r="W10" s="13"/>
      <c r="X10" s="40" t="s">
        <v>285</v>
      </c>
      <c r="Y10" s="13"/>
      <c r="Z10" s="39" t="s">
        <v>286</v>
      </c>
    </row>
    <row r="11" spans="1:26" ht="16.5" customHeight="1" x14ac:dyDescent="0.3">
      <c r="A11" s="12"/>
      <c r="B11" s="58"/>
      <c r="C11" s="12"/>
      <c r="D11" s="12"/>
      <c r="E11" s="12"/>
      <c r="F11" s="10"/>
      <c r="G11" s="12"/>
      <c r="H11" s="12"/>
      <c r="I11" s="12"/>
      <c r="J11" s="43"/>
      <c r="K11" s="12"/>
      <c r="L11" s="12"/>
      <c r="M11" s="12"/>
      <c r="N11" s="10"/>
      <c r="P11" s="12"/>
      <c r="Q11" s="12"/>
      <c r="R11" s="10"/>
      <c r="S11" s="12"/>
      <c r="T11" s="12"/>
      <c r="U11" s="12"/>
      <c r="V11" s="43"/>
      <c r="W11" s="12"/>
      <c r="X11" s="12"/>
      <c r="Y11" s="12"/>
      <c r="Z11" s="10"/>
    </row>
    <row r="12" spans="1:26" s="63" customFormat="1" ht="15" customHeight="1" collapsed="1" x14ac:dyDescent="0.3">
      <c r="A12" s="13"/>
      <c r="B12" s="28" t="s">
        <v>287</v>
      </c>
      <c r="C12" s="13"/>
      <c r="D12" s="8">
        <f>SUM(OSRRefD13x_0)</f>
        <v>0</v>
      </c>
      <c r="E12" s="8"/>
      <c r="F12" s="14"/>
      <c r="G12" s="8"/>
      <c r="H12" s="8">
        <f>SUM(OSRRefH13x_0)</f>
        <v>1274</v>
      </c>
      <c r="I12" s="8"/>
      <c r="J12" s="14"/>
      <c r="K12" s="8"/>
      <c r="L12" s="8">
        <f>+D12-H12</f>
        <v>-1274</v>
      </c>
      <c r="M12" s="8"/>
      <c r="N12" s="14">
        <f>IF(H12=0,0,L12/H12)</f>
        <v>-1</v>
      </c>
      <c r="O12" s="13"/>
      <c r="P12" s="8">
        <f>SUM(OSRRefP13x_0)</f>
        <v>240656.12999999998</v>
      </c>
      <c r="Q12" s="8"/>
      <c r="R12" s="14"/>
      <c r="S12" s="8"/>
      <c r="T12" s="8">
        <f>SUM(OSRRefT13x_0)</f>
        <v>477817</v>
      </c>
      <c r="U12" s="8"/>
      <c r="V12" s="14"/>
      <c r="W12" s="8"/>
      <c r="X12" s="8">
        <f>+P12-T12</f>
        <v>-237160.87000000002</v>
      </c>
      <c r="Y12" s="8"/>
      <c r="Z12" s="14">
        <f>IF(T12=0,0,X12/T12)</f>
        <v>-0.49634247002513521</v>
      </c>
    </row>
    <row r="13" spans="1:26" s="70" customFormat="1" ht="15" hidden="1" customHeight="1" outlineLevel="1" x14ac:dyDescent="0.3">
      <c r="A13" s="48"/>
      <c r="B13" s="9" t="str">
        <f>CONCATENATE("          ","4000"," - ","TAXABLE SALES")</f>
        <v xml:space="preserve">          4000 - TAXABLE SALES</v>
      </c>
      <c r="C13" s="9"/>
      <c r="D13" s="3">
        <f>0</f>
        <v>0</v>
      </c>
      <c r="E13" s="3"/>
      <c r="F13" s="26"/>
      <c r="G13" s="3"/>
      <c r="H13" s="3">
        <v>1274</v>
      </c>
      <c r="I13" s="3"/>
      <c r="J13" s="26"/>
      <c r="K13" s="3"/>
      <c r="L13" s="3">
        <f>+D13-H13</f>
        <v>-1274</v>
      </c>
      <c r="M13" s="3"/>
      <c r="N13" s="26">
        <f>IF(H13=0,0,L13/H13)</f>
        <v>-1</v>
      </c>
      <c r="O13" s="9"/>
      <c r="P13" s="3">
        <f>--158221.5</f>
        <v>158221.5</v>
      </c>
      <c r="Q13" s="3"/>
      <c r="R13" s="26"/>
      <c r="S13" s="3"/>
      <c r="T13" s="3">
        <v>308717</v>
      </c>
      <c r="U13" s="3"/>
      <c r="V13" s="26"/>
      <c r="W13" s="3"/>
      <c r="X13" s="3">
        <f>+P13-T13</f>
        <v>-150495.5</v>
      </c>
      <c r="Y13" s="3"/>
      <c r="Z13" s="26">
        <f>IF(T13=0,0,X13/T13)</f>
        <v>-0.48748692167907826</v>
      </c>
    </row>
    <row r="14" spans="1:26" s="70" customFormat="1" ht="15" hidden="1" customHeight="1" outlineLevel="1" x14ac:dyDescent="0.3">
      <c r="A14" s="48"/>
      <c r="B14" s="9" t="str">
        <f>CONCATENATE("          ","4100"," - ","NON-TAXABLE SALES")</f>
        <v xml:space="preserve">          4100 - NON-TAXABLE SALES</v>
      </c>
      <c r="C14" s="9"/>
      <c r="D14" s="3">
        <f>0</f>
        <v>0</v>
      </c>
      <c r="E14" s="3"/>
      <c r="F14" s="26"/>
      <c r="G14" s="3"/>
      <c r="H14" s="3">
        <v>0</v>
      </c>
      <c r="I14" s="3"/>
      <c r="J14" s="26"/>
      <c r="K14" s="3"/>
      <c r="L14" s="3">
        <f>+D14-H14</f>
        <v>0</v>
      </c>
      <c r="M14" s="3"/>
      <c r="N14" s="26">
        <f>IF(H14=0,0,L14/H14)</f>
        <v>0</v>
      </c>
      <c r="O14" s="9"/>
      <c r="P14" s="3">
        <f>--87055.23</f>
        <v>87055.23</v>
      </c>
      <c r="Q14" s="3"/>
      <c r="R14" s="26"/>
      <c r="S14" s="3"/>
      <c r="T14" s="3">
        <v>169100</v>
      </c>
      <c r="U14" s="3"/>
      <c r="V14" s="26"/>
      <c r="W14" s="3"/>
      <c r="X14" s="3">
        <f>+P14-T14</f>
        <v>-82044.77</v>
      </c>
      <c r="Y14" s="3"/>
      <c r="Z14" s="26">
        <f>IF(T14=0,0,X14/T14)</f>
        <v>-0.48518492016558251</v>
      </c>
    </row>
    <row r="15" spans="1:26" s="70" customFormat="1" ht="15" hidden="1" customHeight="1" outlineLevel="1" x14ac:dyDescent="0.3">
      <c r="A15" s="48"/>
      <c r="B15" s="9" t="str">
        <f>CONCATENATE("          ","4200"," - ","TAXABLE RETURNS")</f>
        <v xml:space="preserve">          4200 - TAXABLE RETURNS</v>
      </c>
      <c r="C15" s="9"/>
      <c r="D15" s="3">
        <f>0</f>
        <v>0</v>
      </c>
      <c r="E15" s="3"/>
      <c r="F15" s="26"/>
      <c r="G15" s="3"/>
      <c r="H15" s="3"/>
      <c r="I15" s="3"/>
      <c r="J15" s="26"/>
      <c r="K15" s="3"/>
      <c r="L15" s="3">
        <f>+D15-H15</f>
        <v>0</v>
      </c>
      <c r="M15" s="3"/>
      <c r="N15" s="26">
        <f>IF(H15=0,0,L15/H15)</f>
        <v>0</v>
      </c>
      <c r="O15" s="9"/>
      <c r="P15" s="3">
        <f>-2300.51</f>
        <v>-2300.5100000000002</v>
      </c>
      <c r="Q15" s="3"/>
      <c r="R15" s="26"/>
      <c r="S15" s="3"/>
      <c r="T15" s="3"/>
      <c r="U15" s="3"/>
      <c r="V15" s="26"/>
      <c r="W15" s="3"/>
      <c r="X15" s="3">
        <f>+P15-T15</f>
        <v>-2300.5100000000002</v>
      </c>
      <c r="Y15" s="3"/>
      <c r="Z15" s="26">
        <f>IF(T15=0,0,X15/T15)</f>
        <v>0</v>
      </c>
    </row>
    <row r="16" spans="1:26" s="70" customFormat="1" ht="15" hidden="1" customHeight="1" outlineLevel="1" x14ac:dyDescent="0.3">
      <c r="A16" s="48"/>
      <c r="B16" s="9" t="str">
        <f>CONCATENATE("          ","4500"," - ","SALES DISCOUNT")</f>
        <v xml:space="preserve">          4500 - SALES DISCOUNT</v>
      </c>
      <c r="C16" s="9"/>
      <c r="D16" s="3">
        <f>0</f>
        <v>0</v>
      </c>
      <c r="E16" s="3"/>
      <c r="F16" s="26"/>
      <c r="G16" s="3"/>
      <c r="H16" s="3"/>
      <c r="I16" s="3"/>
      <c r="J16" s="26"/>
      <c r="K16" s="3"/>
      <c r="L16" s="3">
        <f>+D16-H16</f>
        <v>0</v>
      </c>
      <c r="M16" s="3"/>
      <c r="N16" s="26">
        <f>IF(H16=0,0,L16/H16)</f>
        <v>0</v>
      </c>
      <c r="O16" s="9"/>
      <c r="P16" s="3">
        <f>-2320.09</f>
        <v>-2320.09</v>
      </c>
      <c r="Q16" s="3"/>
      <c r="R16" s="26"/>
      <c r="S16" s="3"/>
      <c r="T16" s="3"/>
      <c r="U16" s="3"/>
      <c r="V16" s="26"/>
      <c r="W16" s="3"/>
      <c r="X16" s="3">
        <f>+P16-T16</f>
        <v>-2320.09</v>
      </c>
      <c r="Y16" s="3"/>
      <c r="Z16" s="26">
        <f>IF(T16=0,0,X16/T16)</f>
        <v>0</v>
      </c>
    </row>
    <row r="17" spans="1:26" ht="15" customHeight="1" x14ac:dyDescent="0.3">
      <c r="A17" s="12"/>
      <c r="B17" s="13"/>
      <c r="C17" s="12"/>
      <c r="D17" s="4"/>
      <c r="E17" s="4"/>
      <c r="F17" s="10"/>
      <c r="G17" s="4"/>
      <c r="H17" s="4"/>
      <c r="I17" s="4"/>
      <c r="J17" s="10"/>
      <c r="K17" s="4"/>
      <c r="L17" s="4"/>
      <c r="M17" s="4"/>
      <c r="N17" s="10"/>
      <c r="P17" s="4"/>
      <c r="Q17" s="4"/>
      <c r="R17" s="10"/>
      <c r="S17" s="4"/>
      <c r="T17" s="4"/>
      <c r="U17" s="4"/>
      <c r="V17" s="10"/>
      <c r="W17" s="4"/>
      <c r="X17" s="4"/>
      <c r="Y17" s="4"/>
      <c r="Z17" s="10"/>
    </row>
    <row r="18" spans="1:26" s="63" customFormat="1" ht="15" customHeight="1" collapsed="1" x14ac:dyDescent="0.3">
      <c r="A18" s="13"/>
      <c r="B18" s="28" t="s">
        <v>288</v>
      </c>
      <c r="C18" s="13"/>
      <c r="D18" s="8">
        <f>SUM(OSRRefD16x_0)</f>
        <v>-55579.69</v>
      </c>
      <c r="E18" s="8"/>
      <c r="F18" s="14">
        <f t="shared" ref="F18:F28" si="0">IF(D$12=0,0,D18/D$12)</f>
        <v>0</v>
      </c>
      <c r="G18" s="8"/>
      <c r="H18" s="8">
        <f>SUM(OSRRefH16x_0)</f>
        <v>836</v>
      </c>
      <c r="I18" s="8"/>
      <c r="J18" s="14">
        <f t="shared" ref="J18:J28" si="1">IF(H$12=0,0,H18/H$12)</f>
        <v>0.6562009419152276</v>
      </c>
      <c r="K18" s="8"/>
      <c r="L18" s="8">
        <f t="shared" ref="L18:L28" si="2">+D18-H18</f>
        <v>-56415.69</v>
      </c>
      <c r="M18" s="8"/>
      <c r="N18" s="14">
        <f t="shared" ref="N18:N28" si="3">IF(H18=0,0,L18/H18)</f>
        <v>-67.48288277511962</v>
      </c>
      <c r="O18" s="13"/>
      <c r="P18" s="8">
        <f>SUM(OSRRefP16x_0)</f>
        <v>78078.590000000026</v>
      </c>
      <c r="Q18" s="8"/>
      <c r="R18" s="14">
        <f t="shared" ref="R18:R28" si="4">IF(P$12=0,0,P18/P$12)</f>
        <v>0.32444047861984665</v>
      </c>
      <c r="S18" s="8"/>
      <c r="T18" s="8">
        <f>SUM(OSRRefT16x_0)</f>
        <v>266313</v>
      </c>
      <c r="U18" s="8"/>
      <c r="V18" s="14">
        <f t="shared" ref="V18:V28" si="5">IF(T$12=0,0,T18/T$12)</f>
        <v>0.55735354748784571</v>
      </c>
      <c r="W18" s="8"/>
      <c r="X18" s="8">
        <f t="shared" ref="X18:X28" si="6">+P18-T18</f>
        <v>-188234.40999999997</v>
      </c>
      <c r="Y18" s="8"/>
      <c r="Z18" s="14">
        <f t="shared" ref="Z18:Z28" si="7">IF(T18=0,0,X18/T18)</f>
        <v>-0.70681645282055316</v>
      </c>
    </row>
    <row r="19" spans="1:26" s="70" customFormat="1" ht="15" hidden="1" customHeight="1" outlineLevel="1" x14ac:dyDescent="0.3">
      <c r="A19" s="48"/>
      <c r="B19" s="9" t="str">
        <f>CONCATENATE("          ","5000"," - ","PURCHASES @ COST")</f>
        <v xml:space="preserve">          5000 - PURCHASES @ COST</v>
      </c>
      <c r="C19" s="9"/>
      <c r="D19" s="3">
        <v>-54767.62</v>
      </c>
      <c r="E19" s="3"/>
      <c r="F19" s="26">
        <f t="shared" si="0"/>
        <v>0</v>
      </c>
      <c r="G19" s="3"/>
      <c r="H19" s="3">
        <v>836</v>
      </c>
      <c r="I19" s="3"/>
      <c r="J19" s="26">
        <f t="shared" si="1"/>
        <v>0.6562009419152276</v>
      </c>
      <c r="K19" s="3"/>
      <c r="L19" s="3">
        <f t="shared" si="2"/>
        <v>-55603.62</v>
      </c>
      <c r="M19" s="3"/>
      <c r="N19" s="26">
        <f t="shared" si="3"/>
        <v>-66.511507177033494</v>
      </c>
      <c r="O19" s="9"/>
      <c r="P19" s="3">
        <v>114393.25</v>
      </c>
      <c r="Q19" s="3"/>
      <c r="R19" s="26">
        <f t="shared" si="4"/>
        <v>0.47533902419190405</v>
      </c>
      <c r="S19" s="3"/>
      <c r="T19" s="3">
        <v>266313</v>
      </c>
      <c r="U19" s="3"/>
      <c r="V19" s="26">
        <f t="shared" si="5"/>
        <v>0.55735354748784571</v>
      </c>
      <c r="W19" s="3"/>
      <c r="X19" s="3">
        <f t="shared" si="6"/>
        <v>-151919.75</v>
      </c>
      <c r="Y19" s="3"/>
      <c r="Z19" s="26">
        <f t="shared" si="7"/>
        <v>-0.57045562927833038</v>
      </c>
    </row>
    <row r="20" spans="1:26" s="70" customFormat="1" ht="15" hidden="1" customHeight="1" outlineLevel="1" x14ac:dyDescent="0.3">
      <c r="A20" s="48"/>
      <c r="B20" s="9" t="str">
        <f>CONCATENATE("          ","5026"," - ","PURCHASES @ COST-WRITING INSTR")</f>
        <v xml:space="preserve">          5026 - PURCHASES @ COST-WRITING INSTR</v>
      </c>
      <c r="C20" s="9"/>
      <c r="D20" s="3"/>
      <c r="E20" s="3"/>
      <c r="F20" s="26">
        <f t="shared" si="0"/>
        <v>0</v>
      </c>
      <c r="G20" s="3"/>
      <c r="H20" s="3"/>
      <c r="I20" s="3"/>
      <c r="J20" s="26">
        <f t="shared" si="1"/>
        <v>0</v>
      </c>
      <c r="K20" s="3"/>
      <c r="L20" s="3">
        <f t="shared" si="2"/>
        <v>0</v>
      </c>
      <c r="M20" s="3"/>
      <c r="N20" s="26">
        <f t="shared" si="3"/>
        <v>0</v>
      </c>
      <c r="O20" s="9"/>
      <c r="P20" s="3">
        <v>0</v>
      </c>
      <c r="Q20" s="3"/>
      <c r="R20" s="26">
        <f t="shared" si="4"/>
        <v>0</v>
      </c>
      <c r="S20" s="3"/>
      <c r="T20" s="3"/>
      <c r="U20" s="3"/>
      <c r="V20" s="26">
        <f t="shared" si="5"/>
        <v>0</v>
      </c>
      <c r="W20" s="3"/>
      <c r="X20" s="3">
        <f t="shared" si="6"/>
        <v>0</v>
      </c>
      <c r="Y20" s="3"/>
      <c r="Z20" s="26">
        <f t="shared" si="7"/>
        <v>0</v>
      </c>
    </row>
    <row r="21" spans="1:26" s="70" customFormat="1" ht="15" hidden="1" customHeight="1" outlineLevel="1" x14ac:dyDescent="0.3">
      <c r="A21" s="48"/>
      <c r="B21" s="9" t="str">
        <f>CONCATENATE("          ","5027"," - ","PURCHASES @ COST-SCHOOL SUPPLI")</f>
        <v xml:space="preserve">          5027 - PURCHASES @ COST-SCHOOL SUPPLI</v>
      </c>
      <c r="C21" s="9"/>
      <c r="D21" s="3"/>
      <c r="E21" s="3"/>
      <c r="F21" s="26">
        <f t="shared" si="0"/>
        <v>0</v>
      </c>
      <c r="G21" s="3"/>
      <c r="H21" s="3"/>
      <c r="I21" s="3"/>
      <c r="J21" s="26">
        <f t="shared" si="1"/>
        <v>0</v>
      </c>
      <c r="K21" s="3"/>
      <c r="L21" s="3">
        <f t="shared" si="2"/>
        <v>0</v>
      </c>
      <c r="M21" s="3"/>
      <c r="N21" s="26">
        <f t="shared" si="3"/>
        <v>0</v>
      </c>
      <c r="O21" s="9"/>
      <c r="P21" s="3">
        <v>0</v>
      </c>
      <c r="Q21" s="3"/>
      <c r="R21" s="26">
        <f t="shared" si="4"/>
        <v>0</v>
      </c>
      <c r="S21" s="3"/>
      <c r="T21" s="3"/>
      <c r="U21" s="3"/>
      <c r="V21" s="26">
        <f t="shared" si="5"/>
        <v>0</v>
      </c>
      <c r="W21" s="3"/>
      <c r="X21" s="3">
        <f t="shared" si="6"/>
        <v>0</v>
      </c>
      <c r="Y21" s="3"/>
      <c r="Z21" s="26">
        <f t="shared" si="7"/>
        <v>0</v>
      </c>
    </row>
    <row r="22" spans="1:26" s="70" customFormat="1" ht="15" hidden="1" customHeight="1" outlineLevel="1" x14ac:dyDescent="0.3">
      <c r="A22" s="48"/>
      <c r="B22" s="9" t="str">
        <f>CONCATENATE("          ","5028"," - ","PURCHASES @ COST-ART/TECH")</f>
        <v xml:space="preserve">          5028 - PURCHASES @ COST-ART/TECH</v>
      </c>
      <c r="C22" s="9"/>
      <c r="D22" s="3"/>
      <c r="E22" s="3"/>
      <c r="F22" s="26">
        <f t="shared" si="0"/>
        <v>0</v>
      </c>
      <c r="G22" s="3"/>
      <c r="H22" s="3"/>
      <c r="I22" s="3"/>
      <c r="J22" s="26">
        <f t="shared" si="1"/>
        <v>0</v>
      </c>
      <c r="K22" s="3"/>
      <c r="L22" s="3">
        <f t="shared" si="2"/>
        <v>0</v>
      </c>
      <c r="M22" s="3"/>
      <c r="N22" s="26">
        <f t="shared" si="3"/>
        <v>0</v>
      </c>
      <c r="O22" s="9"/>
      <c r="P22" s="3">
        <v>0</v>
      </c>
      <c r="Q22" s="3"/>
      <c r="R22" s="26">
        <f t="shared" si="4"/>
        <v>0</v>
      </c>
      <c r="S22" s="3"/>
      <c r="T22" s="3"/>
      <c r="U22" s="3"/>
      <c r="V22" s="26">
        <f t="shared" si="5"/>
        <v>0</v>
      </c>
      <c r="W22" s="3"/>
      <c r="X22" s="3">
        <f t="shared" si="6"/>
        <v>0</v>
      </c>
      <c r="Y22" s="3"/>
      <c r="Z22" s="26">
        <f t="shared" si="7"/>
        <v>0</v>
      </c>
    </row>
    <row r="23" spans="1:26" s="70" customFormat="1" ht="15" hidden="1" customHeight="1" outlineLevel="1" x14ac:dyDescent="0.3">
      <c r="A23" s="48"/>
      <c r="B23" s="9" t="str">
        <f>CONCATENATE("          ","5031"," - ","PURCHASES @ COST-FOOD")</f>
        <v xml:space="preserve">          5031 - PURCHASES @ COST-FOOD</v>
      </c>
      <c r="C23" s="9"/>
      <c r="D23" s="3"/>
      <c r="E23" s="3"/>
      <c r="F23" s="26">
        <f t="shared" si="0"/>
        <v>0</v>
      </c>
      <c r="G23" s="3"/>
      <c r="H23" s="3"/>
      <c r="I23" s="3"/>
      <c r="J23" s="26">
        <f t="shared" si="1"/>
        <v>0</v>
      </c>
      <c r="K23" s="3"/>
      <c r="L23" s="3">
        <f t="shared" si="2"/>
        <v>0</v>
      </c>
      <c r="M23" s="3"/>
      <c r="N23" s="26">
        <f t="shared" si="3"/>
        <v>0</v>
      </c>
      <c r="O23" s="9"/>
      <c r="P23" s="3">
        <v>0</v>
      </c>
      <c r="Q23" s="3"/>
      <c r="R23" s="26">
        <f t="shared" si="4"/>
        <v>0</v>
      </c>
      <c r="S23" s="3"/>
      <c r="T23" s="3"/>
      <c r="U23" s="3"/>
      <c r="V23" s="26">
        <f t="shared" si="5"/>
        <v>0</v>
      </c>
      <c r="W23" s="3"/>
      <c r="X23" s="3">
        <f t="shared" si="6"/>
        <v>0</v>
      </c>
      <c r="Y23" s="3"/>
      <c r="Z23" s="26">
        <f t="shared" si="7"/>
        <v>0</v>
      </c>
    </row>
    <row r="24" spans="1:26" s="70" customFormat="1" ht="15" hidden="1" customHeight="1" outlineLevel="1" x14ac:dyDescent="0.3">
      <c r="A24" s="48"/>
      <c r="B24" s="9" t="str">
        <f>CONCATENATE("          ","5042"," - ","PURCHASES @ COST-EVERYDAY GIFT")</f>
        <v xml:space="preserve">          5042 - PURCHASES @ COST-EVERYDAY GIFT</v>
      </c>
      <c r="C24" s="9"/>
      <c r="D24" s="3"/>
      <c r="E24" s="3"/>
      <c r="F24" s="26">
        <f t="shared" si="0"/>
        <v>0</v>
      </c>
      <c r="G24" s="3"/>
      <c r="H24" s="3"/>
      <c r="I24" s="3"/>
      <c r="J24" s="26">
        <f t="shared" si="1"/>
        <v>0</v>
      </c>
      <c r="K24" s="3"/>
      <c r="L24" s="3">
        <f t="shared" si="2"/>
        <v>0</v>
      </c>
      <c r="M24" s="3"/>
      <c r="N24" s="26">
        <f t="shared" si="3"/>
        <v>0</v>
      </c>
      <c r="O24" s="9"/>
      <c r="P24" s="3">
        <v>0</v>
      </c>
      <c r="Q24" s="3"/>
      <c r="R24" s="26">
        <f t="shared" si="4"/>
        <v>0</v>
      </c>
      <c r="S24" s="3"/>
      <c r="T24" s="3"/>
      <c r="U24" s="3"/>
      <c r="V24" s="26">
        <f t="shared" si="5"/>
        <v>0</v>
      </c>
      <c r="W24" s="3"/>
      <c r="X24" s="3">
        <f t="shared" si="6"/>
        <v>0</v>
      </c>
      <c r="Y24" s="3"/>
      <c r="Z24" s="26">
        <f t="shared" si="7"/>
        <v>0</v>
      </c>
    </row>
    <row r="25" spans="1:26" s="70" customFormat="1" ht="15" hidden="1" customHeight="1" outlineLevel="1" x14ac:dyDescent="0.3">
      <c r="A25" s="48"/>
      <c r="B25" s="9" t="str">
        <f>CONCATENATE("          ","5200"," - ","PURCHASES OFFSET")</f>
        <v xml:space="preserve">          5200 - PURCHASES OFFSET</v>
      </c>
      <c r="C25" s="9"/>
      <c r="D25" s="3">
        <v>-825.74</v>
      </c>
      <c r="E25" s="3"/>
      <c r="F25" s="26">
        <f t="shared" si="0"/>
        <v>0</v>
      </c>
      <c r="G25" s="3"/>
      <c r="H25" s="3"/>
      <c r="I25" s="3"/>
      <c r="J25" s="26">
        <f t="shared" si="1"/>
        <v>0</v>
      </c>
      <c r="K25" s="3"/>
      <c r="L25" s="3">
        <f t="shared" si="2"/>
        <v>-825.74</v>
      </c>
      <c r="M25" s="3"/>
      <c r="N25" s="26">
        <f t="shared" si="3"/>
        <v>0</v>
      </c>
      <c r="O25" s="9"/>
      <c r="P25" s="3">
        <v>-171774.21</v>
      </c>
      <c r="Q25" s="3"/>
      <c r="R25" s="26">
        <f t="shared" si="4"/>
        <v>-0.71377450472589254</v>
      </c>
      <c r="S25" s="3"/>
      <c r="T25" s="3"/>
      <c r="U25" s="3"/>
      <c r="V25" s="26">
        <f t="shared" si="5"/>
        <v>0</v>
      </c>
      <c r="W25" s="3"/>
      <c r="X25" s="3">
        <f t="shared" si="6"/>
        <v>-171774.21</v>
      </c>
      <c r="Y25" s="3"/>
      <c r="Z25" s="26">
        <f t="shared" si="7"/>
        <v>0</v>
      </c>
    </row>
    <row r="26" spans="1:26" s="70" customFormat="1" ht="15" hidden="1" customHeight="1" outlineLevel="1" x14ac:dyDescent="0.3">
      <c r="A26" s="48"/>
      <c r="B26" s="9" t="str">
        <f>CONCATENATE("          ","5300"," - ","COG$ OFFSET")</f>
        <v xml:space="preserve">          5300 - COG$ OFFSET</v>
      </c>
      <c r="C26" s="9"/>
      <c r="D26" s="3">
        <v>13.67</v>
      </c>
      <c r="E26" s="3"/>
      <c r="F26" s="26">
        <f t="shared" si="0"/>
        <v>0</v>
      </c>
      <c r="G26" s="3"/>
      <c r="H26" s="3"/>
      <c r="I26" s="3"/>
      <c r="J26" s="26">
        <f t="shared" si="1"/>
        <v>0</v>
      </c>
      <c r="K26" s="3"/>
      <c r="L26" s="3">
        <f t="shared" si="2"/>
        <v>13.67</v>
      </c>
      <c r="M26" s="3"/>
      <c r="N26" s="26">
        <f t="shared" si="3"/>
        <v>0</v>
      </c>
      <c r="O26" s="9"/>
      <c r="P26" s="3">
        <v>133671.95000000001</v>
      </c>
      <c r="Q26" s="3"/>
      <c r="R26" s="26">
        <f t="shared" si="4"/>
        <v>0.55544793311518814</v>
      </c>
      <c r="S26" s="3"/>
      <c r="T26" s="3"/>
      <c r="U26" s="3"/>
      <c r="V26" s="26">
        <f t="shared" si="5"/>
        <v>0</v>
      </c>
      <c r="W26" s="3"/>
      <c r="X26" s="3">
        <f t="shared" si="6"/>
        <v>133671.95000000001</v>
      </c>
      <c r="Y26" s="3"/>
      <c r="Z26" s="26">
        <f t="shared" si="7"/>
        <v>0</v>
      </c>
    </row>
    <row r="27" spans="1:26" s="70" customFormat="1" ht="15" hidden="1" customHeight="1" outlineLevel="1" x14ac:dyDescent="0.3">
      <c r="A27" s="48"/>
      <c r="B27" s="9" t="str">
        <f>CONCATENATE("          ","5500"," - ","FREIGHT-IN")</f>
        <v xml:space="preserve">          5500 - FREIGHT-IN</v>
      </c>
      <c r="C27" s="9"/>
      <c r="D27" s="3"/>
      <c r="E27" s="3"/>
      <c r="F27" s="26">
        <f t="shared" si="0"/>
        <v>0</v>
      </c>
      <c r="G27" s="3"/>
      <c r="H27" s="3"/>
      <c r="I27" s="3"/>
      <c r="J27" s="26">
        <f t="shared" si="1"/>
        <v>0</v>
      </c>
      <c r="K27" s="3"/>
      <c r="L27" s="3">
        <f t="shared" si="2"/>
        <v>0</v>
      </c>
      <c r="M27" s="3"/>
      <c r="N27" s="26">
        <f t="shared" si="3"/>
        <v>0</v>
      </c>
      <c r="O27" s="9"/>
      <c r="P27" s="3">
        <v>1787.6</v>
      </c>
      <c r="Q27" s="3"/>
      <c r="R27" s="26">
        <f t="shared" si="4"/>
        <v>7.4280260386469276E-3</v>
      </c>
      <c r="S27" s="3"/>
      <c r="T27" s="3"/>
      <c r="U27" s="3"/>
      <c r="V27" s="26">
        <f t="shared" si="5"/>
        <v>0</v>
      </c>
      <c r="W27" s="3"/>
      <c r="X27" s="3">
        <f t="shared" si="6"/>
        <v>1787.6</v>
      </c>
      <c r="Y27" s="3"/>
      <c r="Z27" s="26">
        <f t="shared" si="7"/>
        <v>0</v>
      </c>
    </row>
    <row r="28" spans="1:26" s="70" customFormat="1" ht="15" hidden="1" customHeight="1" outlineLevel="1" x14ac:dyDescent="0.3">
      <c r="A28" s="48"/>
      <c r="B28" s="9" t="str">
        <f>CONCATENATE("          ","5528"," - ","FREIGHT-IN-ART/TECH")</f>
        <v xml:space="preserve">          5528 - FREIGHT-IN-ART/TECH</v>
      </c>
      <c r="C28" s="9"/>
      <c r="D28" s="3"/>
      <c r="E28" s="3"/>
      <c r="F28" s="26">
        <f t="shared" si="0"/>
        <v>0</v>
      </c>
      <c r="G28" s="3"/>
      <c r="H28" s="3"/>
      <c r="I28" s="3"/>
      <c r="J28" s="26">
        <f t="shared" si="1"/>
        <v>0</v>
      </c>
      <c r="K28" s="3"/>
      <c r="L28" s="3">
        <f t="shared" si="2"/>
        <v>0</v>
      </c>
      <c r="M28" s="3"/>
      <c r="N28" s="26">
        <f t="shared" si="3"/>
        <v>0</v>
      </c>
      <c r="O28" s="9"/>
      <c r="P28" s="3">
        <v>0</v>
      </c>
      <c r="Q28" s="3"/>
      <c r="R28" s="26">
        <f t="shared" si="4"/>
        <v>0</v>
      </c>
      <c r="S28" s="3"/>
      <c r="T28" s="3"/>
      <c r="U28" s="3"/>
      <c r="V28" s="26">
        <f t="shared" si="5"/>
        <v>0</v>
      </c>
      <c r="W28" s="3"/>
      <c r="X28" s="3">
        <f t="shared" si="6"/>
        <v>0</v>
      </c>
      <c r="Y28" s="3"/>
      <c r="Z28" s="26">
        <f t="shared" si="7"/>
        <v>0</v>
      </c>
    </row>
    <row r="29" spans="1:26" ht="15" customHeight="1" x14ac:dyDescent="0.3">
      <c r="A29" s="12"/>
      <c r="B29" s="13"/>
      <c r="C29" s="13"/>
      <c r="D29" s="4"/>
      <c r="E29" s="4"/>
      <c r="F29" s="10"/>
      <c r="G29" s="4"/>
      <c r="H29" s="4"/>
      <c r="I29" s="4"/>
      <c r="J29" s="10"/>
      <c r="K29" s="4"/>
      <c r="L29" s="4"/>
      <c r="M29" s="4"/>
      <c r="N29" s="10"/>
      <c r="O29" s="13"/>
      <c r="P29" s="4"/>
      <c r="Q29" s="4"/>
      <c r="R29" s="10"/>
      <c r="S29" s="4"/>
      <c r="T29" s="4"/>
      <c r="U29" s="4"/>
      <c r="V29" s="10"/>
      <c r="W29" s="4"/>
      <c r="X29" s="4"/>
      <c r="Y29" s="4"/>
      <c r="Z29" s="10"/>
    </row>
    <row r="30" spans="1:26" s="63" customFormat="1" ht="15" customHeight="1" x14ac:dyDescent="0.3">
      <c r="A30" s="13"/>
      <c r="B30" s="27" t="s">
        <v>289</v>
      </c>
      <c r="C30" s="27"/>
      <c r="D30" s="23">
        <f>D12-D18</f>
        <v>55579.69</v>
      </c>
      <c r="E30" s="15"/>
      <c r="F30" s="22">
        <f>IF(D$12=0,0,D30/D$12)</f>
        <v>0</v>
      </c>
      <c r="G30" s="15"/>
      <c r="H30" s="23">
        <f>H12-H18</f>
        <v>438</v>
      </c>
      <c r="I30" s="15"/>
      <c r="J30" s="22">
        <f>IF(H$12=0,0,H30/H$12)</f>
        <v>0.34379905808477235</v>
      </c>
      <c r="K30" s="17"/>
      <c r="L30" s="23">
        <f>+D30-H30</f>
        <v>55141.69</v>
      </c>
      <c r="M30" s="17"/>
      <c r="N30" s="22">
        <f>IF(H30=0,0,L30/H30)</f>
        <v>125.8942694063927</v>
      </c>
      <c r="O30" s="28"/>
      <c r="P30" s="23">
        <f>P12-P18</f>
        <v>162577.53999999995</v>
      </c>
      <c r="Q30" s="15"/>
      <c r="R30" s="22">
        <f>IF(P$12=0,0,P30/P$12)</f>
        <v>0.6755595213801534</v>
      </c>
      <c r="S30" s="15"/>
      <c r="T30" s="23">
        <f>T12-T18</f>
        <v>211504</v>
      </c>
      <c r="U30" s="15"/>
      <c r="V30" s="22">
        <f>IF(T$12=0,0,T30/T$12)</f>
        <v>0.44264645251215423</v>
      </c>
      <c r="W30" s="17"/>
      <c r="X30" s="23">
        <f>+P30-T30</f>
        <v>-48926.46000000005</v>
      </c>
      <c r="Y30" s="17"/>
      <c r="Z30" s="22">
        <f>IF(T30=0,0,X30/T30)</f>
        <v>-0.23132640517437048</v>
      </c>
    </row>
    <row r="31" spans="1:26" ht="15" customHeight="1" x14ac:dyDescent="0.3">
      <c r="A31" s="12"/>
      <c r="B31" s="13"/>
      <c r="C31" s="12"/>
      <c r="D31" s="2"/>
      <c r="E31" s="2"/>
      <c r="F31" s="5"/>
      <c r="G31" s="2"/>
      <c r="H31" s="2"/>
      <c r="I31" s="2"/>
      <c r="J31" s="5"/>
      <c r="K31" s="2"/>
      <c r="L31" s="2"/>
      <c r="M31" s="2"/>
      <c r="N31" s="5"/>
      <c r="O31" s="36"/>
      <c r="P31" s="2"/>
      <c r="Q31" s="2"/>
      <c r="R31" s="5"/>
      <c r="S31" s="2"/>
      <c r="T31" s="2"/>
      <c r="U31" s="2"/>
      <c r="V31" s="5"/>
      <c r="W31" s="2"/>
      <c r="X31" s="2"/>
      <c r="Y31" s="2"/>
      <c r="Z31" s="5"/>
    </row>
    <row r="32" spans="1:26" s="63" customFormat="1" ht="15" customHeight="1" x14ac:dyDescent="0.3">
      <c r="A32" s="13"/>
      <c r="B32" s="28" t="s">
        <v>290</v>
      </c>
      <c r="C32" s="13"/>
      <c r="D32" s="24" cm="1">
        <f t="array" ref="D32">SUM(OSRRefD22x_0)</f>
        <v>4885.28</v>
      </c>
      <c r="E32" s="24"/>
      <c r="F32" s="34">
        <f t="shared" ref="F32:F63" si="8">IF(D$12=0,0,D32/D$12)</f>
        <v>0</v>
      </c>
      <c r="G32" s="24"/>
      <c r="H32" s="24" cm="1">
        <f t="array" ref="H32">SUM(OSRRefH22x_0)</f>
        <v>10616.186453999999</v>
      </c>
      <c r="I32" s="24"/>
      <c r="J32" s="34">
        <f t="shared" ref="J32:J63" si="9">IF(H$12=0,0,H32/H$12)</f>
        <v>8.3329564003139716</v>
      </c>
      <c r="K32" s="8"/>
      <c r="L32" s="24">
        <f t="shared" ref="L32:L63" si="10">+D32-H32</f>
        <v>-5730.906453999999</v>
      </c>
      <c r="M32" s="8"/>
      <c r="N32" s="34">
        <f t="shared" ref="N32:N63" si="11">IF(H32=0,0,L32/H32)</f>
        <v>-0.53982722315890475</v>
      </c>
      <c r="O32" s="13"/>
      <c r="P32" s="24" cm="1">
        <f t="array" ref="P32">SUM(OSRRefP22x_0)</f>
        <v>72858.91</v>
      </c>
      <c r="Q32" s="24"/>
      <c r="R32" s="34">
        <f t="shared" ref="R32:R63" si="12">IF(P$12=0,0,P32/P$12)</f>
        <v>0.30275110798133426</v>
      </c>
      <c r="S32" s="24"/>
      <c r="T32" s="24" cm="1">
        <f t="array" ref="T32">SUM(OSRRefT22x_0)</f>
        <v>136719.39301</v>
      </c>
      <c r="U32" s="24"/>
      <c r="V32" s="34">
        <f t="shared" ref="V32:V63" si="13">IF(T$12=0,0,T32/T$12)</f>
        <v>0.28613337953651713</v>
      </c>
      <c r="W32" s="8"/>
      <c r="X32" s="24">
        <f t="shared" ref="X32:X63" si="14">+P32-T32</f>
        <v>-63860.483009999996</v>
      </c>
      <c r="Y32" s="8"/>
      <c r="Z32" s="34">
        <f t="shared" ref="Z32:Z63" si="15">IF(T32=0,0,X32/T32)</f>
        <v>-0.46709162178133046</v>
      </c>
    </row>
    <row r="33" spans="1:26" s="69" customFormat="1" ht="15" customHeight="1" outlineLevel="1" collapsed="1" x14ac:dyDescent="0.3">
      <c r="A33" s="20"/>
      <c r="B33" s="11" t="str">
        <f>CONCATENATE("     ","*Benefits                                         ")</f>
        <v xml:space="preserve">     *Benefits                                         </v>
      </c>
      <c r="C33" s="11"/>
      <c r="D33" s="2">
        <f>SUM(OSRRefD22_0x_0)</f>
        <v>1063.28</v>
      </c>
      <c r="E33" s="2"/>
      <c r="F33" s="5">
        <f t="shared" si="8"/>
        <v>0</v>
      </c>
      <c r="G33" s="2"/>
      <c r="H33" s="2">
        <f>SUM(OSRRefH22_0x_0)</f>
        <v>1123.106454</v>
      </c>
      <c r="I33" s="2"/>
      <c r="J33" s="5">
        <f t="shared" si="9"/>
        <v>0.88155922605965464</v>
      </c>
      <c r="K33" s="2"/>
      <c r="L33" s="2">
        <f t="shared" si="10"/>
        <v>-59.826454000000012</v>
      </c>
      <c r="M33" s="2"/>
      <c r="N33" s="5">
        <f t="shared" si="11"/>
        <v>-5.3268729590970738E-2</v>
      </c>
      <c r="O33" s="11"/>
      <c r="P33" s="2">
        <f>SUM(OSRRefP22_0x_0)</f>
        <v>3654.8700000000003</v>
      </c>
      <c r="Q33" s="2"/>
      <c r="R33" s="5">
        <f t="shared" si="12"/>
        <v>1.5187105352354834E-2</v>
      </c>
      <c r="S33" s="2"/>
      <c r="T33" s="2">
        <f>SUM(OSRRefT22_0x_0)</f>
        <v>9298.3730099999993</v>
      </c>
      <c r="U33" s="2"/>
      <c r="V33" s="5">
        <f t="shared" si="13"/>
        <v>1.9460113411619927E-2</v>
      </c>
      <c r="W33" s="2"/>
      <c r="X33" s="2">
        <f t="shared" si="14"/>
        <v>-5643.5030099999985</v>
      </c>
      <c r="Y33" s="2"/>
      <c r="Z33" s="5">
        <f t="shared" si="15"/>
        <v>-0.60693446089231462</v>
      </c>
    </row>
    <row r="34" spans="1:26" s="70" customFormat="1" ht="15" hidden="1" customHeight="1" outlineLevel="2" x14ac:dyDescent="0.3">
      <c r="A34" s="21"/>
      <c r="B34" s="9" t="str">
        <f>CONCATENATE("          ","6111"," - ","F.I.C.A.")</f>
        <v xml:space="preserve">          6111 - F.I.C.A.</v>
      </c>
      <c r="C34" s="9"/>
      <c r="D34" s="6">
        <v>719.82</v>
      </c>
      <c r="E34" s="3"/>
      <c r="F34" s="7">
        <f t="shared" si="8"/>
        <v>0</v>
      </c>
      <c r="G34" s="3"/>
      <c r="H34" s="6">
        <v>666.56099400000005</v>
      </c>
      <c r="I34" s="3"/>
      <c r="J34" s="7">
        <f t="shared" si="9"/>
        <v>0.52320329199372062</v>
      </c>
      <c r="K34" s="3"/>
      <c r="L34" s="6">
        <f t="shared" si="10"/>
        <v>53.259005999999999</v>
      </c>
      <c r="M34" s="3"/>
      <c r="N34" s="7">
        <f t="shared" si="11"/>
        <v>7.990117405519831E-2</v>
      </c>
      <c r="O34" s="9"/>
      <c r="P34" s="6">
        <v>1614.77</v>
      </c>
      <c r="Q34" s="3"/>
      <c r="R34" s="7">
        <f t="shared" si="12"/>
        <v>6.7098644027891591E-3</v>
      </c>
      <c r="S34" s="3"/>
      <c r="T34" s="6">
        <v>3557.4205200000001</v>
      </c>
      <c r="U34" s="3"/>
      <c r="V34" s="7">
        <f t="shared" si="13"/>
        <v>7.4451526839773392E-3</v>
      </c>
      <c r="W34" s="3"/>
      <c r="X34" s="6">
        <f t="shared" si="14"/>
        <v>-1942.6505200000001</v>
      </c>
      <c r="Y34" s="3"/>
      <c r="Z34" s="7">
        <f t="shared" si="15"/>
        <v>-0.54608402607403861</v>
      </c>
    </row>
    <row r="35" spans="1:26" s="70" customFormat="1" ht="15" hidden="1" customHeight="1" outlineLevel="2" x14ac:dyDescent="0.3">
      <c r="A35" s="21"/>
      <c r="B35" s="9" t="str">
        <f>CONCATENATE("          ","6112"," - ","COMPENSATION INSURANCE")</f>
        <v xml:space="preserve">          6112 - COMPENSATION INSURANCE</v>
      </c>
      <c r="C35" s="9"/>
      <c r="D35" s="6">
        <v>-160.85</v>
      </c>
      <c r="E35" s="3"/>
      <c r="F35" s="7">
        <f t="shared" si="8"/>
        <v>0</v>
      </c>
      <c r="G35" s="3"/>
      <c r="H35" s="6">
        <v>135.87288000000001</v>
      </c>
      <c r="I35" s="3"/>
      <c r="J35" s="7">
        <f t="shared" si="9"/>
        <v>0.10665061224489797</v>
      </c>
      <c r="K35" s="3"/>
      <c r="L35" s="6">
        <f t="shared" si="10"/>
        <v>-296.72288000000003</v>
      </c>
      <c r="M35" s="3"/>
      <c r="N35" s="7">
        <f t="shared" si="11"/>
        <v>-2.1838271184065579</v>
      </c>
      <c r="O35" s="9"/>
      <c r="P35" s="6">
        <v>649.86</v>
      </c>
      <c r="Q35" s="3"/>
      <c r="R35" s="7">
        <f t="shared" si="12"/>
        <v>2.7003675327115085E-3</v>
      </c>
      <c r="S35" s="3"/>
      <c r="T35" s="6">
        <v>1708.56972</v>
      </c>
      <c r="U35" s="3"/>
      <c r="V35" s="7">
        <f t="shared" si="13"/>
        <v>3.5757826113344648E-3</v>
      </c>
      <c r="W35" s="3"/>
      <c r="X35" s="6">
        <f t="shared" si="14"/>
        <v>-1058.7097199999998</v>
      </c>
      <c r="Y35" s="3"/>
      <c r="Z35" s="7">
        <f t="shared" si="15"/>
        <v>-0.61964677683741221</v>
      </c>
    </row>
    <row r="36" spans="1:26" s="70" customFormat="1" ht="15" hidden="1" customHeight="1" outlineLevel="2" x14ac:dyDescent="0.3">
      <c r="A36" s="21"/>
      <c r="B36" s="9" t="str">
        <f>CONCATENATE("          ","6113"," - ","GROUP INSURANCE")</f>
        <v xml:space="preserve">          6113 - GROUP INSURANCE</v>
      </c>
      <c r="C36" s="9"/>
      <c r="D36" s="6">
        <v>30.64</v>
      </c>
      <c r="E36" s="3"/>
      <c r="F36" s="7">
        <f t="shared" si="8"/>
        <v>0</v>
      </c>
      <c r="G36" s="3"/>
      <c r="H36" s="6">
        <v>0</v>
      </c>
      <c r="I36" s="3"/>
      <c r="J36" s="7">
        <f t="shared" si="9"/>
        <v>0</v>
      </c>
      <c r="K36" s="3"/>
      <c r="L36" s="6">
        <f t="shared" si="10"/>
        <v>30.64</v>
      </c>
      <c r="M36" s="3"/>
      <c r="N36" s="7">
        <f t="shared" si="11"/>
        <v>0</v>
      </c>
      <c r="O36" s="9"/>
      <c r="P36" s="6">
        <v>61.28</v>
      </c>
      <c r="Q36" s="3"/>
      <c r="R36" s="7">
        <f t="shared" si="12"/>
        <v>2.5463718709346821E-4</v>
      </c>
      <c r="S36" s="3"/>
      <c r="T36" s="6">
        <v>0</v>
      </c>
      <c r="U36" s="3"/>
      <c r="V36" s="7">
        <f t="shared" si="13"/>
        <v>0</v>
      </c>
      <c r="W36" s="3"/>
      <c r="X36" s="6">
        <f t="shared" si="14"/>
        <v>61.28</v>
      </c>
      <c r="Y36" s="3"/>
      <c r="Z36" s="7">
        <f t="shared" si="15"/>
        <v>0</v>
      </c>
    </row>
    <row r="37" spans="1:26" s="70" customFormat="1" ht="15" hidden="1" customHeight="1" outlineLevel="2" x14ac:dyDescent="0.3">
      <c r="A37" s="21"/>
      <c r="B37" s="9" t="str">
        <f>CONCATENATE("          ","6114"," - ","STATE UNEMPLOYMENT INSURANCE")</f>
        <v xml:space="preserve">          6114 - STATE UNEMPLOYMENT INSURANCE</v>
      </c>
      <c r="C37" s="9"/>
      <c r="D37" s="6"/>
      <c r="E37" s="3"/>
      <c r="F37" s="7">
        <f t="shared" si="8"/>
        <v>0</v>
      </c>
      <c r="G37" s="3"/>
      <c r="H37" s="6">
        <v>18.290579999999999</v>
      </c>
      <c r="I37" s="3"/>
      <c r="J37" s="7">
        <f t="shared" si="9"/>
        <v>1.4356813186813186E-2</v>
      </c>
      <c r="K37" s="3"/>
      <c r="L37" s="6">
        <f t="shared" si="10"/>
        <v>-18.290579999999999</v>
      </c>
      <c r="M37" s="3"/>
      <c r="N37" s="7">
        <f t="shared" si="11"/>
        <v>-1</v>
      </c>
      <c r="O37" s="9"/>
      <c r="P37" s="6">
        <v>142.41</v>
      </c>
      <c r="Q37" s="3"/>
      <c r="R37" s="7">
        <f t="shared" si="12"/>
        <v>5.9175720975817247E-4</v>
      </c>
      <c r="S37" s="3"/>
      <c r="T37" s="6">
        <v>229.99977000000001</v>
      </c>
      <c r="U37" s="3"/>
      <c r="V37" s="7">
        <f t="shared" si="13"/>
        <v>4.8135535152579338E-4</v>
      </c>
      <c r="W37" s="3"/>
      <c r="X37" s="6">
        <f t="shared" si="14"/>
        <v>-87.589770000000016</v>
      </c>
      <c r="Y37" s="3"/>
      <c r="Z37" s="7">
        <f t="shared" si="15"/>
        <v>-0.38082546778198956</v>
      </c>
    </row>
    <row r="38" spans="1:26" s="70" customFormat="1" ht="15" hidden="1" customHeight="1" outlineLevel="2" x14ac:dyDescent="0.3">
      <c r="A38" s="21"/>
      <c r="B38" s="9" t="str">
        <f>CONCATENATE("          ","6115"," - ","P.E.R.S.")</f>
        <v xml:space="preserve">          6115 - P.E.R.S.</v>
      </c>
      <c r="C38" s="9"/>
      <c r="D38" s="6"/>
      <c r="E38" s="3"/>
      <c r="F38" s="7">
        <f t="shared" si="8"/>
        <v>0</v>
      </c>
      <c r="G38" s="3"/>
      <c r="H38" s="6">
        <v>0</v>
      </c>
      <c r="I38" s="3"/>
      <c r="J38" s="7">
        <f t="shared" si="9"/>
        <v>0</v>
      </c>
      <c r="K38" s="3"/>
      <c r="L38" s="6">
        <f t="shared" si="10"/>
        <v>0</v>
      </c>
      <c r="M38" s="3"/>
      <c r="N38" s="7">
        <f t="shared" si="11"/>
        <v>0</v>
      </c>
      <c r="O38" s="9"/>
      <c r="P38" s="6"/>
      <c r="Q38" s="3"/>
      <c r="R38" s="7">
        <f t="shared" si="12"/>
        <v>0</v>
      </c>
      <c r="S38" s="3"/>
      <c r="T38" s="6">
        <v>0</v>
      </c>
      <c r="U38" s="3"/>
      <c r="V38" s="7">
        <f t="shared" si="13"/>
        <v>0</v>
      </c>
      <c r="W38" s="3"/>
      <c r="X38" s="6">
        <f t="shared" si="14"/>
        <v>0</v>
      </c>
      <c r="Y38" s="3"/>
      <c r="Z38" s="7">
        <f t="shared" si="15"/>
        <v>0</v>
      </c>
    </row>
    <row r="39" spans="1:26" s="70" customFormat="1" ht="15" hidden="1" customHeight="1" outlineLevel="2" x14ac:dyDescent="0.3">
      <c r="A39" s="21"/>
      <c r="B39" s="9" t="str">
        <f>CONCATENATE("          ","6116"," - ","EDUCATIONAL BENEFITS")</f>
        <v xml:space="preserve">          6116 - EDUCATIONAL BENEFITS</v>
      </c>
      <c r="C39" s="9"/>
      <c r="D39" s="6"/>
      <c r="E39" s="3"/>
      <c r="F39" s="7">
        <f t="shared" si="8"/>
        <v>0</v>
      </c>
      <c r="G39" s="3"/>
      <c r="H39" s="6">
        <v>0</v>
      </c>
      <c r="I39" s="3"/>
      <c r="J39" s="7">
        <f t="shared" si="9"/>
        <v>0</v>
      </c>
      <c r="K39" s="3"/>
      <c r="L39" s="6">
        <f t="shared" si="10"/>
        <v>0</v>
      </c>
      <c r="M39" s="3"/>
      <c r="N39" s="7">
        <f t="shared" si="11"/>
        <v>0</v>
      </c>
      <c r="O39" s="9"/>
      <c r="P39" s="6"/>
      <c r="Q39" s="3"/>
      <c r="R39" s="7">
        <f t="shared" si="12"/>
        <v>0</v>
      </c>
      <c r="S39" s="3"/>
      <c r="T39" s="6">
        <v>0</v>
      </c>
      <c r="U39" s="3"/>
      <c r="V39" s="7">
        <f t="shared" si="13"/>
        <v>0</v>
      </c>
      <c r="W39" s="3"/>
      <c r="X39" s="6">
        <f t="shared" si="14"/>
        <v>0</v>
      </c>
      <c r="Y39" s="3"/>
      <c r="Z39" s="7">
        <f t="shared" si="15"/>
        <v>0</v>
      </c>
    </row>
    <row r="40" spans="1:26" s="70" customFormat="1" ht="15" hidden="1" customHeight="1" outlineLevel="2" x14ac:dyDescent="0.3">
      <c r="A40" s="21"/>
      <c r="B40" s="9" t="str">
        <f>CONCATENATE("          ","6118"," - ","VACATION")</f>
        <v xml:space="preserve">          6118 - VACATION</v>
      </c>
      <c r="C40" s="9"/>
      <c r="D40" s="6">
        <v>147.84</v>
      </c>
      <c r="E40" s="3"/>
      <c r="F40" s="7">
        <f t="shared" si="8"/>
        <v>0</v>
      </c>
      <c r="G40" s="3"/>
      <c r="H40" s="6">
        <v>0</v>
      </c>
      <c r="I40" s="3"/>
      <c r="J40" s="7">
        <f t="shared" si="9"/>
        <v>0</v>
      </c>
      <c r="K40" s="3"/>
      <c r="L40" s="6">
        <f t="shared" si="10"/>
        <v>147.84</v>
      </c>
      <c r="M40" s="3"/>
      <c r="N40" s="7">
        <f t="shared" si="11"/>
        <v>0</v>
      </c>
      <c r="O40" s="9"/>
      <c r="P40" s="6">
        <v>369.6</v>
      </c>
      <c r="Q40" s="3"/>
      <c r="R40" s="7">
        <f t="shared" si="12"/>
        <v>1.5358013111903697E-3</v>
      </c>
      <c r="S40" s="3"/>
      <c r="T40" s="6">
        <v>0</v>
      </c>
      <c r="U40" s="3"/>
      <c r="V40" s="7">
        <f t="shared" si="13"/>
        <v>0</v>
      </c>
      <c r="W40" s="3"/>
      <c r="X40" s="6">
        <f t="shared" si="14"/>
        <v>369.6</v>
      </c>
      <c r="Y40" s="3"/>
      <c r="Z40" s="7">
        <f t="shared" si="15"/>
        <v>0</v>
      </c>
    </row>
    <row r="41" spans="1:26" s="70" customFormat="1" ht="15" hidden="1" customHeight="1" outlineLevel="2" x14ac:dyDescent="0.3">
      <c r="A41" s="21"/>
      <c r="B41" s="9" t="str">
        <f>CONCATENATE("          ","6119"," - ","SICK LEAVE")</f>
        <v xml:space="preserve">          6119 - SICK LEAVE</v>
      </c>
      <c r="C41" s="9"/>
      <c r="D41" s="6">
        <v>177.12</v>
      </c>
      <c r="E41" s="3"/>
      <c r="F41" s="7">
        <f t="shared" si="8"/>
        <v>0</v>
      </c>
      <c r="G41" s="3"/>
      <c r="H41" s="6">
        <v>302.38200000000001</v>
      </c>
      <c r="I41" s="3"/>
      <c r="J41" s="7">
        <f t="shared" si="9"/>
        <v>0.23734850863422291</v>
      </c>
      <c r="K41" s="3"/>
      <c r="L41" s="6">
        <f t="shared" si="10"/>
        <v>-125.262</v>
      </c>
      <c r="M41" s="3"/>
      <c r="N41" s="7">
        <f t="shared" si="11"/>
        <v>-0.41425084826477765</v>
      </c>
      <c r="O41" s="9"/>
      <c r="P41" s="6">
        <v>442.8</v>
      </c>
      <c r="Q41" s="3"/>
      <c r="R41" s="7">
        <f t="shared" si="12"/>
        <v>1.8399697526923584E-3</v>
      </c>
      <c r="S41" s="3"/>
      <c r="T41" s="6">
        <v>3802.3829999999998</v>
      </c>
      <c r="U41" s="3"/>
      <c r="V41" s="7">
        <f t="shared" si="13"/>
        <v>7.9578227647823328E-3</v>
      </c>
      <c r="W41" s="3"/>
      <c r="X41" s="6">
        <f t="shared" si="14"/>
        <v>-3359.5829999999996</v>
      </c>
      <c r="Y41" s="3"/>
      <c r="Z41" s="7">
        <f t="shared" si="15"/>
        <v>-0.88354671267991669</v>
      </c>
    </row>
    <row r="42" spans="1:26" s="70" customFormat="1" ht="15" hidden="1" customHeight="1" outlineLevel="2" x14ac:dyDescent="0.3">
      <c r="A42" s="21"/>
      <c r="B42" s="9" t="str">
        <f>CONCATENATE("          ","6156"," - ","EMPLOYEE MEALS")</f>
        <v xml:space="preserve">          6156 - EMPLOYEE MEALS</v>
      </c>
      <c r="C42" s="9"/>
      <c r="D42" s="6">
        <v>148.71</v>
      </c>
      <c r="E42" s="3"/>
      <c r="F42" s="7">
        <f t="shared" si="8"/>
        <v>0</v>
      </c>
      <c r="G42" s="3"/>
      <c r="H42" s="6"/>
      <c r="I42" s="3"/>
      <c r="J42" s="7">
        <f t="shared" si="9"/>
        <v>0</v>
      </c>
      <c r="K42" s="3"/>
      <c r="L42" s="6">
        <f t="shared" si="10"/>
        <v>148.71</v>
      </c>
      <c r="M42" s="3"/>
      <c r="N42" s="7">
        <f t="shared" si="11"/>
        <v>0</v>
      </c>
      <c r="O42" s="9"/>
      <c r="P42" s="6">
        <v>374.15</v>
      </c>
      <c r="Q42" s="3"/>
      <c r="R42" s="7">
        <f t="shared" si="12"/>
        <v>1.5547079561197964E-3</v>
      </c>
      <c r="S42" s="3"/>
      <c r="T42" s="6"/>
      <c r="U42" s="3"/>
      <c r="V42" s="7">
        <f t="shared" si="13"/>
        <v>0</v>
      </c>
      <c r="W42" s="3"/>
      <c r="X42" s="6">
        <f t="shared" si="14"/>
        <v>374.15</v>
      </c>
      <c r="Y42" s="3"/>
      <c r="Z42" s="7">
        <f t="shared" si="15"/>
        <v>0</v>
      </c>
    </row>
    <row r="43" spans="1:26" s="69" customFormat="1" ht="15" customHeight="1" outlineLevel="1" collapsed="1" x14ac:dyDescent="0.3">
      <c r="A43" s="20"/>
      <c r="B43" s="11" t="str">
        <f>CONCATENATE("     ","*Payroll                                          ")</f>
        <v xml:space="preserve">     *Payroll                                          </v>
      </c>
      <c r="C43" s="11"/>
      <c r="D43" s="2">
        <f>SUM(OSRRefD22_1x_0)</f>
        <v>9409.2900000000009</v>
      </c>
      <c r="E43" s="2"/>
      <c r="F43" s="5">
        <f t="shared" si="8"/>
        <v>0</v>
      </c>
      <c r="G43" s="2"/>
      <c r="H43" s="2">
        <f>SUM(OSRRefH22_1x_0)</f>
        <v>8607.08</v>
      </c>
      <c r="I43" s="2"/>
      <c r="J43" s="5">
        <f t="shared" si="9"/>
        <v>6.7559497645211932</v>
      </c>
      <c r="K43" s="2"/>
      <c r="L43" s="2">
        <f t="shared" si="10"/>
        <v>802.21000000000095</v>
      </c>
      <c r="M43" s="2"/>
      <c r="N43" s="5">
        <f t="shared" si="11"/>
        <v>9.3203502233045465E-2</v>
      </c>
      <c r="O43" s="11"/>
      <c r="P43" s="2">
        <f>SUM(OSRRefP22_1x_0)</f>
        <v>56716.2</v>
      </c>
      <c r="Q43" s="2"/>
      <c r="R43" s="5">
        <f t="shared" si="12"/>
        <v>0.23567319893326633</v>
      </c>
      <c r="S43" s="2"/>
      <c r="T43" s="2">
        <f>SUM(OSRRefT22_1x_0)</f>
        <v>108232.01999999999</v>
      </c>
      <c r="U43" s="2"/>
      <c r="V43" s="5">
        <f t="shared" si="13"/>
        <v>0.22651353970243837</v>
      </c>
      <c r="W43" s="2"/>
      <c r="X43" s="2">
        <f t="shared" si="14"/>
        <v>-51515.819999999992</v>
      </c>
      <c r="Y43" s="2"/>
      <c r="Z43" s="5">
        <f t="shared" si="15"/>
        <v>-0.47597577870208835</v>
      </c>
    </row>
    <row r="44" spans="1:26" s="70" customFormat="1" ht="15" hidden="1" customHeight="1" outlineLevel="2" x14ac:dyDescent="0.3">
      <c r="A44" s="21"/>
      <c r="B44" s="9" t="str">
        <f>CONCATENATE("          ","6001"," - ","ADMINISTRATIVE SALARIES")</f>
        <v xml:space="preserve">          6001 - ADMINISTRATIVE SALARIES</v>
      </c>
      <c r="C44" s="9"/>
      <c r="D44" s="6"/>
      <c r="E44" s="3"/>
      <c r="F44" s="7">
        <f t="shared" si="8"/>
        <v>0</v>
      </c>
      <c r="G44" s="3"/>
      <c r="H44" s="6">
        <v>0</v>
      </c>
      <c r="I44" s="3"/>
      <c r="J44" s="7">
        <f t="shared" si="9"/>
        <v>0</v>
      </c>
      <c r="K44" s="3"/>
      <c r="L44" s="6">
        <f t="shared" si="10"/>
        <v>0</v>
      </c>
      <c r="M44" s="3"/>
      <c r="N44" s="7">
        <f t="shared" si="11"/>
        <v>0</v>
      </c>
      <c r="O44" s="9"/>
      <c r="P44" s="6"/>
      <c r="Q44" s="3"/>
      <c r="R44" s="7">
        <f t="shared" si="12"/>
        <v>0</v>
      </c>
      <c r="S44" s="3"/>
      <c r="T44" s="6">
        <v>0</v>
      </c>
      <c r="U44" s="3"/>
      <c r="V44" s="7">
        <f t="shared" si="13"/>
        <v>0</v>
      </c>
      <c r="W44" s="3"/>
      <c r="X44" s="6">
        <f t="shared" si="14"/>
        <v>0</v>
      </c>
      <c r="Y44" s="3"/>
      <c r="Z44" s="7">
        <f t="shared" si="15"/>
        <v>0</v>
      </c>
    </row>
    <row r="45" spans="1:26" s="70" customFormat="1" ht="15" hidden="1" customHeight="1" outlineLevel="2" x14ac:dyDescent="0.3">
      <c r="A45" s="21"/>
      <c r="B45" s="9" t="str">
        <f>CONCATENATE("          ","6002"," - ","STAFF SALARIES")</f>
        <v xml:space="preserve">          6002 - STAFF SALARIES</v>
      </c>
      <c r="C45" s="9"/>
      <c r="D45" s="6"/>
      <c r="E45" s="3"/>
      <c r="F45" s="7">
        <f t="shared" si="8"/>
        <v>0</v>
      </c>
      <c r="G45" s="3"/>
      <c r="H45" s="6">
        <v>0</v>
      </c>
      <c r="I45" s="3"/>
      <c r="J45" s="7">
        <f t="shared" si="9"/>
        <v>0</v>
      </c>
      <c r="K45" s="3"/>
      <c r="L45" s="6">
        <f t="shared" si="10"/>
        <v>0</v>
      </c>
      <c r="M45" s="3"/>
      <c r="N45" s="7">
        <f t="shared" si="11"/>
        <v>0</v>
      </c>
      <c r="O45" s="9"/>
      <c r="P45" s="6"/>
      <c r="Q45" s="3"/>
      <c r="R45" s="7">
        <f t="shared" si="12"/>
        <v>0</v>
      </c>
      <c r="S45" s="3"/>
      <c r="T45" s="6">
        <v>0</v>
      </c>
      <c r="U45" s="3"/>
      <c r="V45" s="7">
        <f t="shared" si="13"/>
        <v>0</v>
      </c>
      <c r="W45" s="3"/>
      <c r="X45" s="6">
        <f t="shared" si="14"/>
        <v>0</v>
      </c>
      <c r="Y45" s="3"/>
      <c r="Z45" s="7">
        <f t="shared" si="15"/>
        <v>0</v>
      </c>
    </row>
    <row r="46" spans="1:26" s="70" customFormat="1" ht="15" hidden="1" customHeight="1" outlineLevel="2" x14ac:dyDescent="0.3">
      <c r="A46" s="21"/>
      <c r="B46" s="9" t="str">
        <f>CONCATENATE("          ","6003"," - ","STAFF HOURLY-9 MONTH")</f>
        <v xml:space="preserve">          6003 - STAFF HOURLY-9 MONTH</v>
      </c>
      <c r="C46" s="9"/>
      <c r="D46" s="6"/>
      <c r="E46" s="3"/>
      <c r="F46" s="7">
        <f t="shared" si="8"/>
        <v>0</v>
      </c>
      <c r="G46" s="3"/>
      <c r="H46" s="6">
        <v>0</v>
      </c>
      <c r="I46" s="3"/>
      <c r="J46" s="7">
        <f t="shared" si="9"/>
        <v>0</v>
      </c>
      <c r="K46" s="3"/>
      <c r="L46" s="6">
        <f t="shared" si="10"/>
        <v>0</v>
      </c>
      <c r="M46" s="3"/>
      <c r="N46" s="7">
        <f t="shared" si="11"/>
        <v>0</v>
      </c>
      <c r="O46" s="9"/>
      <c r="P46" s="6"/>
      <c r="Q46" s="3"/>
      <c r="R46" s="7">
        <f t="shared" si="12"/>
        <v>0</v>
      </c>
      <c r="S46" s="3"/>
      <c r="T46" s="6">
        <v>0</v>
      </c>
      <c r="U46" s="3"/>
      <c r="V46" s="7">
        <f t="shared" si="13"/>
        <v>0</v>
      </c>
      <c r="W46" s="3"/>
      <c r="X46" s="6">
        <f t="shared" si="14"/>
        <v>0</v>
      </c>
      <c r="Y46" s="3"/>
      <c r="Z46" s="7">
        <f t="shared" si="15"/>
        <v>0</v>
      </c>
    </row>
    <row r="47" spans="1:26" s="70" customFormat="1" ht="15" hidden="1" customHeight="1" outlineLevel="2" x14ac:dyDescent="0.3">
      <c r="A47" s="21"/>
      <c r="B47" s="9" t="str">
        <f>CONCATENATE("          ","6004"," - ","STAFF HOURLY")</f>
        <v xml:space="preserve">          6004 - STAFF HOURLY</v>
      </c>
      <c r="C47" s="9"/>
      <c r="D47" s="6">
        <v>3885.12</v>
      </c>
      <c r="E47" s="3"/>
      <c r="F47" s="7">
        <f t="shared" si="8"/>
        <v>0</v>
      </c>
      <c r="G47" s="3"/>
      <c r="H47" s="6">
        <v>1951.68</v>
      </c>
      <c r="I47" s="3"/>
      <c r="J47" s="7">
        <f t="shared" si="9"/>
        <v>1.5319309262166405</v>
      </c>
      <c r="K47" s="3"/>
      <c r="L47" s="6">
        <f t="shared" si="10"/>
        <v>1933.4399999999998</v>
      </c>
      <c r="M47" s="3"/>
      <c r="N47" s="7">
        <f t="shared" si="11"/>
        <v>0.99065420560747652</v>
      </c>
      <c r="O47" s="9"/>
      <c r="P47" s="6">
        <v>9664.4500000000007</v>
      </c>
      <c r="Q47" s="3"/>
      <c r="R47" s="7">
        <f t="shared" si="12"/>
        <v>4.0158752656747211E-2</v>
      </c>
      <c r="S47" s="3"/>
      <c r="T47" s="6">
        <v>24541.919999999998</v>
      </c>
      <c r="U47" s="3"/>
      <c r="V47" s="7">
        <f t="shared" si="13"/>
        <v>5.136259279180104E-2</v>
      </c>
      <c r="W47" s="3"/>
      <c r="X47" s="6">
        <f t="shared" si="14"/>
        <v>-14877.469999999998</v>
      </c>
      <c r="Y47" s="3"/>
      <c r="Z47" s="7">
        <f t="shared" si="15"/>
        <v>-0.60620644187577821</v>
      </c>
    </row>
    <row r="48" spans="1:26" s="70" customFormat="1" ht="15" hidden="1" customHeight="1" outlineLevel="2" x14ac:dyDescent="0.3">
      <c r="A48" s="21"/>
      <c r="B48" s="9" t="str">
        <f>CONCATENATE("          ","6005"," - ","TEMPORARY WAGES-HOURLY")</f>
        <v xml:space="preserve">          6005 - TEMPORARY WAGES-HOURLY</v>
      </c>
      <c r="C48" s="9"/>
      <c r="D48" s="6"/>
      <c r="E48" s="3"/>
      <c r="F48" s="7">
        <f t="shared" si="8"/>
        <v>0</v>
      </c>
      <c r="G48" s="3"/>
      <c r="H48" s="6">
        <v>0</v>
      </c>
      <c r="I48" s="3"/>
      <c r="J48" s="7">
        <f t="shared" si="9"/>
        <v>0</v>
      </c>
      <c r="K48" s="3"/>
      <c r="L48" s="6">
        <f t="shared" si="10"/>
        <v>0</v>
      </c>
      <c r="M48" s="3"/>
      <c r="N48" s="7">
        <f t="shared" si="11"/>
        <v>0</v>
      </c>
      <c r="O48" s="9"/>
      <c r="P48" s="6">
        <v>5808.94</v>
      </c>
      <c r="Q48" s="3"/>
      <c r="R48" s="7">
        <f t="shared" si="12"/>
        <v>2.4137926592603314E-2</v>
      </c>
      <c r="S48" s="3"/>
      <c r="T48" s="6">
        <v>0</v>
      </c>
      <c r="U48" s="3"/>
      <c r="V48" s="7">
        <f t="shared" si="13"/>
        <v>0</v>
      </c>
      <c r="W48" s="3"/>
      <c r="X48" s="6">
        <f t="shared" si="14"/>
        <v>5808.94</v>
      </c>
      <c r="Y48" s="3"/>
      <c r="Z48" s="7">
        <f t="shared" si="15"/>
        <v>0</v>
      </c>
    </row>
    <row r="49" spans="1:26" s="70" customFormat="1" ht="15" hidden="1" customHeight="1" outlineLevel="2" x14ac:dyDescent="0.3">
      <c r="A49" s="21"/>
      <c r="B49" s="9" t="str">
        <f>CONCATENATE("          ","6006"," - ","TEMPORARY PART TIME")</f>
        <v xml:space="preserve">          6006 - TEMPORARY PART TIME</v>
      </c>
      <c r="C49" s="9"/>
      <c r="D49" s="6"/>
      <c r="E49" s="3"/>
      <c r="F49" s="7">
        <f t="shared" si="8"/>
        <v>0</v>
      </c>
      <c r="G49" s="3"/>
      <c r="H49" s="6">
        <v>0</v>
      </c>
      <c r="I49" s="3"/>
      <c r="J49" s="7">
        <f t="shared" si="9"/>
        <v>0</v>
      </c>
      <c r="K49" s="3"/>
      <c r="L49" s="6">
        <f t="shared" si="10"/>
        <v>0</v>
      </c>
      <c r="M49" s="3"/>
      <c r="N49" s="7">
        <f t="shared" si="11"/>
        <v>0</v>
      </c>
      <c r="O49" s="9"/>
      <c r="P49" s="6"/>
      <c r="Q49" s="3"/>
      <c r="R49" s="7">
        <f t="shared" si="12"/>
        <v>0</v>
      </c>
      <c r="S49" s="3"/>
      <c r="T49" s="6">
        <v>0</v>
      </c>
      <c r="U49" s="3"/>
      <c r="V49" s="7">
        <f t="shared" si="13"/>
        <v>0</v>
      </c>
      <c r="W49" s="3"/>
      <c r="X49" s="6">
        <f t="shared" si="14"/>
        <v>0</v>
      </c>
      <c r="Y49" s="3"/>
      <c r="Z49" s="7">
        <f t="shared" si="15"/>
        <v>0</v>
      </c>
    </row>
    <row r="50" spans="1:26" s="70" customFormat="1" ht="15" hidden="1" customHeight="1" outlineLevel="2" x14ac:dyDescent="0.3">
      <c r="A50" s="21"/>
      <c r="B50" s="9" t="str">
        <f>CONCATENATE("          ","6007"," - ","STUDENT HOURLY")</f>
        <v xml:space="preserve">          6007 - STUDENT HOURLY</v>
      </c>
      <c r="C50" s="9"/>
      <c r="D50" s="6">
        <v>5524.17</v>
      </c>
      <c r="E50" s="3"/>
      <c r="F50" s="7">
        <f t="shared" si="8"/>
        <v>0</v>
      </c>
      <c r="G50" s="3"/>
      <c r="H50" s="6">
        <v>6655.4</v>
      </c>
      <c r="I50" s="3"/>
      <c r="J50" s="7">
        <f t="shared" si="9"/>
        <v>5.224018838304552</v>
      </c>
      <c r="K50" s="3"/>
      <c r="L50" s="6">
        <f t="shared" si="10"/>
        <v>-1131.2299999999996</v>
      </c>
      <c r="M50" s="3"/>
      <c r="N50" s="7">
        <f t="shared" si="11"/>
        <v>-0.16997175226132158</v>
      </c>
      <c r="O50" s="9"/>
      <c r="P50" s="6">
        <v>34719.43</v>
      </c>
      <c r="Q50" s="3"/>
      <c r="R50" s="7">
        <f t="shared" si="12"/>
        <v>0.14426987585980047</v>
      </c>
      <c r="S50" s="3"/>
      <c r="T50" s="6">
        <v>20650.400000000001</v>
      </c>
      <c r="U50" s="3"/>
      <c r="V50" s="7">
        <f t="shared" si="13"/>
        <v>4.321821952755972E-2</v>
      </c>
      <c r="W50" s="3"/>
      <c r="X50" s="6">
        <f t="shared" si="14"/>
        <v>14069.029999999999</v>
      </c>
      <c r="Y50" s="3"/>
      <c r="Z50" s="7">
        <f t="shared" si="15"/>
        <v>0.68129576182543672</v>
      </c>
    </row>
    <row r="51" spans="1:26" s="70" customFormat="1" ht="15" hidden="1" customHeight="1" outlineLevel="2" x14ac:dyDescent="0.3">
      <c r="A51" s="21"/>
      <c r="B51" s="9" t="str">
        <f>CONCATENATE("          ","6008"," - ","STUDENT HOURLY-FICA EXEMPT")</f>
        <v xml:space="preserve">          6008 - STUDENT HOURLY-FICA EXEMPT</v>
      </c>
      <c r="C51" s="9"/>
      <c r="D51" s="6"/>
      <c r="E51" s="3"/>
      <c r="F51" s="7">
        <f t="shared" si="8"/>
        <v>0</v>
      </c>
      <c r="G51" s="3"/>
      <c r="H51" s="6">
        <v>0</v>
      </c>
      <c r="I51" s="3"/>
      <c r="J51" s="7">
        <f t="shared" si="9"/>
        <v>0</v>
      </c>
      <c r="K51" s="3"/>
      <c r="L51" s="6">
        <f t="shared" si="10"/>
        <v>0</v>
      </c>
      <c r="M51" s="3"/>
      <c r="N51" s="7">
        <f t="shared" si="11"/>
        <v>0</v>
      </c>
      <c r="O51" s="9"/>
      <c r="P51" s="6">
        <v>6523.38</v>
      </c>
      <c r="Q51" s="3"/>
      <c r="R51" s="7">
        <f t="shared" si="12"/>
        <v>2.7106643824115349E-2</v>
      </c>
      <c r="S51" s="3"/>
      <c r="T51" s="6">
        <v>63039.7</v>
      </c>
      <c r="U51" s="3"/>
      <c r="V51" s="7">
        <f t="shared" si="13"/>
        <v>0.13193272738307762</v>
      </c>
      <c r="W51" s="3"/>
      <c r="X51" s="6">
        <f t="shared" si="14"/>
        <v>-56516.32</v>
      </c>
      <c r="Y51" s="3"/>
      <c r="Z51" s="7">
        <f t="shared" si="15"/>
        <v>-0.8965194948580022</v>
      </c>
    </row>
    <row r="52" spans="1:26" s="70" customFormat="1" ht="15" hidden="1" customHeight="1" outlineLevel="2" x14ac:dyDescent="0.3">
      <c r="A52" s="21"/>
      <c r="B52" s="9" t="str">
        <f>CONCATENATE("          ","6009"," - ","TEMPORARY-SEASONAL")</f>
        <v xml:space="preserve">          6009 - TEMPORARY-SEASONAL</v>
      </c>
      <c r="C52" s="9"/>
      <c r="D52" s="6"/>
      <c r="E52" s="3"/>
      <c r="F52" s="7">
        <f t="shared" si="8"/>
        <v>0</v>
      </c>
      <c r="G52" s="3"/>
      <c r="H52" s="6">
        <v>0</v>
      </c>
      <c r="I52" s="3"/>
      <c r="J52" s="7">
        <f t="shared" si="9"/>
        <v>0</v>
      </c>
      <c r="K52" s="3"/>
      <c r="L52" s="6">
        <f t="shared" si="10"/>
        <v>0</v>
      </c>
      <c r="M52" s="3"/>
      <c r="N52" s="7">
        <f t="shared" si="11"/>
        <v>0</v>
      </c>
      <c r="O52" s="9"/>
      <c r="P52" s="6"/>
      <c r="Q52" s="3"/>
      <c r="R52" s="7">
        <f t="shared" si="12"/>
        <v>0</v>
      </c>
      <c r="S52" s="3"/>
      <c r="T52" s="6">
        <v>0</v>
      </c>
      <c r="U52" s="3"/>
      <c r="V52" s="7">
        <f t="shared" si="13"/>
        <v>0</v>
      </c>
      <c r="W52" s="3"/>
      <c r="X52" s="6">
        <f t="shared" si="14"/>
        <v>0</v>
      </c>
      <c r="Y52" s="3"/>
      <c r="Z52" s="7">
        <f t="shared" si="15"/>
        <v>0</v>
      </c>
    </row>
    <row r="53" spans="1:26" s="70" customFormat="1" ht="15" hidden="1" customHeight="1" outlineLevel="2" x14ac:dyDescent="0.3">
      <c r="A53" s="21"/>
      <c r="B53" s="9" t="str">
        <f>CONCATENATE("          ","6010"," - ","GRATUITY")</f>
        <v xml:space="preserve">          6010 - GRATUITY</v>
      </c>
      <c r="C53" s="9"/>
      <c r="D53" s="6"/>
      <c r="E53" s="3"/>
      <c r="F53" s="7">
        <f t="shared" si="8"/>
        <v>0</v>
      </c>
      <c r="G53" s="3"/>
      <c r="H53" s="6">
        <v>0</v>
      </c>
      <c r="I53" s="3"/>
      <c r="J53" s="7">
        <f t="shared" si="9"/>
        <v>0</v>
      </c>
      <c r="K53" s="3"/>
      <c r="L53" s="6">
        <f t="shared" si="10"/>
        <v>0</v>
      </c>
      <c r="M53" s="3"/>
      <c r="N53" s="7">
        <f t="shared" si="11"/>
        <v>0</v>
      </c>
      <c r="O53" s="9"/>
      <c r="P53" s="6"/>
      <c r="Q53" s="3"/>
      <c r="R53" s="7">
        <f t="shared" si="12"/>
        <v>0</v>
      </c>
      <c r="S53" s="3"/>
      <c r="T53" s="6">
        <v>0</v>
      </c>
      <c r="U53" s="3"/>
      <c r="V53" s="7">
        <f t="shared" si="13"/>
        <v>0</v>
      </c>
      <c r="W53" s="3"/>
      <c r="X53" s="6">
        <f t="shared" si="14"/>
        <v>0</v>
      </c>
      <c r="Y53" s="3"/>
      <c r="Z53" s="7">
        <f t="shared" si="15"/>
        <v>0</v>
      </c>
    </row>
    <row r="54" spans="1:26" s="69" customFormat="1" ht="15" customHeight="1" outlineLevel="1" collapsed="1" x14ac:dyDescent="0.3">
      <c r="A54" s="20"/>
      <c r="B54" s="11" t="str">
        <f>CONCATENATE("     ","Advertising/Promo                                 ")</f>
        <v xml:space="preserve">     Advertising/Promo                                 </v>
      </c>
      <c r="C54" s="11"/>
      <c r="D54" s="2">
        <f>SUM(OSRRefD22_2x_0)</f>
        <v>0</v>
      </c>
      <c r="E54" s="2"/>
      <c r="F54" s="5">
        <f t="shared" si="8"/>
        <v>0</v>
      </c>
      <c r="G54" s="2"/>
      <c r="H54" s="2">
        <f>SUM(OSRRefH22_2x_0)</f>
        <v>50</v>
      </c>
      <c r="I54" s="2"/>
      <c r="J54" s="5">
        <f t="shared" si="9"/>
        <v>3.924646781789639E-2</v>
      </c>
      <c r="K54" s="2"/>
      <c r="L54" s="2">
        <f t="shared" si="10"/>
        <v>-50</v>
      </c>
      <c r="M54" s="2"/>
      <c r="N54" s="5">
        <f t="shared" si="11"/>
        <v>-1</v>
      </c>
      <c r="O54" s="11"/>
      <c r="P54" s="2">
        <f>SUM(OSRRefP22_2x_0)</f>
        <v>1669.12</v>
      </c>
      <c r="Q54" s="2"/>
      <c r="R54" s="5">
        <f t="shared" si="12"/>
        <v>6.9357053152978073E-3</v>
      </c>
      <c r="S54" s="2"/>
      <c r="T54" s="2">
        <f>SUM(OSRRefT22_2x_0)</f>
        <v>600</v>
      </c>
      <c r="U54" s="2"/>
      <c r="V54" s="5">
        <f t="shared" si="13"/>
        <v>1.2557108683868511E-3</v>
      </c>
      <c r="W54" s="2"/>
      <c r="X54" s="2">
        <f t="shared" si="14"/>
        <v>1069.1199999999999</v>
      </c>
      <c r="Y54" s="2"/>
      <c r="Z54" s="5">
        <f t="shared" si="15"/>
        <v>1.7818666666666665</v>
      </c>
    </row>
    <row r="55" spans="1:26" s="70" customFormat="1" ht="15" hidden="1" customHeight="1" outlineLevel="2" x14ac:dyDescent="0.3">
      <c r="A55" s="21"/>
      <c r="B55" s="9" t="str">
        <f>CONCATENATE("          ","6362"," - ","ADVERTISING EXPENSE")</f>
        <v xml:space="preserve">          6362 - ADVERTISING EXPENSE</v>
      </c>
      <c r="C55" s="9"/>
      <c r="D55" s="6"/>
      <c r="E55" s="3"/>
      <c r="F55" s="7">
        <f t="shared" si="8"/>
        <v>0</v>
      </c>
      <c r="G55" s="3"/>
      <c r="H55" s="6">
        <v>50</v>
      </c>
      <c r="I55" s="3"/>
      <c r="J55" s="7">
        <f t="shared" si="9"/>
        <v>3.924646781789639E-2</v>
      </c>
      <c r="K55" s="3"/>
      <c r="L55" s="6">
        <f t="shared" si="10"/>
        <v>-50</v>
      </c>
      <c r="M55" s="3"/>
      <c r="N55" s="7">
        <f t="shared" si="11"/>
        <v>-1</v>
      </c>
      <c r="O55" s="9"/>
      <c r="P55" s="6">
        <v>1669.12</v>
      </c>
      <c r="Q55" s="3"/>
      <c r="R55" s="7">
        <f t="shared" si="12"/>
        <v>6.9357053152978073E-3</v>
      </c>
      <c r="S55" s="3"/>
      <c r="T55" s="6">
        <v>600</v>
      </c>
      <c r="U55" s="3"/>
      <c r="V55" s="7">
        <f t="shared" si="13"/>
        <v>1.2557108683868511E-3</v>
      </c>
      <c r="W55" s="3"/>
      <c r="X55" s="6">
        <f t="shared" si="14"/>
        <v>1069.1199999999999</v>
      </c>
      <c r="Y55" s="3"/>
      <c r="Z55" s="7">
        <f t="shared" si="15"/>
        <v>1.7818666666666665</v>
      </c>
    </row>
    <row r="56" spans="1:26" s="69" customFormat="1" ht="15" customHeight="1" outlineLevel="1" collapsed="1" x14ac:dyDescent="0.3">
      <c r="A56" s="20"/>
      <c r="B56" s="11" t="str">
        <f>CONCATENATE("     ","Bad Debts/Over/Short                              ")</f>
        <v xml:space="preserve">     Bad Debts/Over/Short                              </v>
      </c>
      <c r="C56" s="11"/>
      <c r="D56" s="2">
        <f>SUM(OSRRefD22_3x_0)</f>
        <v>0</v>
      </c>
      <c r="E56" s="2"/>
      <c r="F56" s="5">
        <f t="shared" si="8"/>
        <v>0</v>
      </c>
      <c r="G56" s="2"/>
      <c r="H56" s="2">
        <f>SUM(OSRRefH22_3x_0)</f>
        <v>25</v>
      </c>
      <c r="I56" s="2"/>
      <c r="J56" s="5">
        <f t="shared" si="9"/>
        <v>1.9623233908948195E-2</v>
      </c>
      <c r="K56" s="2"/>
      <c r="L56" s="2">
        <f t="shared" si="10"/>
        <v>-25</v>
      </c>
      <c r="M56" s="2"/>
      <c r="N56" s="5">
        <f t="shared" si="11"/>
        <v>-1</v>
      </c>
      <c r="O56" s="11"/>
      <c r="P56" s="2">
        <f>SUM(OSRRefP22_3x_0)</f>
        <v>-8.7799999999999994</v>
      </c>
      <c r="Q56" s="2"/>
      <c r="R56" s="5">
        <f t="shared" si="12"/>
        <v>-3.6483591753927065E-5</v>
      </c>
      <c r="S56" s="2"/>
      <c r="T56" s="2">
        <f>SUM(OSRRefT22_3x_0)</f>
        <v>300</v>
      </c>
      <c r="U56" s="2"/>
      <c r="V56" s="5">
        <f t="shared" si="13"/>
        <v>6.2785543419342554E-4</v>
      </c>
      <c r="W56" s="2"/>
      <c r="X56" s="2">
        <f t="shared" si="14"/>
        <v>-308.77999999999997</v>
      </c>
      <c r="Y56" s="2"/>
      <c r="Z56" s="5">
        <f t="shared" si="15"/>
        <v>-1.0292666666666666</v>
      </c>
    </row>
    <row r="57" spans="1:26" s="70" customFormat="1" ht="15" hidden="1" customHeight="1" outlineLevel="2" x14ac:dyDescent="0.3">
      <c r="A57" s="21"/>
      <c r="B57" s="9" t="str">
        <f>CONCATENATE("          ","6272"," - ","CASH (OVER/SHORT)")</f>
        <v xml:space="preserve">          6272 - CASH (OVER/SHORT)</v>
      </c>
      <c r="C57" s="9"/>
      <c r="D57" s="6"/>
      <c r="E57" s="3"/>
      <c r="F57" s="7">
        <f t="shared" si="8"/>
        <v>0</v>
      </c>
      <c r="G57" s="3"/>
      <c r="H57" s="6">
        <v>25</v>
      </c>
      <c r="I57" s="3"/>
      <c r="J57" s="7">
        <f t="shared" si="9"/>
        <v>1.9623233908948195E-2</v>
      </c>
      <c r="K57" s="3"/>
      <c r="L57" s="6">
        <f t="shared" si="10"/>
        <v>-25</v>
      </c>
      <c r="M57" s="3"/>
      <c r="N57" s="7">
        <f t="shared" si="11"/>
        <v>-1</v>
      </c>
      <c r="O57" s="9"/>
      <c r="P57" s="6">
        <v>-8.7799999999999994</v>
      </c>
      <c r="Q57" s="3"/>
      <c r="R57" s="7">
        <f t="shared" si="12"/>
        <v>-3.6483591753927065E-5</v>
      </c>
      <c r="S57" s="3"/>
      <c r="T57" s="6">
        <v>300</v>
      </c>
      <c r="U57" s="3"/>
      <c r="V57" s="7">
        <f t="shared" si="13"/>
        <v>6.2785543419342554E-4</v>
      </c>
      <c r="W57" s="3"/>
      <c r="X57" s="6">
        <f t="shared" si="14"/>
        <v>-308.77999999999997</v>
      </c>
      <c r="Y57" s="3"/>
      <c r="Z57" s="7">
        <f t="shared" si="15"/>
        <v>-1.0292666666666666</v>
      </c>
    </row>
    <row r="58" spans="1:26" s="69" customFormat="1" ht="15" customHeight="1" outlineLevel="1" collapsed="1" x14ac:dyDescent="0.3">
      <c r="A58" s="20"/>
      <c r="B58" s="11" t="str">
        <f>CONCATENATE("     ","Bank/card Fees                                    ")</f>
        <v xml:space="preserve">     Bank/card Fees                                    </v>
      </c>
      <c r="C58" s="11"/>
      <c r="D58" s="2">
        <f>SUM(OSRRefD22_4x_0)</f>
        <v>0</v>
      </c>
      <c r="E58" s="2"/>
      <c r="F58" s="5">
        <f t="shared" si="8"/>
        <v>0</v>
      </c>
      <c r="G58" s="2"/>
      <c r="H58" s="2">
        <f>SUM(OSRRefH22_4x_0)</f>
        <v>26</v>
      </c>
      <c r="I58" s="2"/>
      <c r="J58" s="5">
        <f t="shared" si="9"/>
        <v>2.0408163265306121E-2</v>
      </c>
      <c r="K58" s="2"/>
      <c r="L58" s="2">
        <f t="shared" si="10"/>
        <v>-26</v>
      </c>
      <c r="M58" s="2"/>
      <c r="N58" s="5">
        <f t="shared" si="11"/>
        <v>-1</v>
      </c>
      <c r="O58" s="11"/>
      <c r="P58" s="2">
        <f>SUM(OSRRefP22_4x_0)</f>
        <v>0</v>
      </c>
      <c r="Q58" s="2"/>
      <c r="R58" s="5">
        <f t="shared" si="12"/>
        <v>0</v>
      </c>
      <c r="S58" s="2"/>
      <c r="T58" s="2">
        <f>SUM(OSRRefT22_4x_0)</f>
        <v>8869</v>
      </c>
      <c r="U58" s="2"/>
      <c r="V58" s="5">
        <f t="shared" si="13"/>
        <v>1.8561499486204971E-2</v>
      </c>
      <c r="W58" s="2"/>
      <c r="X58" s="2">
        <f t="shared" si="14"/>
        <v>-8869</v>
      </c>
      <c r="Y58" s="2"/>
      <c r="Z58" s="5">
        <f t="shared" si="15"/>
        <v>-1</v>
      </c>
    </row>
    <row r="59" spans="1:26" s="70" customFormat="1" ht="15" hidden="1" customHeight="1" outlineLevel="2" x14ac:dyDescent="0.3">
      <c r="A59" s="21"/>
      <c r="B59" s="9" t="str">
        <f>CONCATENATE("          ","6381"," - ","BANK/CREDIT CARD FEES")</f>
        <v xml:space="preserve">          6381 - BANK/CREDIT CARD FEES</v>
      </c>
      <c r="C59" s="9"/>
      <c r="D59" s="6"/>
      <c r="E59" s="3"/>
      <c r="F59" s="7">
        <f t="shared" si="8"/>
        <v>0</v>
      </c>
      <c r="G59" s="3"/>
      <c r="H59" s="6">
        <v>26</v>
      </c>
      <c r="I59" s="3"/>
      <c r="J59" s="7">
        <f t="shared" si="9"/>
        <v>2.0408163265306121E-2</v>
      </c>
      <c r="K59" s="3"/>
      <c r="L59" s="6">
        <f t="shared" si="10"/>
        <v>-26</v>
      </c>
      <c r="M59" s="3"/>
      <c r="N59" s="7">
        <f t="shared" si="11"/>
        <v>-1</v>
      </c>
      <c r="O59" s="9"/>
      <c r="P59" s="6"/>
      <c r="Q59" s="3"/>
      <c r="R59" s="7">
        <f t="shared" si="12"/>
        <v>0</v>
      </c>
      <c r="S59" s="3"/>
      <c r="T59" s="6">
        <v>8869</v>
      </c>
      <c r="U59" s="3"/>
      <c r="V59" s="7">
        <f t="shared" si="13"/>
        <v>1.8561499486204971E-2</v>
      </c>
      <c r="W59" s="3"/>
      <c r="X59" s="6">
        <f t="shared" si="14"/>
        <v>-8869</v>
      </c>
      <c r="Y59" s="3"/>
      <c r="Z59" s="7">
        <f t="shared" si="15"/>
        <v>-1</v>
      </c>
    </row>
    <row r="60" spans="1:26" s="69" customFormat="1" ht="15" customHeight="1" outlineLevel="1" collapsed="1" x14ac:dyDescent="0.3">
      <c r="A60" s="20"/>
      <c r="B60" s="11" t="str">
        <f>CONCATENATE("     ","Discounts and Markdowns                           ")</f>
        <v xml:space="preserve">     Discounts and Markdowns                           </v>
      </c>
      <c r="C60" s="11"/>
      <c r="D60" s="2">
        <f>SUM(OSRRefD22_5x_0)</f>
        <v>30.17</v>
      </c>
      <c r="E60" s="2"/>
      <c r="F60" s="5">
        <f t="shared" si="8"/>
        <v>0</v>
      </c>
      <c r="G60" s="2"/>
      <c r="H60" s="2">
        <f>SUM(OSRRefH22_5x_0)</f>
        <v>0</v>
      </c>
      <c r="I60" s="2"/>
      <c r="J60" s="5">
        <f t="shared" si="9"/>
        <v>0</v>
      </c>
      <c r="K60" s="2"/>
      <c r="L60" s="2">
        <f t="shared" si="10"/>
        <v>30.17</v>
      </c>
      <c r="M60" s="2"/>
      <c r="N60" s="5">
        <f t="shared" si="11"/>
        <v>0</v>
      </c>
      <c r="O60" s="11"/>
      <c r="P60" s="2">
        <f>SUM(OSRRefP22_5x_0)</f>
        <v>-8.93</v>
      </c>
      <c r="Q60" s="2"/>
      <c r="R60" s="5">
        <f t="shared" si="12"/>
        <v>-3.710688774061147E-5</v>
      </c>
      <c r="S60" s="2"/>
      <c r="T60" s="2">
        <f>SUM(OSRRefT22_5x_0)</f>
        <v>0</v>
      </c>
      <c r="U60" s="2"/>
      <c r="V60" s="5">
        <f t="shared" si="13"/>
        <v>0</v>
      </c>
      <c r="W60" s="2"/>
      <c r="X60" s="2">
        <f t="shared" si="14"/>
        <v>-8.93</v>
      </c>
      <c r="Y60" s="2"/>
      <c r="Z60" s="5">
        <f t="shared" si="15"/>
        <v>0</v>
      </c>
    </row>
    <row r="61" spans="1:26" s="70" customFormat="1" ht="15" hidden="1" customHeight="1" outlineLevel="2" x14ac:dyDescent="0.3">
      <c r="A61" s="21"/>
      <c r="B61" s="9" t="str">
        <f>CONCATENATE("          ","6382"," - ","DISCOUNTS/MARK DOWNS")</f>
        <v xml:space="preserve">          6382 - DISCOUNTS/MARK DOWNS</v>
      </c>
      <c r="C61" s="9"/>
      <c r="D61" s="6"/>
      <c r="E61" s="3"/>
      <c r="F61" s="7">
        <f t="shared" si="8"/>
        <v>0</v>
      </c>
      <c r="G61" s="3"/>
      <c r="H61" s="6"/>
      <c r="I61" s="3"/>
      <c r="J61" s="7">
        <f t="shared" si="9"/>
        <v>0</v>
      </c>
      <c r="K61" s="3"/>
      <c r="L61" s="6">
        <f t="shared" si="10"/>
        <v>0</v>
      </c>
      <c r="M61" s="3"/>
      <c r="N61" s="7">
        <f t="shared" si="11"/>
        <v>0</v>
      </c>
      <c r="O61" s="9"/>
      <c r="P61" s="6"/>
      <c r="Q61" s="3"/>
      <c r="R61" s="7">
        <f t="shared" si="12"/>
        <v>0</v>
      </c>
      <c r="S61" s="3"/>
      <c r="T61" s="6">
        <v>0</v>
      </c>
      <c r="U61" s="3"/>
      <c r="V61" s="7">
        <f t="shared" si="13"/>
        <v>0</v>
      </c>
      <c r="W61" s="3"/>
      <c r="X61" s="6">
        <f t="shared" si="14"/>
        <v>0</v>
      </c>
      <c r="Y61" s="3"/>
      <c r="Z61" s="7">
        <f t="shared" si="15"/>
        <v>0</v>
      </c>
    </row>
    <row r="62" spans="1:26" s="70" customFormat="1" ht="15" hidden="1" customHeight="1" outlineLevel="2" x14ac:dyDescent="0.3">
      <c r="A62" s="21"/>
      <c r="B62" s="9" t="str">
        <f>CONCATENATE("          ","9175"," - ","EARNED DISCOUNTS")</f>
        <v xml:space="preserve">          9175 - EARNED DISCOUNTS</v>
      </c>
      <c r="C62" s="9"/>
      <c r="D62" s="6">
        <v>30.17</v>
      </c>
      <c r="E62" s="3"/>
      <c r="F62" s="7">
        <f t="shared" si="8"/>
        <v>0</v>
      </c>
      <c r="G62" s="3"/>
      <c r="H62" s="6"/>
      <c r="I62" s="3"/>
      <c r="J62" s="7">
        <f t="shared" si="9"/>
        <v>0</v>
      </c>
      <c r="K62" s="3"/>
      <c r="L62" s="6">
        <f t="shared" si="10"/>
        <v>30.17</v>
      </c>
      <c r="M62" s="3"/>
      <c r="N62" s="7">
        <f t="shared" si="11"/>
        <v>0</v>
      </c>
      <c r="O62" s="9"/>
      <c r="P62" s="6">
        <v>-8.93</v>
      </c>
      <c r="Q62" s="3"/>
      <c r="R62" s="7">
        <f t="shared" si="12"/>
        <v>-3.710688774061147E-5</v>
      </c>
      <c r="S62" s="3"/>
      <c r="T62" s="6"/>
      <c r="U62" s="3"/>
      <c r="V62" s="7">
        <f t="shared" si="13"/>
        <v>0</v>
      </c>
      <c r="W62" s="3"/>
      <c r="X62" s="6">
        <f t="shared" si="14"/>
        <v>-8.93</v>
      </c>
      <c r="Y62" s="3"/>
      <c r="Z62" s="7">
        <f t="shared" si="15"/>
        <v>0</v>
      </c>
    </row>
    <row r="63" spans="1:26" s="69" customFormat="1" ht="15" customHeight="1" outlineLevel="1" collapsed="1" x14ac:dyDescent="0.3">
      <c r="A63" s="20"/>
      <c r="B63" s="11" t="str">
        <f>CONCATENATE("     ","Freight out/Postage                               ")</f>
        <v xml:space="preserve">     Freight out/Postage                               </v>
      </c>
      <c r="C63" s="11"/>
      <c r="D63" s="2">
        <f>SUM(OSRRefD22_6x_0)</f>
        <v>0</v>
      </c>
      <c r="E63" s="2"/>
      <c r="F63" s="5">
        <f t="shared" si="8"/>
        <v>0</v>
      </c>
      <c r="G63" s="2"/>
      <c r="H63" s="2">
        <f>SUM(OSRRefH22_6x_0)</f>
        <v>0</v>
      </c>
      <c r="I63" s="2"/>
      <c r="J63" s="5">
        <f t="shared" si="9"/>
        <v>0</v>
      </c>
      <c r="K63" s="2"/>
      <c r="L63" s="2">
        <f t="shared" si="10"/>
        <v>0</v>
      </c>
      <c r="M63" s="2"/>
      <c r="N63" s="5">
        <f t="shared" si="11"/>
        <v>0</v>
      </c>
      <c r="O63" s="11"/>
      <c r="P63" s="2">
        <f>SUM(OSRRefP22_6x_0)</f>
        <v>54.5</v>
      </c>
      <c r="Q63" s="2"/>
      <c r="R63" s="5">
        <f t="shared" si="12"/>
        <v>2.2646420849533317E-4</v>
      </c>
      <c r="S63" s="2"/>
      <c r="T63" s="2">
        <f>SUM(OSRRefT22_6x_0)</f>
        <v>0</v>
      </c>
      <c r="U63" s="2"/>
      <c r="V63" s="5">
        <f t="shared" si="13"/>
        <v>0</v>
      </c>
      <c r="W63" s="2"/>
      <c r="X63" s="2">
        <f t="shared" si="14"/>
        <v>54.5</v>
      </c>
      <c r="Y63" s="2"/>
      <c r="Z63" s="5">
        <f t="shared" si="15"/>
        <v>0</v>
      </c>
    </row>
    <row r="64" spans="1:26" s="70" customFormat="1" ht="15" hidden="1" customHeight="1" outlineLevel="2" x14ac:dyDescent="0.3">
      <c r="A64" s="21"/>
      <c r="B64" s="9" t="str">
        <f>CONCATENATE("          ","6307"," - ","POSTAGE")</f>
        <v xml:space="preserve">          6307 - POSTAGE</v>
      </c>
      <c r="C64" s="9"/>
      <c r="D64" s="6"/>
      <c r="E64" s="3"/>
      <c r="F64" s="7">
        <f t="shared" ref="F64:F83" si="16">IF(D$12=0,0,D64/D$12)</f>
        <v>0</v>
      </c>
      <c r="G64" s="3"/>
      <c r="H64" s="6"/>
      <c r="I64" s="3"/>
      <c r="J64" s="7">
        <f t="shared" ref="J64:J83" si="17">IF(H$12=0,0,H64/H$12)</f>
        <v>0</v>
      </c>
      <c r="K64" s="3"/>
      <c r="L64" s="6">
        <f t="shared" ref="L64:L83" si="18">+D64-H64</f>
        <v>0</v>
      </c>
      <c r="M64" s="3"/>
      <c r="N64" s="7">
        <f t="shared" ref="N64:N83" si="19">IF(H64=0,0,L64/H64)</f>
        <v>0</v>
      </c>
      <c r="O64" s="9"/>
      <c r="P64" s="6">
        <v>54.5</v>
      </c>
      <c r="Q64" s="3"/>
      <c r="R64" s="7">
        <f t="shared" ref="R64:R83" si="20">IF(P$12=0,0,P64/P$12)</f>
        <v>2.2646420849533317E-4</v>
      </c>
      <c r="S64" s="3"/>
      <c r="T64" s="6"/>
      <c r="U64" s="3"/>
      <c r="V64" s="7">
        <f t="shared" ref="V64:V83" si="21">IF(T$12=0,0,T64/T$12)</f>
        <v>0</v>
      </c>
      <c r="W64" s="3"/>
      <c r="X64" s="6">
        <f t="shared" ref="X64:X83" si="22">+P64-T64</f>
        <v>54.5</v>
      </c>
      <c r="Y64" s="3"/>
      <c r="Z64" s="7">
        <f t="shared" ref="Z64:Z83" si="23">IF(T64=0,0,X64/T64)</f>
        <v>0</v>
      </c>
    </row>
    <row r="65" spans="1:26" s="69" customFormat="1" ht="15" customHeight="1" outlineLevel="1" collapsed="1" x14ac:dyDescent="0.3">
      <c r="A65" s="20"/>
      <c r="B65" s="11" t="str">
        <f>CONCATENATE("     ","General                                           ")</f>
        <v xml:space="preserve">     General                                           </v>
      </c>
      <c r="C65" s="11"/>
      <c r="D65" s="2">
        <f>SUM(OSRRefD22_7x_0)</f>
        <v>0</v>
      </c>
      <c r="E65" s="2"/>
      <c r="F65" s="5">
        <f t="shared" si="16"/>
        <v>0</v>
      </c>
      <c r="G65" s="2"/>
      <c r="H65" s="2">
        <f>SUM(OSRRefH22_7x_0)</f>
        <v>0</v>
      </c>
      <c r="I65" s="2"/>
      <c r="J65" s="5">
        <f t="shared" si="17"/>
        <v>0</v>
      </c>
      <c r="K65" s="2"/>
      <c r="L65" s="2">
        <f t="shared" si="18"/>
        <v>0</v>
      </c>
      <c r="M65" s="2"/>
      <c r="N65" s="5">
        <f t="shared" si="19"/>
        <v>0</v>
      </c>
      <c r="O65" s="11"/>
      <c r="P65" s="2">
        <f>SUM(OSRRefP22_7x_0)</f>
        <v>1122.5899999999999</v>
      </c>
      <c r="Q65" s="2"/>
      <c r="R65" s="5">
        <f t="shared" si="20"/>
        <v>4.6647056112802945E-3</v>
      </c>
      <c r="S65" s="2"/>
      <c r="T65" s="2">
        <f>SUM(OSRRefT22_7x_0)</f>
        <v>0</v>
      </c>
      <c r="U65" s="2"/>
      <c r="V65" s="5">
        <f t="shared" si="21"/>
        <v>0</v>
      </c>
      <c r="W65" s="2"/>
      <c r="X65" s="2">
        <f t="shared" si="22"/>
        <v>1122.5899999999999</v>
      </c>
      <c r="Y65" s="2"/>
      <c r="Z65" s="5">
        <f t="shared" si="23"/>
        <v>0</v>
      </c>
    </row>
    <row r="66" spans="1:26" s="70" customFormat="1" ht="15" hidden="1" customHeight="1" outlineLevel="2" x14ac:dyDescent="0.3">
      <c r="A66" s="21"/>
      <c r="B66" s="9" t="str">
        <f>CONCATENATE("          ","6279"," - ","GENERAL EXPENSE")</f>
        <v xml:space="preserve">          6279 - GENERAL EXPENSE</v>
      </c>
      <c r="C66" s="9"/>
      <c r="D66" s="6"/>
      <c r="E66" s="3"/>
      <c r="F66" s="7">
        <f t="shared" si="16"/>
        <v>0</v>
      </c>
      <c r="G66" s="3"/>
      <c r="H66" s="6">
        <v>0</v>
      </c>
      <c r="I66" s="3"/>
      <c r="J66" s="7">
        <f t="shared" si="17"/>
        <v>0</v>
      </c>
      <c r="K66" s="3"/>
      <c r="L66" s="6">
        <f t="shared" si="18"/>
        <v>0</v>
      </c>
      <c r="M66" s="3"/>
      <c r="N66" s="7">
        <f t="shared" si="19"/>
        <v>0</v>
      </c>
      <c r="O66" s="9"/>
      <c r="P66" s="6">
        <v>1122.5899999999999</v>
      </c>
      <c r="Q66" s="3"/>
      <c r="R66" s="7">
        <f t="shared" si="20"/>
        <v>4.6647056112802945E-3</v>
      </c>
      <c r="S66" s="3"/>
      <c r="T66" s="6">
        <v>0</v>
      </c>
      <c r="U66" s="3"/>
      <c r="V66" s="7">
        <f t="shared" si="21"/>
        <v>0</v>
      </c>
      <c r="W66" s="3"/>
      <c r="X66" s="6">
        <f t="shared" si="22"/>
        <v>1122.5899999999999</v>
      </c>
      <c r="Y66" s="3"/>
      <c r="Z66" s="7">
        <f t="shared" si="23"/>
        <v>0</v>
      </c>
    </row>
    <row r="67" spans="1:26" s="69" customFormat="1" ht="15" customHeight="1" outlineLevel="1" collapsed="1" x14ac:dyDescent="0.3">
      <c r="A67" s="20"/>
      <c r="B67" s="11" t="str">
        <f>CONCATENATE("     ","Inventory Adjustment                              ")</f>
        <v xml:space="preserve">     Inventory Adjustment                              </v>
      </c>
      <c r="C67" s="11"/>
      <c r="D67" s="2">
        <f>SUM(OSRRefD22_8x_0)</f>
        <v>-7150</v>
      </c>
      <c r="E67" s="2"/>
      <c r="F67" s="5">
        <f t="shared" si="16"/>
        <v>0</v>
      </c>
      <c r="G67" s="2"/>
      <c r="H67" s="2">
        <f>SUM(OSRRefH22_8x_0)</f>
        <v>650</v>
      </c>
      <c r="I67" s="2"/>
      <c r="J67" s="5">
        <f t="shared" si="17"/>
        <v>0.51020408163265307</v>
      </c>
      <c r="K67" s="2"/>
      <c r="L67" s="2">
        <f t="shared" si="18"/>
        <v>-7800</v>
      </c>
      <c r="M67" s="2"/>
      <c r="N67" s="5">
        <f t="shared" si="19"/>
        <v>-12</v>
      </c>
      <c r="O67" s="11"/>
      <c r="P67" s="2">
        <f>SUM(OSRRefP22_8x_0)</f>
        <v>0</v>
      </c>
      <c r="Q67" s="2"/>
      <c r="R67" s="5">
        <f t="shared" si="20"/>
        <v>0</v>
      </c>
      <c r="S67" s="2"/>
      <c r="T67" s="2">
        <f>SUM(OSRRefT22_8x_0)</f>
        <v>7800</v>
      </c>
      <c r="U67" s="2"/>
      <c r="V67" s="5">
        <f t="shared" si="21"/>
        <v>1.6324241289029064E-2</v>
      </c>
      <c r="W67" s="2"/>
      <c r="X67" s="2">
        <f t="shared" si="22"/>
        <v>-7800</v>
      </c>
      <c r="Y67" s="2"/>
      <c r="Z67" s="5">
        <f t="shared" si="23"/>
        <v>-1</v>
      </c>
    </row>
    <row r="68" spans="1:26" s="70" customFormat="1" ht="15" hidden="1" customHeight="1" outlineLevel="2" x14ac:dyDescent="0.3">
      <c r="A68" s="21"/>
      <c r="B68" s="9" t="str">
        <f>CONCATENATE("          ","6408"," - ","INVENTORY ADJUSTMENT")</f>
        <v xml:space="preserve">          6408 - INVENTORY ADJUSTMENT</v>
      </c>
      <c r="C68" s="9"/>
      <c r="D68" s="6">
        <v>-7150</v>
      </c>
      <c r="E68" s="3"/>
      <c r="F68" s="7">
        <f t="shared" si="16"/>
        <v>0</v>
      </c>
      <c r="G68" s="3"/>
      <c r="H68" s="6">
        <v>650</v>
      </c>
      <c r="I68" s="3"/>
      <c r="J68" s="7">
        <f t="shared" si="17"/>
        <v>0.51020408163265307</v>
      </c>
      <c r="K68" s="3"/>
      <c r="L68" s="6">
        <f t="shared" si="18"/>
        <v>-7800</v>
      </c>
      <c r="M68" s="3"/>
      <c r="N68" s="7">
        <f t="shared" si="19"/>
        <v>-12</v>
      </c>
      <c r="O68" s="9"/>
      <c r="P68" s="6">
        <v>0</v>
      </c>
      <c r="Q68" s="3"/>
      <c r="R68" s="7">
        <f t="shared" si="20"/>
        <v>0</v>
      </c>
      <c r="S68" s="3"/>
      <c r="T68" s="6">
        <v>7800</v>
      </c>
      <c r="U68" s="3"/>
      <c r="V68" s="7">
        <f t="shared" si="21"/>
        <v>1.6324241289029064E-2</v>
      </c>
      <c r="W68" s="3"/>
      <c r="X68" s="6">
        <f t="shared" si="22"/>
        <v>-7800</v>
      </c>
      <c r="Y68" s="3"/>
      <c r="Z68" s="7">
        <f t="shared" si="23"/>
        <v>-1</v>
      </c>
    </row>
    <row r="69" spans="1:26" s="69" customFormat="1" ht="15" customHeight="1" outlineLevel="1" collapsed="1" x14ac:dyDescent="0.3">
      <c r="A69" s="20"/>
      <c r="B69" s="11" t="str">
        <f>CONCATENATE("     ","Repair and Maintenance                            ")</f>
        <v xml:space="preserve">     Repair and Maintenance                            </v>
      </c>
      <c r="C69" s="11"/>
      <c r="D69" s="2">
        <f>SUM(OSRRefD22_9x_0)</f>
        <v>0</v>
      </c>
      <c r="E69" s="2"/>
      <c r="F69" s="5">
        <f t="shared" si="16"/>
        <v>0</v>
      </c>
      <c r="G69" s="2"/>
      <c r="H69" s="2">
        <f>SUM(OSRRefH22_9x_0)</f>
        <v>0</v>
      </c>
      <c r="I69" s="2"/>
      <c r="J69" s="5">
        <f t="shared" si="17"/>
        <v>0</v>
      </c>
      <c r="K69" s="2"/>
      <c r="L69" s="2">
        <f t="shared" si="18"/>
        <v>0</v>
      </c>
      <c r="M69" s="2"/>
      <c r="N69" s="5">
        <f t="shared" si="19"/>
        <v>0</v>
      </c>
      <c r="O69" s="11"/>
      <c r="P69" s="2">
        <f>SUM(OSRRefP22_9x_0)</f>
        <v>1057.25</v>
      </c>
      <c r="Q69" s="2"/>
      <c r="R69" s="5">
        <f t="shared" si="20"/>
        <v>4.3931978794805688E-3</v>
      </c>
      <c r="S69" s="2"/>
      <c r="T69" s="2">
        <f>SUM(OSRRefT22_9x_0)</f>
        <v>0</v>
      </c>
      <c r="U69" s="2"/>
      <c r="V69" s="5">
        <f t="shared" si="21"/>
        <v>0</v>
      </c>
      <c r="W69" s="2"/>
      <c r="X69" s="2">
        <f t="shared" si="22"/>
        <v>1057.25</v>
      </c>
      <c r="Y69" s="2"/>
      <c r="Z69" s="5">
        <f t="shared" si="23"/>
        <v>0</v>
      </c>
    </row>
    <row r="70" spans="1:26" s="70" customFormat="1" ht="15" hidden="1" customHeight="1" outlineLevel="2" x14ac:dyDescent="0.3">
      <c r="A70" s="21"/>
      <c r="B70" s="9" t="str">
        <f>CONCATENATE("          ","6373"," - ","MAINTENANCE CONTRACTS")</f>
        <v xml:space="preserve">          6373 - MAINTENANCE CONTRACTS</v>
      </c>
      <c r="C70" s="9"/>
      <c r="D70" s="6"/>
      <c r="E70" s="3"/>
      <c r="F70" s="7">
        <f t="shared" si="16"/>
        <v>0</v>
      </c>
      <c r="G70" s="3"/>
      <c r="H70" s="6"/>
      <c r="I70" s="3"/>
      <c r="J70" s="7">
        <f t="shared" si="17"/>
        <v>0</v>
      </c>
      <c r="K70" s="3"/>
      <c r="L70" s="6">
        <f t="shared" si="18"/>
        <v>0</v>
      </c>
      <c r="M70" s="3"/>
      <c r="N70" s="7">
        <f t="shared" si="19"/>
        <v>0</v>
      </c>
      <c r="O70" s="9"/>
      <c r="P70" s="6">
        <v>339.23</v>
      </c>
      <c r="Q70" s="3"/>
      <c r="R70" s="7">
        <f t="shared" si="20"/>
        <v>1.4096046504196674E-3</v>
      </c>
      <c r="S70" s="3"/>
      <c r="T70" s="6"/>
      <c r="U70" s="3"/>
      <c r="V70" s="7">
        <f t="shared" si="21"/>
        <v>0</v>
      </c>
      <c r="W70" s="3"/>
      <c r="X70" s="6">
        <f t="shared" si="22"/>
        <v>339.23</v>
      </c>
      <c r="Y70" s="3"/>
      <c r="Z70" s="7">
        <f t="shared" si="23"/>
        <v>0</v>
      </c>
    </row>
    <row r="71" spans="1:26" s="70" customFormat="1" ht="15" hidden="1" customHeight="1" outlineLevel="2" x14ac:dyDescent="0.3">
      <c r="A71" s="21"/>
      <c r="B71" s="9" t="str">
        <f>CONCATENATE("          ","6375"," - ","OUTSIDE REPAIRS &amp; MAINTENANCE")</f>
        <v xml:space="preserve">          6375 - OUTSIDE REPAIRS &amp; MAINTENANCE</v>
      </c>
      <c r="C71" s="9"/>
      <c r="D71" s="6"/>
      <c r="E71" s="3"/>
      <c r="F71" s="7">
        <f t="shared" si="16"/>
        <v>0</v>
      </c>
      <c r="G71" s="3"/>
      <c r="H71" s="6"/>
      <c r="I71" s="3"/>
      <c r="J71" s="7">
        <f t="shared" si="17"/>
        <v>0</v>
      </c>
      <c r="K71" s="3"/>
      <c r="L71" s="6">
        <f t="shared" si="18"/>
        <v>0</v>
      </c>
      <c r="M71" s="3"/>
      <c r="N71" s="7">
        <f t="shared" si="19"/>
        <v>0</v>
      </c>
      <c r="O71" s="9"/>
      <c r="P71" s="6">
        <v>718.02</v>
      </c>
      <c r="Q71" s="3"/>
      <c r="R71" s="7">
        <f t="shared" si="20"/>
        <v>2.9835932290609014E-3</v>
      </c>
      <c r="S71" s="3"/>
      <c r="T71" s="6"/>
      <c r="U71" s="3"/>
      <c r="V71" s="7">
        <f t="shared" si="21"/>
        <v>0</v>
      </c>
      <c r="W71" s="3"/>
      <c r="X71" s="6">
        <f t="shared" si="22"/>
        <v>718.02</v>
      </c>
      <c r="Y71" s="3"/>
      <c r="Z71" s="7">
        <f t="shared" si="23"/>
        <v>0</v>
      </c>
    </row>
    <row r="72" spans="1:26" s="69" customFormat="1" ht="15" customHeight="1" outlineLevel="1" collapsed="1" x14ac:dyDescent="0.3">
      <c r="A72" s="20"/>
      <c r="B72" s="11" t="str">
        <f>CONCATENATE("     ","Services                                          ")</f>
        <v xml:space="preserve">     Services                                          </v>
      </c>
      <c r="C72" s="11"/>
      <c r="D72" s="2">
        <f>SUM(OSRRefD22_10x_0)</f>
        <v>1444.14</v>
      </c>
      <c r="E72" s="2"/>
      <c r="F72" s="5">
        <f t="shared" si="16"/>
        <v>0</v>
      </c>
      <c r="G72" s="2"/>
      <c r="H72" s="2">
        <f>SUM(OSRRefH22_10x_0)</f>
        <v>0</v>
      </c>
      <c r="I72" s="2"/>
      <c r="J72" s="5">
        <f t="shared" si="17"/>
        <v>0</v>
      </c>
      <c r="K72" s="2"/>
      <c r="L72" s="2">
        <f t="shared" si="18"/>
        <v>1444.14</v>
      </c>
      <c r="M72" s="2"/>
      <c r="N72" s="5">
        <f t="shared" si="19"/>
        <v>0</v>
      </c>
      <c r="O72" s="11"/>
      <c r="P72" s="2">
        <f>SUM(OSRRefP22_10x_0)</f>
        <v>6079.1399999999994</v>
      </c>
      <c r="Q72" s="2"/>
      <c r="R72" s="5">
        <f t="shared" si="20"/>
        <v>2.5260690429950817E-2</v>
      </c>
      <c r="S72" s="2"/>
      <c r="T72" s="2">
        <f>SUM(OSRRefT22_10x_0)</f>
        <v>0</v>
      </c>
      <c r="U72" s="2"/>
      <c r="V72" s="5">
        <f t="shared" si="21"/>
        <v>0</v>
      </c>
      <c r="W72" s="2"/>
      <c r="X72" s="2">
        <f t="shared" si="22"/>
        <v>6079.1399999999994</v>
      </c>
      <c r="Y72" s="2"/>
      <c r="Z72" s="5">
        <f t="shared" si="23"/>
        <v>0</v>
      </c>
    </row>
    <row r="73" spans="1:26" s="70" customFormat="1" ht="15" hidden="1" customHeight="1" outlineLevel="2" x14ac:dyDescent="0.3">
      <c r="A73" s="21"/>
      <c r="B73" s="9" t="str">
        <f>CONCATENATE("          ","6282"," - ","JANITORIAL/EXTERMINATOR EXPENS")</f>
        <v xml:space="preserve">          6282 - JANITORIAL/EXTERMINATOR EXPENS</v>
      </c>
      <c r="C73" s="9"/>
      <c r="D73" s="6">
        <v>69</v>
      </c>
      <c r="E73" s="3"/>
      <c r="F73" s="7">
        <f t="shared" si="16"/>
        <v>0</v>
      </c>
      <c r="G73" s="3"/>
      <c r="H73" s="6"/>
      <c r="I73" s="3"/>
      <c r="J73" s="7">
        <f t="shared" si="17"/>
        <v>0</v>
      </c>
      <c r="K73" s="3"/>
      <c r="L73" s="6">
        <f t="shared" si="18"/>
        <v>69</v>
      </c>
      <c r="M73" s="3"/>
      <c r="N73" s="7">
        <f t="shared" si="19"/>
        <v>0</v>
      </c>
      <c r="O73" s="9"/>
      <c r="P73" s="6">
        <v>1043.5999999999999</v>
      </c>
      <c r="Q73" s="3"/>
      <c r="R73" s="7">
        <f t="shared" si="20"/>
        <v>4.336477944692288E-3</v>
      </c>
      <c r="S73" s="3"/>
      <c r="T73" s="6"/>
      <c r="U73" s="3"/>
      <c r="V73" s="7">
        <f t="shared" si="21"/>
        <v>0</v>
      </c>
      <c r="W73" s="3"/>
      <c r="X73" s="6">
        <f t="shared" si="22"/>
        <v>1043.5999999999999</v>
      </c>
      <c r="Y73" s="3"/>
      <c r="Z73" s="7">
        <f t="shared" si="23"/>
        <v>0</v>
      </c>
    </row>
    <row r="74" spans="1:26" s="70" customFormat="1" ht="15" hidden="1" customHeight="1" outlineLevel="2" x14ac:dyDescent="0.3">
      <c r="A74" s="21"/>
      <c r="B74" s="9" t="str">
        <f>CONCATENATE("          ","6285"," - ","JANITORIAL SERVICES")</f>
        <v xml:space="preserve">          6285 - JANITORIAL SERVICES</v>
      </c>
      <c r="C74" s="9"/>
      <c r="D74" s="6">
        <v>1375.14</v>
      </c>
      <c r="E74" s="3"/>
      <c r="F74" s="7">
        <f t="shared" si="16"/>
        <v>0</v>
      </c>
      <c r="G74" s="3"/>
      <c r="H74" s="6"/>
      <c r="I74" s="3"/>
      <c r="J74" s="7">
        <f t="shared" si="17"/>
        <v>0</v>
      </c>
      <c r="K74" s="3"/>
      <c r="L74" s="6">
        <f t="shared" si="18"/>
        <v>1375.14</v>
      </c>
      <c r="M74" s="3"/>
      <c r="N74" s="7">
        <f t="shared" si="19"/>
        <v>0</v>
      </c>
      <c r="O74" s="9"/>
      <c r="P74" s="6">
        <v>5035.54</v>
      </c>
      <c r="Q74" s="3"/>
      <c r="R74" s="7">
        <f t="shared" si="20"/>
        <v>2.0924212485258532E-2</v>
      </c>
      <c r="S74" s="3"/>
      <c r="T74" s="6"/>
      <c r="U74" s="3"/>
      <c r="V74" s="7">
        <f t="shared" si="21"/>
        <v>0</v>
      </c>
      <c r="W74" s="3"/>
      <c r="X74" s="6">
        <f t="shared" si="22"/>
        <v>5035.54</v>
      </c>
      <c r="Y74" s="3"/>
      <c r="Z74" s="7">
        <f t="shared" si="23"/>
        <v>0</v>
      </c>
    </row>
    <row r="75" spans="1:26" s="69" customFormat="1" ht="15" customHeight="1" outlineLevel="1" collapsed="1" x14ac:dyDescent="0.3">
      <c r="A75" s="20"/>
      <c r="B75" s="11" t="str">
        <f>CONCATENATE("     ","Subscriptions &amp; Dues                              ")</f>
        <v xml:space="preserve">     Subscriptions &amp; Dues                              </v>
      </c>
      <c r="C75" s="11"/>
      <c r="D75" s="2">
        <f>SUM(OSRRefD22_11x_0)</f>
        <v>0</v>
      </c>
      <c r="E75" s="2"/>
      <c r="F75" s="5">
        <f t="shared" si="16"/>
        <v>0</v>
      </c>
      <c r="G75" s="2"/>
      <c r="H75" s="2">
        <f>SUM(OSRRefH22_11x_0)</f>
        <v>0</v>
      </c>
      <c r="I75" s="2"/>
      <c r="J75" s="5">
        <f t="shared" si="17"/>
        <v>0</v>
      </c>
      <c r="K75" s="2"/>
      <c r="L75" s="2">
        <f t="shared" si="18"/>
        <v>0</v>
      </c>
      <c r="M75" s="2"/>
      <c r="N75" s="5">
        <f t="shared" si="19"/>
        <v>0</v>
      </c>
      <c r="O75" s="11"/>
      <c r="P75" s="2">
        <f>SUM(OSRRefP22_11x_0)</f>
        <v>45.27</v>
      </c>
      <c r="Q75" s="2"/>
      <c r="R75" s="5">
        <f t="shared" si="20"/>
        <v>1.8811072878135291E-4</v>
      </c>
      <c r="S75" s="2"/>
      <c r="T75" s="2">
        <f>SUM(OSRRefT22_11x_0)</f>
        <v>0</v>
      </c>
      <c r="U75" s="2"/>
      <c r="V75" s="5">
        <f t="shared" si="21"/>
        <v>0</v>
      </c>
      <c r="W75" s="2"/>
      <c r="X75" s="2">
        <f t="shared" si="22"/>
        <v>45.27</v>
      </c>
      <c r="Y75" s="2"/>
      <c r="Z75" s="5">
        <f t="shared" si="23"/>
        <v>0</v>
      </c>
    </row>
    <row r="76" spans="1:26" s="70" customFormat="1" ht="15" hidden="1" customHeight="1" outlineLevel="2" x14ac:dyDescent="0.3">
      <c r="A76" s="21"/>
      <c r="B76" s="9" t="str">
        <f>CONCATENATE("          ","6258"," - ","MEMBERSHIP DUES")</f>
        <v xml:space="preserve">          6258 - MEMBERSHIP DUES</v>
      </c>
      <c r="C76" s="9"/>
      <c r="D76" s="6"/>
      <c r="E76" s="3"/>
      <c r="F76" s="7">
        <f t="shared" si="16"/>
        <v>0</v>
      </c>
      <c r="G76" s="3"/>
      <c r="H76" s="6"/>
      <c r="I76" s="3"/>
      <c r="J76" s="7">
        <f t="shared" si="17"/>
        <v>0</v>
      </c>
      <c r="K76" s="3"/>
      <c r="L76" s="6">
        <f t="shared" si="18"/>
        <v>0</v>
      </c>
      <c r="M76" s="3"/>
      <c r="N76" s="7">
        <f t="shared" si="19"/>
        <v>0</v>
      </c>
      <c r="O76" s="9"/>
      <c r="P76" s="6">
        <v>45.27</v>
      </c>
      <c r="Q76" s="3"/>
      <c r="R76" s="7">
        <f t="shared" si="20"/>
        <v>1.8811072878135291E-4</v>
      </c>
      <c r="S76" s="3"/>
      <c r="T76" s="6"/>
      <c r="U76" s="3"/>
      <c r="V76" s="7">
        <f t="shared" si="21"/>
        <v>0</v>
      </c>
      <c r="W76" s="3"/>
      <c r="X76" s="6">
        <f t="shared" si="22"/>
        <v>45.27</v>
      </c>
      <c r="Y76" s="3"/>
      <c r="Z76" s="7">
        <f t="shared" si="23"/>
        <v>0</v>
      </c>
    </row>
    <row r="77" spans="1:26" s="69" customFormat="1" ht="15" customHeight="1" outlineLevel="1" collapsed="1" x14ac:dyDescent="0.3">
      <c r="A77" s="20"/>
      <c r="B77" s="11" t="str">
        <f>CONCATENATE("     ","Supplies                                          ")</f>
        <v xml:space="preserve">     Supplies                                          </v>
      </c>
      <c r="C77" s="11"/>
      <c r="D77" s="2">
        <f>SUM(OSRRefD22_12x_0)</f>
        <v>51.4</v>
      </c>
      <c r="E77" s="2"/>
      <c r="F77" s="5">
        <f t="shared" si="16"/>
        <v>0</v>
      </c>
      <c r="G77" s="2"/>
      <c r="H77" s="2">
        <f>SUM(OSRRefH22_12x_0)</f>
        <v>75</v>
      </c>
      <c r="I77" s="2"/>
      <c r="J77" s="5">
        <f t="shared" si="17"/>
        <v>5.8869701726844581E-2</v>
      </c>
      <c r="K77" s="2"/>
      <c r="L77" s="2">
        <f t="shared" si="18"/>
        <v>-23.6</v>
      </c>
      <c r="M77" s="2"/>
      <c r="N77" s="5">
        <f t="shared" si="19"/>
        <v>-0.31466666666666671</v>
      </c>
      <c r="O77" s="11"/>
      <c r="P77" s="2">
        <f>SUM(OSRRefP22_12x_0)</f>
        <v>1973.7399999999998</v>
      </c>
      <c r="Q77" s="2"/>
      <c r="R77" s="5">
        <f t="shared" si="20"/>
        <v>8.2014948050564921E-3</v>
      </c>
      <c r="S77" s="2"/>
      <c r="T77" s="2">
        <f>SUM(OSRRefT22_12x_0)</f>
        <v>900</v>
      </c>
      <c r="U77" s="2"/>
      <c r="V77" s="5">
        <f t="shared" si="21"/>
        <v>1.8835663025802765E-3</v>
      </c>
      <c r="W77" s="2"/>
      <c r="X77" s="2">
        <f t="shared" si="22"/>
        <v>1073.7399999999998</v>
      </c>
      <c r="Y77" s="2"/>
      <c r="Z77" s="5">
        <f t="shared" si="23"/>
        <v>1.1930444444444441</v>
      </c>
    </row>
    <row r="78" spans="1:26" s="70" customFormat="1" ht="15" hidden="1" customHeight="1" outlineLevel="2" x14ac:dyDescent="0.3">
      <c r="A78" s="21"/>
      <c r="B78" s="9" t="str">
        <f>CONCATENATE("          ","6234"," - ","EXPENDABLE SUPPLIES &amp; EQUIPMEN")</f>
        <v xml:space="preserve">          6234 - EXPENDABLE SUPPLIES &amp; EQUIPMEN</v>
      </c>
      <c r="C78" s="9"/>
      <c r="D78" s="6"/>
      <c r="E78" s="3"/>
      <c r="F78" s="7">
        <f t="shared" si="16"/>
        <v>0</v>
      </c>
      <c r="G78" s="3"/>
      <c r="H78" s="6"/>
      <c r="I78" s="3"/>
      <c r="J78" s="7">
        <f t="shared" si="17"/>
        <v>0</v>
      </c>
      <c r="K78" s="3"/>
      <c r="L78" s="6">
        <f t="shared" si="18"/>
        <v>0</v>
      </c>
      <c r="M78" s="3"/>
      <c r="N78" s="7">
        <f t="shared" si="19"/>
        <v>0</v>
      </c>
      <c r="O78" s="9"/>
      <c r="P78" s="6">
        <v>1393.55</v>
      </c>
      <c r="Q78" s="3"/>
      <c r="R78" s="7">
        <f t="shared" si="20"/>
        <v>5.7906274816270009E-3</v>
      </c>
      <c r="S78" s="3"/>
      <c r="T78" s="6"/>
      <c r="U78" s="3"/>
      <c r="V78" s="7">
        <f t="shared" si="21"/>
        <v>0</v>
      </c>
      <c r="W78" s="3"/>
      <c r="X78" s="6">
        <f t="shared" si="22"/>
        <v>1393.55</v>
      </c>
      <c r="Y78" s="3"/>
      <c r="Z78" s="7">
        <f t="shared" si="23"/>
        <v>0</v>
      </c>
    </row>
    <row r="79" spans="1:26" s="70" customFormat="1" ht="15" hidden="1" customHeight="1" outlineLevel="2" x14ac:dyDescent="0.3">
      <c r="A79" s="21"/>
      <c r="B79" s="9" t="str">
        <f>CONCATENATE("          ","6235"," - ","COVID-19 EXPENSES")</f>
        <v xml:space="preserve">          6235 - COVID-19 EXPENSES</v>
      </c>
      <c r="C79" s="9"/>
      <c r="D79" s="6"/>
      <c r="E79" s="3"/>
      <c r="F79" s="7">
        <f t="shared" si="16"/>
        <v>0</v>
      </c>
      <c r="G79" s="3"/>
      <c r="H79" s="6">
        <v>25</v>
      </c>
      <c r="I79" s="3"/>
      <c r="J79" s="7">
        <f t="shared" si="17"/>
        <v>1.9623233908948195E-2</v>
      </c>
      <c r="K79" s="3"/>
      <c r="L79" s="6">
        <f t="shared" si="18"/>
        <v>-25</v>
      </c>
      <c r="M79" s="3"/>
      <c r="N79" s="7">
        <f t="shared" si="19"/>
        <v>-1</v>
      </c>
      <c r="O79" s="9"/>
      <c r="P79" s="6"/>
      <c r="Q79" s="3"/>
      <c r="R79" s="7">
        <f t="shared" si="20"/>
        <v>0</v>
      </c>
      <c r="S79" s="3"/>
      <c r="T79" s="6">
        <v>300</v>
      </c>
      <c r="U79" s="3"/>
      <c r="V79" s="7">
        <f t="shared" si="21"/>
        <v>6.2785543419342554E-4</v>
      </c>
      <c r="W79" s="3"/>
      <c r="X79" s="6">
        <f t="shared" si="22"/>
        <v>-300</v>
      </c>
      <c r="Y79" s="3"/>
      <c r="Z79" s="7">
        <f t="shared" si="23"/>
        <v>-1</v>
      </c>
    </row>
    <row r="80" spans="1:26" s="70" customFormat="1" ht="15" hidden="1" customHeight="1" outlineLevel="2" x14ac:dyDescent="0.3">
      <c r="A80" s="21"/>
      <c r="B80" s="9" t="str">
        <f>CONCATENATE("          ","6241"," - ","OFFICE EXPENSE")</f>
        <v xml:space="preserve">          6241 - OFFICE EXPENSE</v>
      </c>
      <c r="C80" s="9"/>
      <c r="D80" s="6">
        <v>51.4</v>
      </c>
      <c r="E80" s="3"/>
      <c r="F80" s="7">
        <f t="shared" si="16"/>
        <v>0</v>
      </c>
      <c r="G80" s="3"/>
      <c r="H80" s="6">
        <v>25</v>
      </c>
      <c r="I80" s="3"/>
      <c r="J80" s="7">
        <f t="shared" si="17"/>
        <v>1.9623233908948195E-2</v>
      </c>
      <c r="K80" s="3"/>
      <c r="L80" s="6">
        <f t="shared" si="18"/>
        <v>26.4</v>
      </c>
      <c r="M80" s="3"/>
      <c r="N80" s="7">
        <f t="shared" si="19"/>
        <v>1.056</v>
      </c>
      <c r="O80" s="9"/>
      <c r="P80" s="6">
        <v>370.61</v>
      </c>
      <c r="Q80" s="3"/>
      <c r="R80" s="7">
        <f t="shared" si="20"/>
        <v>1.5399981708340447E-3</v>
      </c>
      <c r="S80" s="3"/>
      <c r="T80" s="6">
        <v>300</v>
      </c>
      <c r="U80" s="3"/>
      <c r="V80" s="7">
        <f t="shared" si="21"/>
        <v>6.2785543419342554E-4</v>
      </c>
      <c r="W80" s="3"/>
      <c r="X80" s="6">
        <f t="shared" si="22"/>
        <v>70.610000000000014</v>
      </c>
      <c r="Y80" s="3"/>
      <c r="Z80" s="7">
        <f t="shared" si="23"/>
        <v>0.23536666666666672</v>
      </c>
    </row>
    <row r="81" spans="1:26" s="70" customFormat="1" ht="15" hidden="1" customHeight="1" outlineLevel="2" x14ac:dyDescent="0.3">
      <c r="A81" s="21"/>
      <c r="B81" s="9" t="str">
        <f>CONCATENATE("          ","6247"," - ","STORE SUPPLIES")</f>
        <v xml:space="preserve">          6247 - STORE SUPPLIES</v>
      </c>
      <c r="C81" s="9"/>
      <c r="D81" s="6"/>
      <c r="E81" s="3"/>
      <c r="F81" s="7">
        <f t="shared" si="16"/>
        <v>0</v>
      </c>
      <c r="G81" s="3"/>
      <c r="H81" s="6">
        <v>25</v>
      </c>
      <c r="I81" s="3"/>
      <c r="J81" s="7">
        <f t="shared" si="17"/>
        <v>1.9623233908948195E-2</v>
      </c>
      <c r="K81" s="3"/>
      <c r="L81" s="6">
        <f t="shared" si="18"/>
        <v>-25</v>
      </c>
      <c r="M81" s="3"/>
      <c r="N81" s="7">
        <f t="shared" si="19"/>
        <v>-1</v>
      </c>
      <c r="O81" s="9"/>
      <c r="P81" s="6">
        <v>209.58</v>
      </c>
      <c r="Q81" s="3"/>
      <c r="R81" s="7">
        <f t="shared" si="20"/>
        <v>8.7086915259544824E-4</v>
      </c>
      <c r="S81" s="3"/>
      <c r="T81" s="6">
        <v>300</v>
      </c>
      <c r="U81" s="3"/>
      <c r="V81" s="7">
        <f t="shared" si="21"/>
        <v>6.2785543419342554E-4</v>
      </c>
      <c r="W81" s="3"/>
      <c r="X81" s="6">
        <f t="shared" si="22"/>
        <v>-90.419999999999987</v>
      </c>
      <c r="Y81" s="3"/>
      <c r="Z81" s="7">
        <f t="shared" si="23"/>
        <v>-0.30139999999999995</v>
      </c>
    </row>
    <row r="82" spans="1:26" s="69" customFormat="1" ht="15" customHeight="1" outlineLevel="1" collapsed="1" x14ac:dyDescent="0.3">
      <c r="A82" s="20"/>
      <c r="B82" s="11" t="str">
        <f>CONCATENATE("     ","Telephone/Data Lines                              ")</f>
        <v xml:space="preserve">     Telephone/Data Lines                              </v>
      </c>
      <c r="C82" s="11"/>
      <c r="D82" s="2">
        <f>SUM(OSRRefD22_13x_0)</f>
        <v>37</v>
      </c>
      <c r="E82" s="2"/>
      <c r="F82" s="5">
        <f t="shared" si="16"/>
        <v>0</v>
      </c>
      <c r="G82" s="2"/>
      <c r="H82" s="2">
        <f>SUM(OSRRefH22_13x_0)</f>
        <v>60</v>
      </c>
      <c r="I82" s="2"/>
      <c r="J82" s="5">
        <f t="shared" si="17"/>
        <v>4.709576138147567E-2</v>
      </c>
      <c r="K82" s="2"/>
      <c r="L82" s="2">
        <f t="shared" si="18"/>
        <v>-23</v>
      </c>
      <c r="M82" s="2"/>
      <c r="N82" s="5">
        <f t="shared" si="19"/>
        <v>-0.38333333333333336</v>
      </c>
      <c r="O82" s="11"/>
      <c r="P82" s="2">
        <f>SUM(OSRRefP22_13x_0)</f>
        <v>503.94</v>
      </c>
      <c r="Q82" s="2"/>
      <c r="R82" s="5">
        <f t="shared" si="20"/>
        <v>2.0940251968649213E-3</v>
      </c>
      <c r="S82" s="2"/>
      <c r="T82" s="2">
        <f>SUM(OSRRefT22_13x_0)</f>
        <v>720</v>
      </c>
      <c r="U82" s="2"/>
      <c r="V82" s="5">
        <f t="shared" si="21"/>
        <v>1.5068530420642213E-3</v>
      </c>
      <c r="W82" s="2"/>
      <c r="X82" s="2">
        <f t="shared" si="22"/>
        <v>-216.06</v>
      </c>
      <c r="Y82" s="2"/>
      <c r="Z82" s="5">
        <f t="shared" si="23"/>
        <v>-0.30008333333333331</v>
      </c>
    </row>
    <row r="83" spans="1:26" s="70" customFormat="1" ht="15" hidden="1" customHeight="1" outlineLevel="2" x14ac:dyDescent="0.3">
      <c r="A83" s="21"/>
      <c r="B83" s="9" t="str">
        <f>CONCATENATE("          ","6309"," - ","TELEPHONE")</f>
        <v xml:space="preserve">          6309 - TELEPHONE</v>
      </c>
      <c r="C83" s="9"/>
      <c r="D83" s="6">
        <v>37</v>
      </c>
      <c r="E83" s="3"/>
      <c r="F83" s="7">
        <f t="shared" si="16"/>
        <v>0</v>
      </c>
      <c r="G83" s="3"/>
      <c r="H83" s="6">
        <v>60</v>
      </c>
      <c r="I83" s="3"/>
      <c r="J83" s="7">
        <f t="shared" si="17"/>
        <v>4.709576138147567E-2</v>
      </c>
      <c r="K83" s="3"/>
      <c r="L83" s="6">
        <f t="shared" si="18"/>
        <v>-23</v>
      </c>
      <c r="M83" s="3"/>
      <c r="N83" s="7">
        <f t="shared" si="19"/>
        <v>-0.38333333333333336</v>
      </c>
      <c r="O83" s="9"/>
      <c r="P83" s="6">
        <v>503.94</v>
      </c>
      <c r="Q83" s="3"/>
      <c r="R83" s="7">
        <f t="shared" si="20"/>
        <v>2.0940251968649213E-3</v>
      </c>
      <c r="S83" s="3"/>
      <c r="T83" s="6">
        <v>720</v>
      </c>
      <c r="U83" s="3"/>
      <c r="V83" s="7">
        <f t="shared" si="21"/>
        <v>1.5068530420642213E-3</v>
      </c>
      <c r="W83" s="3"/>
      <c r="X83" s="6">
        <f t="shared" si="22"/>
        <v>-216.06</v>
      </c>
      <c r="Y83" s="3"/>
      <c r="Z83" s="7">
        <f t="shared" si="23"/>
        <v>-0.30008333333333331</v>
      </c>
    </row>
    <row r="84" spans="1:26" s="65" customFormat="1" ht="15" customHeight="1" x14ac:dyDescent="0.3">
      <c r="A84" s="36"/>
      <c r="B84" s="36"/>
      <c r="C84" s="36"/>
      <c r="D84" s="2"/>
      <c r="E84" s="2"/>
      <c r="F84" s="5"/>
      <c r="G84" s="2"/>
      <c r="H84" s="2"/>
      <c r="I84" s="2"/>
      <c r="J84" s="5"/>
      <c r="K84" s="2"/>
      <c r="L84" s="2"/>
      <c r="M84" s="2"/>
      <c r="N84" s="5"/>
      <c r="O84" s="36"/>
      <c r="P84" s="2"/>
      <c r="Q84" s="2"/>
      <c r="R84" s="5"/>
      <c r="S84" s="2"/>
      <c r="T84" s="2"/>
      <c r="U84" s="2"/>
      <c r="V84" s="5"/>
      <c r="W84" s="2"/>
      <c r="X84" s="2"/>
      <c r="Y84" s="2"/>
      <c r="Z84" s="5"/>
    </row>
    <row r="85" spans="1:26" s="63" customFormat="1" ht="15" customHeight="1" x14ac:dyDescent="0.3">
      <c r="A85" s="13"/>
      <c r="B85" s="28" t="s">
        <v>291</v>
      </c>
      <c r="C85" s="13"/>
      <c r="D85" s="8">
        <f>SUM(0)</f>
        <v>0</v>
      </c>
      <c r="E85" s="8"/>
      <c r="F85" s="14">
        <f>IF(D$12=0,0,D85/D$12)</f>
        <v>0</v>
      </c>
      <c r="G85" s="8"/>
      <c r="H85" s="8">
        <f>SUM(0)</f>
        <v>0</v>
      </c>
      <c r="I85" s="8"/>
      <c r="J85" s="14">
        <f>IF(H$12=0,0,H85/H$12)</f>
        <v>0</v>
      </c>
      <c r="K85" s="8"/>
      <c r="L85" s="8">
        <f>+D85-H85</f>
        <v>0</v>
      </c>
      <c r="M85" s="8"/>
      <c r="N85" s="14">
        <f>IF(H85=0,0,L85/H85)</f>
        <v>0</v>
      </c>
      <c r="O85" s="13"/>
      <c r="P85" s="8">
        <f>SUM(0)</f>
        <v>0</v>
      </c>
      <c r="Q85" s="8"/>
      <c r="R85" s="14">
        <f>IF(P$12=0,0,P85/P$12)</f>
        <v>0</v>
      </c>
      <c r="S85" s="8"/>
      <c r="T85" s="8">
        <f>SUM(0)</f>
        <v>0</v>
      </c>
      <c r="U85" s="8"/>
      <c r="V85" s="14">
        <f>IF(T$12=0,0,T85/T$12)</f>
        <v>0</v>
      </c>
      <c r="W85" s="8"/>
      <c r="X85" s="8">
        <f>+P85-T85</f>
        <v>0</v>
      </c>
      <c r="Y85" s="8"/>
      <c r="Z85" s="14">
        <f>IF(T85=0,0,X85/T85)</f>
        <v>0</v>
      </c>
    </row>
    <row r="86" spans="1:26" ht="15" customHeight="1" x14ac:dyDescent="0.3">
      <c r="A86" s="12"/>
      <c r="B86" s="13"/>
      <c r="C86" s="13"/>
      <c r="D86" s="4"/>
      <c r="E86" s="4"/>
      <c r="F86" s="10"/>
      <c r="G86" s="4"/>
      <c r="H86" s="4"/>
      <c r="I86" s="4"/>
      <c r="J86" s="10"/>
      <c r="K86" s="4"/>
      <c r="L86" s="4"/>
      <c r="M86" s="4"/>
      <c r="N86" s="10"/>
      <c r="O86" s="13"/>
      <c r="P86" s="4"/>
      <c r="Q86" s="4"/>
      <c r="R86" s="10"/>
      <c r="S86" s="4"/>
      <c r="T86" s="4"/>
      <c r="U86" s="4"/>
      <c r="V86" s="10"/>
      <c r="W86" s="4"/>
      <c r="X86" s="4"/>
      <c r="Y86" s="4"/>
      <c r="Z86" s="10"/>
    </row>
    <row r="87" spans="1:26" s="63" customFormat="1" ht="15" customHeight="1" x14ac:dyDescent="0.3">
      <c r="A87" s="13"/>
      <c r="B87" s="27" t="s">
        <v>292</v>
      </c>
      <c r="C87" s="27"/>
      <c r="D87" s="23">
        <f>+D30-D32+D85</f>
        <v>50694.41</v>
      </c>
      <c r="E87" s="15"/>
      <c r="F87" s="22">
        <f>IF(D$12=0,0,D87/D$12)</f>
        <v>0</v>
      </c>
      <c r="G87" s="15"/>
      <c r="H87" s="23">
        <f>+H30-H32+H85</f>
        <v>-10178.186453999999</v>
      </c>
      <c r="I87" s="15"/>
      <c r="J87" s="22">
        <f>IF(H$12=0,0,H87/H$12)</f>
        <v>-7.9891573422291984</v>
      </c>
      <c r="K87" s="17"/>
      <c r="L87" s="23">
        <f>+D87-H87</f>
        <v>60872.596453999999</v>
      </c>
      <c r="M87" s="17"/>
      <c r="N87" s="22">
        <f>IF(H87=0,0,L87/H87)</f>
        <v>-5.9806918186370259</v>
      </c>
      <c r="O87" s="28"/>
      <c r="P87" s="23">
        <f>+P30-P32+P85</f>
        <v>89718.629999999946</v>
      </c>
      <c r="Q87" s="15"/>
      <c r="R87" s="22">
        <f>IF(P$12=0,0,P87/P$12)</f>
        <v>0.37280841339881909</v>
      </c>
      <c r="S87" s="15"/>
      <c r="T87" s="23">
        <f>+T30-T32+T85</f>
        <v>74784.60699</v>
      </c>
      <c r="U87" s="15"/>
      <c r="V87" s="22">
        <f>IF(T$12=0,0,T87/T$12)</f>
        <v>0.15651307297563713</v>
      </c>
      <c r="W87" s="17"/>
      <c r="X87" s="23">
        <f>+P87-T87</f>
        <v>14934.023009999946</v>
      </c>
      <c r="Y87" s="17"/>
      <c r="Z87" s="22">
        <f>IF(T87=0,0,X87/T87)</f>
        <v>0.19969380880743123</v>
      </c>
    </row>
    <row r="88" spans="1:26" ht="15" customHeight="1" x14ac:dyDescent="0.3">
      <c r="A88" s="12"/>
      <c r="B88" s="13"/>
      <c r="C88" s="12"/>
      <c r="D88" s="4"/>
      <c r="E88" s="4"/>
      <c r="F88" s="10"/>
      <c r="G88" s="4"/>
      <c r="H88" s="4"/>
      <c r="I88" s="4"/>
      <c r="J88" s="10"/>
      <c r="K88" s="4"/>
      <c r="L88" s="4"/>
      <c r="M88" s="4"/>
      <c r="N88" s="10"/>
      <c r="P88" s="4"/>
      <c r="Q88" s="4"/>
      <c r="R88" s="10"/>
      <c r="S88" s="4"/>
      <c r="T88" s="4"/>
      <c r="U88" s="4"/>
      <c r="V88" s="10"/>
      <c r="W88" s="4"/>
      <c r="X88" s="4"/>
      <c r="Y88" s="4"/>
      <c r="Z88" s="10"/>
    </row>
    <row r="89" spans="1:26" s="63" customFormat="1" ht="15" customHeight="1" x14ac:dyDescent="0.3">
      <c r="A89" s="49"/>
      <c r="B89" s="13" t="s">
        <v>293</v>
      </c>
      <c r="C89" s="13"/>
      <c r="D89" s="8">
        <v>-54800.79</v>
      </c>
      <c r="E89" s="8"/>
      <c r="F89" s="14">
        <f>IF(D$12=0,0,D89/D$12)</f>
        <v>0</v>
      </c>
      <c r="G89" s="8"/>
      <c r="H89" s="8">
        <v>-4892</v>
      </c>
      <c r="I89" s="8"/>
      <c r="J89" s="14">
        <f>IF(H$12=0,0,H89/H$12)</f>
        <v>-3.8398744113029828</v>
      </c>
      <c r="K89" s="8"/>
      <c r="L89" s="8">
        <f>+D89-H89</f>
        <v>-49908.79</v>
      </c>
      <c r="M89" s="8"/>
      <c r="N89" s="14">
        <f>IF(H89=0,0,L89/H89)</f>
        <v>10.202123875715454</v>
      </c>
      <c r="O89" s="13"/>
      <c r="P89" s="8">
        <v>-27744.94</v>
      </c>
      <c r="Q89" s="8"/>
      <c r="R89" s="14">
        <f>IF(P$12=0,0,P89/P$12)</f>
        <v>-0.11528873168533044</v>
      </c>
      <c r="S89" s="8"/>
      <c r="T89" s="8">
        <v>54182</v>
      </c>
      <c r="U89" s="8"/>
      <c r="V89" s="14">
        <f>IF(T$12=0,0,T89/T$12)</f>
        <v>0.11339487711822727</v>
      </c>
      <c r="W89" s="8"/>
      <c r="X89" s="8">
        <f>+P89-T89</f>
        <v>-81926.94</v>
      </c>
      <c r="Y89" s="8"/>
      <c r="Z89" s="14">
        <f>IF(T89=0,0,X89/T89)</f>
        <v>-1.5120693219150272</v>
      </c>
    </row>
    <row r="90" spans="1:26" ht="15" customHeight="1" x14ac:dyDescent="0.3">
      <c r="A90" s="12"/>
      <c r="B90" s="13"/>
      <c r="C90" s="13"/>
      <c r="D90" s="4"/>
      <c r="E90" s="4"/>
      <c r="F90" s="10"/>
      <c r="G90" s="4"/>
      <c r="H90" s="4"/>
      <c r="I90" s="4"/>
      <c r="J90" s="10"/>
      <c r="K90" s="4"/>
      <c r="L90" s="4"/>
      <c r="M90" s="4"/>
      <c r="N90" s="10"/>
      <c r="O90" s="13"/>
      <c r="P90" s="4"/>
      <c r="Q90" s="4"/>
      <c r="R90" s="10"/>
      <c r="S90" s="4"/>
      <c r="T90" s="4"/>
      <c r="U90" s="4"/>
      <c r="V90" s="10"/>
      <c r="W90" s="4"/>
      <c r="X90" s="4"/>
      <c r="Y90" s="4"/>
      <c r="Z90" s="10"/>
    </row>
    <row r="91" spans="1:26" s="63" customFormat="1" ht="15" customHeight="1" x14ac:dyDescent="0.3">
      <c r="A91" s="13"/>
      <c r="B91" s="27" t="s">
        <v>294</v>
      </c>
      <c r="C91" s="27"/>
      <c r="D91" s="30">
        <f>+D87-D89</f>
        <v>105495.20000000001</v>
      </c>
      <c r="E91" s="15"/>
      <c r="F91" s="35">
        <f>IF(D$12=0,0,D91/D$12)</f>
        <v>0</v>
      </c>
      <c r="G91" s="15"/>
      <c r="H91" s="30">
        <f>+H87-H89</f>
        <v>-5286.1864539999988</v>
      </c>
      <c r="I91" s="15"/>
      <c r="J91" s="35">
        <f>IF(H$12=0,0,H91/H$12)</f>
        <v>-4.1492829309262156</v>
      </c>
      <c r="K91" s="17"/>
      <c r="L91" s="30">
        <f>D91-H91</f>
        <v>110781.38645400001</v>
      </c>
      <c r="M91" s="17"/>
      <c r="N91" s="35">
        <f>IF(H91=0,0,L91/H91)</f>
        <v>-20.956768630469504</v>
      </c>
      <c r="O91" s="28"/>
      <c r="P91" s="30">
        <f>+P87-P89</f>
        <v>117463.56999999995</v>
      </c>
      <c r="Q91" s="15"/>
      <c r="R91" s="35">
        <f>IF(P$12=0,0,P91/P$12)</f>
        <v>0.48809714508414959</v>
      </c>
      <c r="S91" s="15"/>
      <c r="T91" s="30">
        <f>+T87-T89</f>
        <v>20602.60699</v>
      </c>
      <c r="U91" s="15"/>
      <c r="V91" s="35">
        <f>IF(T$12=0,0,T91/T$12)</f>
        <v>4.3118195857409843E-2</v>
      </c>
      <c r="W91" s="17"/>
      <c r="X91" s="30">
        <f>P91-T91</f>
        <v>96860.963009999949</v>
      </c>
      <c r="Y91" s="17"/>
      <c r="Z91" s="35">
        <f>IF(T91=0,0,X91/T91)</f>
        <v>4.701393520587656</v>
      </c>
    </row>
    <row r="92" spans="1:26" ht="15" customHeight="1" x14ac:dyDescent="0.3">
      <c r="A92" s="12"/>
      <c r="B92" s="12"/>
      <c r="C92" s="12"/>
      <c r="D92" s="4"/>
      <c r="E92" s="4"/>
      <c r="F92" s="10"/>
      <c r="G92" s="4"/>
      <c r="H92" s="4"/>
      <c r="I92" s="4"/>
      <c r="J92" s="10"/>
      <c r="K92" s="4"/>
      <c r="L92" s="4"/>
      <c r="M92" s="4"/>
      <c r="N92" s="10"/>
      <c r="P92" s="4"/>
      <c r="Q92" s="4"/>
      <c r="R92" s="10"/>
      <c r="S92" s="4"/>
      <c r="T92" s="4"/>
      <c r="U92" s="4"/>
      <c r="V92" s="10"/>
      <c r="W92" s="4"/>
      <c r="X92" s="4"/>
      <c r="Y92" s="4"/>
      <c r="Z92" s="10"/>
    </row>
    <row r="93" spans="1:26" ht="15" customHeight="1" x14ac:dyDescent="0.3">
      <c r="A93" s="12"/>
      <c r="B93" s="12"/>
      <c r="C93" s="12"/>
      <c r="D93" s="4"/>
      <c r="E93" s="4"/>
      <c r="F93" s="10"/>
      <c r="G93" s="4"/>
      <c r="H93" s="4"/>
      <c r="I93" s="4"/>
      <c r="J93" s="10"/>
      <c r="K93" s="4"/>
      <c r="L93" s="4"/>
      <c r="M93" s="4"/>
      <c r="N93" s="10"/>
      <c r="P93" s="4"/>
      <c r="Q93" s="4"/>
      <c r="R93" s="10"/>
      <c r="S93" s="4"/>
      <c r="T93" s="4"/>
      <c r="U93" s="4"/>
      <c r="V93" s="10"/>
      <c r="W93" s="4"/>
      <c r="X93" s="4"/>
      <c r="Y93" s="4"/>
      <c r="Z93" s="10"/>
    </row>
    <row r="94" spans="1:26" s="63" customFormat="1" ht="15" customHeight="1" x14ac:dyDescent="0.3">
      <c r="A94" s="13"/>
      <c r="B94" s="27" t="s">
        <v>297</v>
      </c>
      <c r="C94" s="27"/>
      <c r="D94" s="33">
        <f>SUM(D91:D93)</f>
        <v>105495.20000000001</v>
      </c>
      <c r="E94" s="15"/>
      <c r="F94" s="31">
        <f>IF(D$12=0,0,D94/D$12)</f>
        <v>0</v>
      </c>
      <c r="G94" s="15"/>
      <c r="H94" s="33">
        <f>SUM(H91:H93)</f>
        <v>-5286.1864539999988</v>
      </c>
      <c r="I94" s="15"/>
      <c r="J94" s="31">
        <f>IF(H$12=0,0,H94/H$12)</f>
        <v>-4.1492829309262156</v>
      </c>
      <c r="K94" s="17"/>
      <c r="L94" s="33">
        <f>+D94-H94</f>
        <v>110781.38645400001</v>
      </c>
      <c r="M94" s="17"/>
      <c r="N94" s="31">
        <f>IF(H94=0,0,L94/H94)</f>
        <v>-20.956768630469504</v>
      </c>
      <c r="O94" s="28"/>
      <c r="P94" s="33">
        <f>SUM(P91:P93)</f>
        <v>117463.56999999995</v>
      </c>
      <c r="Q94" s="15"/>
      <c r="R94" s="31">
        <f>IF(P$12=0,0,P94/P$12)</f>
        <v>0.48809714508414959</v>
      </c>
      <c r="S94" s="15"/>
      <c r="T94" s="33">
        <f>SUM(T91:T93)</f>
        <v>20602.60699</v>
      </c>
      <c r="U94" s="15"/>
      <c r="V94" s="31">
        <f>IF(T$12=0,0,T94/T$12)</f>
        <v>4.3118195857409843E-2</v>
      </c>
      <c r="W94" s="17"/>
      <c r="X94" s="33">
        <f>+P94-T94</f>
        <v>96860.963009999949</v>
      </c>
      <c r="Y94" s="17"/>
      <c r="Z94" s="31">
        <f>IF(T94=0,0,X94/T94)</f>
        <v>4.701393520587656</v>
      </c>
    </row>
    <row r="95" spans="1:26" ht="15" customHeight="1" x14ac:dyDescent="0.3">
      <c r="A95" s="12"/>
      <c r="C95" s="12"/>
      <c r="D95" s="19"/>
      <c r="E95" s="19"/>
      <c r="G95" s="19"/>
      <c r="H95" s="19"/>
      <c r="I95" s="19"/>
      <c r="J95" s="41"/>
      <c r="K95" s="19"/>
      <c r="L95" s="19"/>
      <c r="M95" s="19"/>
      <c r="P95" s="19"/>
      <c r="Q95" s="19"/>
      <c r="R95" s="41"/>
      <c r="S95" s="19"/>
      <c r="T95" s="19"/>
      <c r="U95" s="19"/>
      <c r="V95" s="41"/>
      <c r="W95" s="19"/>
      <c r="X95" s="19"/>
    </row>
    <row r="96" spans="1:26" ht="15" customHeight="1" x14ac:dyDescent="0.3">
      <c r="A96" s="12"/>
      <c r="B96" s="50">
        <v>44767.799547766204</v>
      </c>
      <c r="D96" s="19"/>
      <c r="E96" s="19"/>
      <c r="G96" s="19"/>
      <c r="H96" s="19"/>
      <c r="I96" s="19"/>
      <c r="J96" s="41"/>
      <c r="K96" s="19"/>
      <c r="L96" s="19"/>
      <c r="M96" s="19"/>
      <c r="P96" s="19"/>
      <c r="Q96" s="19"/>
      <c r="R96" s="41"/>
      <c r="S96" s="19"/>
      <c r="T96" s="19"/>
      <c r="U96" s="19"/>
      <c r="V96" s="41"/>
      <c r="W96" s="19"/>
      <c r="X96" s="19"/>
    </row>
    <row r="97" spans="1:24" ht="15" customHeight="1" x14ac:dyDescent="0.3">
      <c r="A97" s="12"/>
      <c r="B97" s="57" t="s">
        <v>298</v>
      </c>
      <c r="D97" s="19"/>
      <c r="E97" s="19"/>
      <c r="G97" s="19"/>
      <c r="H97" s="19"/>
      <c r="I97" s="19"/>
      <c r="J97" s="41"/>
      <c r="K97" s="19"/>
      <c r="L97" s="19"/>
      <c r="M97" s="19"/>
      <c r="P97" s="19"/>
      <c r="Q97" s="19"/>
      <c r="R97" s="41"/>
      <c r="S97" s="19"/>
      <c r="T97" s="19"/>
      <c r="U97" s="19"/>
      <c r="V97" s="41"/>
      <c r="W97" s="19"/>
      <c r="X97" s="19"/>
    </row>
    <row r="98" spans="1:24" ht="15" customHeight="1" x14ac:dyDescent="0.3">
      <c r="A98" s="12"/>
      <c r="B98" s="51"/>
      <c r="D98" s="19"/>
      <c r="E98" s="19"/>
      <c r="G98" s="19"/>
      <c r="H98" s="19"/>
      <c r="I98" s="19"/>
      <c r="J98" s="41"/>
      <c r="K98" s="19"/>
      <c r="L98" s="19"/>
      <c r="M98" s="19"/>
      <c r="P98" s="19"/>
      <c r="Q98" s="19"/>
      <c r="R98" s="41"/>
      <c r="S98" s="19"/>
      <c r="T98" s="19"/>
      <c r="U98" s="19"/>
      <c r="V98" s="41"/>
      <c r="W98" s="19"/>
      <c r="X98" s="19"/>
    </row>
    <row r="99" spans="1:24" ht="15" customHeight="1" x14ac:dyDescent="0.3">
      <c r="D99" s="19"/>
      <c r="E99" s="19"/>
      <c r="G99" s="19"/>
      <c r="H99" s="19"/>
      <c r="I99" s="19"/>
      <c r="J99" s="41"/>
      <c r="K99" s="19"/>
      <c r="L99" s="19"/>
      <c r="M99" s="19"/>
      <c r="P99" s="19"/>
      <c r="Q99" s="19"/>
      <c r="R99" s="41"/>
      <c r="S99" s="19"/>
      <c r="T99" s="19"/>
      <c r="U99" s="19"/>
      <c r="V99" s="41"/>
      <c r="W99" s="19"/>
      <c r="X99" s="19"/>
    </row>
  </sheetData>
  <pageMargins left="0.25" right="0.25" top="0.75" bottom="0.75" header="0.3" footer="0.3"/>
  <pageSetup scale="55" orientation="landscape" r:id="rId1"/>
  <headerFooter>
    <oddHeader>&amp;RPre-Audit</oddHeader>
    <oddFooter>&amp;L&amp;C&amp;R</oddFooter>
    <evenHeader>&amp;L&amp;C&amp;R</evenHeader>
    <evenFooter>&amp;L&amp;C&amp;R</even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C7A03B-3C58-1FB8-CAD8-12ABDC5CC1B5}">
  <sheetPr>
    <tabColor rgb="FFFFFF00"/>
    <outlinePr summaryBelow="0" summaryRight="0"/>
  </sheetPr>
  <dimension ref="A2:Z137"/>
  <sheetViews>
    <sheetView showGridLines="0" defaultGridColor="0" colorId="8" zoomScale="80" workbookViewId="0">
      <pane xSplit="3" ySplit="10" topLeftCell="D11" activePane="bottomRight" state="frozen"/>
      <selection activeCell="D78" sqref="D78"/>
      <selection pane="topRight" activeCell="D78" sqref="D78"/>
      <selection pane="bottomLeft" activeCell="D78" sqref="D78"/>
      <selection pane="bottomRight" activeCell="D78" sqref="D78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3" t="s">
        <v>276</v>
      </c>
    </row>
    <row r="3" spans="1:26" ht="15" customHeight="1" x14ac:dyDescent="0.3">
      <c r="D3" s="53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3" t="str">
        <f>CONCATENATE("Period ",RIGHT(202212,2),", ",2022)</f>
        <v>Period 12,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5"/>
      <c r="D5" s="60">
        <v>44742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5"/>
      <c r="B6" s="47"/>
      <c r="C6" s="47"/>
      <c r="D6" s="25" t="s">
        <v>306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4"/>
    </row>
    <row r="8" spans="1:26" ht="15" customHeight="1" x14ac:dyDescent="0.3">
      <c r="B8" s="54"/>
    </row>
    <row r="9" spans="1:26" ht="15" customHeight="1" x14ac:dyDescent="0.3">
      <c r="B9" s="12"/>
      <c r="C9" s="12"/>
      <c r="D9" s="16" t="s">
        <v>279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280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ht="15" customHeight="1" x14ac:dyDescent="0.3">
      <c r="A10" s="13"/>
      <c r="B10" s="52"/>
      <c r="C10" s="13"/>
      <c r="D10" s="40" t="s">
        <v>281</v>
      </c>
      <c r="E10" s="32"/>
      <c r="F10" s="39" t="s">
        <v>282</v>
      </c>
      <c r="G10" s="32"/>
      <c r="H10" s="45" t="s">
        <v>283</v>
      </c>
      <c r="I10" s="32"/>
      <c r="J10" s="42" t="s">
        <v>284</v>
      </c>
      <c r="K10" s="13"/>
      <c r="L10" s="40" t="s">
        <v>285</v>
      </c>
      <c r="M10" s="13"/>
      <c r="N10" s="39" t="s">
        <v>286</v>
      </c>
      <c r="O10" s="13"/>
      <c r="P10" s="55" t="s">
        <v>281</v>
      </c>
      <c r="Q10" s="32"/>
      <c r="R10" s="39" t="s">
        <v>282</v>
      </c>
      <c r="S10" s="32"/>
      <c r="T10" s="45" t="s">
        <v>283</v>
      </c>
      <c r="U10" s="32"/>
      <c r="V10" s="42" t="s">
        <v>284</v>
      </c>
      <c r="W10" s="13"/>
      <c r="X10" s="40" t="s">
        <v>285</v>
      </c>
      <c r="Y10" s="13"/>
      <c r="Z10" s="39" t="s">
        <v>286</v>
      </c>
    </row>
    <row r="11" spans="1:26" ht="16.5" customHeight="1" x14ac:dyDescent="0.3">
      <c r="A11" s="12"/>
      <c r="B11" s="58"/>
      <c r="C11" s="12"/>
      <c r="D11" s="12"/>
      <c r="E11" s="12"/>
      <c r="F11" s="10"/>
      <c r="G11" s="12"/>
      <c r="H11" s="12"/>
      <c r="I11" s="12"/>
      <c r="J11" s="43"/>
      <c r="K11" s="12"/>
      <c r="L11" s="12"/>
      <c r="M11" s="12"/>
      <c r="N11" s="10"/>
      <c r="P11" s="12"/>
      <c r="Q11" s="12"/>
      <c r="R11" s="10"/>
      <c r="S11" s="12"/>
      <c r="T11" s="12"/>
      <c r="U11" s="12"/>
      <c r="V11" s="43"/>
      <c r="W11" s="12"/>
      <c r="X11" s="12"/>
      <c r="Y11" s="12"/>
      <c r="Z11" s="10"/>
    </row>
    <row r="12" spans="1:26" s="63" customFormat="1" ht="15" customHeight="1" collapsed="1" x14ac:dyDescent="0.3">
      <c r="A12" s="13"/>
      <c r="B12" s="28" t="s">
        <v>287</v>
      </c>
      <c r="C12" s="13"/>
      <c r="D12" s="8">
        <f>SUM(OSRRefD13x_0)</f>
        <v>282453.05</v>
      </c>
      <c r="E12" s="8"/>
      <c r="F12" s="14"/>
      <c r="G12" s="8"/>
      <c r="H12" s="8">
        <f>SUM(OSRRefH13x_0)</f>
        <v>255409</v>
      </c>
      <c r="I12" s="8"/>
      <c r="J12" s="14"/>
      <c r="K12" s="8"/>
      <c r="L12" s="8">
        <f t="shared" ref="L12:L17" si="0">+D12-H12</f>
        <v>27044.049999999988</v>
      </c>
      <c r="M12" s="8"/>
      <c r="N12" s="14">
        <f t="shared" ref="N12:N17" si="1">IF(H12=0,0,L12/H12)</f>
        <v>0.10588526637667423</v>
      </c>
      <c r="O12" s="13"/>
      <c r="P12" s="8">
        <f>SUM(OSRRefP13x_0)</f>
        <v>5102278.129999999</v>
      </c>
      <c r="Q12" s="8"/>
      <c r="R12" s="14"/>
      <c r="S12" s="8"/>
      <c r="T12" s="8">
        <f>SUM(OSRRefT13x_0)</f>
        <v>3219129</v>
      </c>
      <c r="U12" s="8"/>
      <c r="V12" s="14"/>
      <c r="W12" s="8"/>
      <c r="X12" s="8">
        <f t="shared" ref="X12:X17" si="2">+P12-T12</f>
        <v>1883149.129999999</v>
      </c>
      <c r="Y12" s="8"/>
      <c r="Z12" s="14">
        <f t="shared" ref="Z12:Z17" si="3">IF(T12=0,0,X12/T12)</f>
        <v>0.58498715957018155</v>
      </c>
    </row>
    <row r="13" spans="1:26" s="70" customFormat="1" ht="15" hidden="1" customHeight="1" outlineLevel="1" x14ac:dyDescent="0.3">
      <c r="A13" s="48"/>
      <c r="B13" s="9" t="str">
        <f>CONCATENATE("          ","4000"," - ","TAXABLE SALES")</f>
        <v xml:space="preserve">          4000 - TAXABLE SALES</v>
      </c>
      <c r="C13" s="9"/>
      <c r="D13" s="3">
        <f>--278306.49</f>
        <v>278306.49</v>
      </c>
      <c r="E13" s="3"/>
      <c r="F13" s="26"/>
      <c r="G13" s="3"/>
      <c r="H13" s="3">
        <v>255409</v>
      </c>
      <c r="I13" s="3"/>
      <c r="J13" s="26"/>
      <c r="K13" s="3"/>
      <c r="L13" s="3">
        <f t="shared" si="0"/>
        <v>22897.489999999991</v>
      </c>
      <c r="M13" s="3"/>
      <c r="N13" s="26">
        <f t="shared" si="1"/>
        <v>8.9650286403376508E-2</v>
      </c>
      <c r="O13" s="9"/>
      <c r="P13" s="3">
        <f>--4821259.76</f>
        <v>4821259.76</v>
      </c>
      <c r="Q13" s="3"/>
      <c r="R13" s="26"/>
      <c r="S13" s="3"/>
      <c r="T13" s="3">
        <v>3219129</v>
      </c>
      <c r="U13" s="3"/>
      <c r="V13" s="26"/>
      <c r="W13" s="3"/>
      <c r="X13" s="3">
        <f t="shared" si="2"/>
        <v>1602130.7599999998</v>
      </c>
      <c r="Y13" s="3"/>
      <c r="Z13" s="26">
        <f t="shared" si="3"/>
        <v>0.49769076045104121</v>
      </c>
    </row>
    <row r="14" spans="1:26" s="70" customFormat="1" ht="15" hidden="1" customHeight="1" outlineLevel="1" x14ac:dyDescent="0.3">
      <c r="A14" s="48"/>
      <c r="B14" s="9" t="str">
        <f>CONCATENATE("          ","4100"," - ","NON-TAXABLE SALES")</f>
        <v xml:space="preserve">          4100 - NON-TAXABLE SALES</v>
      </c>
      <c r="C14" s="9"/>
      <c r="D14" s="3">
        <f>--30713.63</f>
        <v>30713.63</v>
      </c>
      <c r="E14" s="3"/>
      <c r="F14" s="26"/>
      <c r="G14" s="3"/>
      <c r="H14" s="3"/>
      <c r="I14" s="3"/>
      <c r="J14" s="26"/>
      <c r="K14" s="3"/>
      <c r="L14" s="3">
        <f t="shared" si="0"/>
        <v>30713.63</v>
      </c>
      <c r="M14" s="3"/>
      <c r="N14" s="26">
        <f t="shared" si="1"/>
        <v>0</v>
      </c>
      <c r="O14" s="9"/>
      <c r="P14" s="3">
        <f>--582801.63</f>
        <v>582801.63</v>
      </c>
      <c r="Q14" s="3"/>
      <c r="R14" s="26"/>
      <c r="S14" s="3"/>
      <c r="T14" s="3"/>
      <c r="U14" s="3"/>
      <c r="V14" s="26"/>
      <c r="W14" s="3"/>
      <c r="X14" s="3">
        <f t="shared" si="2"/>
        <v>582801.63</v>
      </c>
      <c r="Y14" s="3"/>
      <c r="Z14" s="26">
        <f t="shared" si="3"/>
        <v>0</v>
      </c>
    </row>
    <row r="15" spans="1:26" s="70" customFormat="1" ht="15" hidden="1" customHeight="1" outlineLevel="1" x14ac:dyDescent="0.3">
      <c r="A15" s="48"/>
      <c r="B15" s="9" t="str">
        <f>CONCATENATE("          ","4200"," - ","TAXABLE RETURNS")</f>
        <v xml:space="preserve">          4200 - TAXABLE RETURNS</v>
      </c>
      <c r="C15" s="9"/>
      <c r="D15" s="3">
        <f>-19314.84</f>
        <v>-19314.84</v>
      </c>
      <c r="E15" s="3"/>
      <c r="F15" s="26"/>
      <c r="G15" s="3"/>
      <c r="H15" s="3"/>
      <c r="I15" s="3"/>
      <c r="J15" s="26"/>
      <c r="K15" s="3"/>
      <c r="L15" s="3">
        <f t="shared" si="0"/>
        <v>-19314.84</v>
      </c>
      <c r="M15" s="3"/>
      <c r="N15" s="26">
        <f t="shared" si="1"/>
        <v>0</v>
      </c>
      <c r="O15" s="9"/>
      <c r="P15" s="3">
        <f>-173191.2</f>
        <v>-173191.2</v>
      </c>
      <c r="Q15" s="3"/>
      <c r="R15" s="26"/>
      <c r="S15" s="3"/>
      <c r="T15" s="3"/>
      <c r="U15" s="3"/>
      <c r="V15" s="26"/>
      <c r="W15" s="3"/>
      <c r="X15" s="3">
        <f t="shared" si="2"/>
        <v>-173191.2</v>
      </c>
      <c r="Y15" s="3"/>
      <c r="Z15" s="26">
        <f t="shared" si="3"/>
        <v>0</v>
      </c>
    </row>
    <row r="16" spans="1:26" s="70" customFormat="1" ht="15" hidden="1" customHeight="1" outlineLevel="1" x14ac:dyDescent="0.3">
      <c r="A16" s="48"/>
      <c r="B16" s="9" t="str">
        <f>CONCATENATE("          ","4300"," - ","NON-TAX RETURNS")</f>
        <v xml:space="preserve">          4300 - NON-TAX RETURNS</v>
      </c>
      <c r="C16" s="9"/>
      <c r="D16" s="3">
        <f>-364.5</f>
        <v>-364.5</v>
      </c>
      <c r="E16" s="3"/>
      <c r="F16" s="26"/>
      <c r="G16" s="3"/>
      <c r="H16" s="3"/>
      <c r="I16" s="3"/>
      <c r="J16" s="26"/>
      <c r="K16" s="3"/>
      <c r="L16" s="3">
        <f t="shared" si="0"/>
        <v>-364.5</v>
      </c>
      <c r="M16" s="3"/>
      <c r="N16" s="26">
        <f t="shared" si="1"/>
        <v>0</v>
      </c>
      <c r="O16" s="9"/>
      <c r="P16" s="3">
        <f>-3861.19</f>
        <v>-3861.19</v>
      </c>
      <c r="Q16" s="3"/>
      <c r="R16" s="26"/>
      <c r="S16" s="3"/>
      <c r="T16" s="3"/>
      <c r="U16" s="3"/>
      <c r="V16" s="26"/>
      <c r="W16" s="3"/>
      <c r="X16" s="3">
        <f t="shared" si="2"/>
        <v>-3861.19</v>
      </c>
      <c r="Y16" s="3"/>
      <c r="Z16" s="26">
        <f t="shared" si="3"/>
        <v>0</v>
      </c>
    </row>
    <row r="17" spans="1:26" s="70" customFormat="1" ht="15" hidden="1" customHeight="1" outlineLevel="1" x14ac:dyDescent="0.3">
      <c r="A17" s="48"/>
      <c r="B17" s="9" t="str">
        <f>CONCATENATE("          ","4500"," - ","SALES DISCOUNT")</f>
        <v xml:space="preserve">          4500 - SALES DISCOUNT</v>
      </c>
      <c r="C17" s="9"/>
      <c r="D17" s="3">
        <f>-6887.73</f>
        <v>-6887.73</v>
      </c>
      <c r="E17" s="3"/>
      <c r="F17" s="26"/>
      <c r="G17" s="3"/>
      <c r="H17" s="3"/>
      <c r="I17" s="3"/>
      <c r="J17" s="26"/>
      <c r="K17" s="3"/>
      <c r="L17" s="3">
        <f t="shared" si="0"/>
        <v>-6887.73</v>
      </c>
      <c r="M17" s="3"/>
      <c r="N17" s="26">
        <f t="shared" si="1"/>
        <v>0</v>
      </c>
      <c r="O17" s="9"/>
      <c r="P17" s="3">
        <f>-124730.87</f>
        <v>-124730.87</v>
      </c>
      <c r="Q17" s="3"/>
      <c r="R17" s="26"/>
      <c r="S17" s="3"/>
      <c r="T17" s="3"/>
      <c r="U17" s="3"/>
      <c r="V17" s="26"/>
      <c r="W17" s="3"/>
      <c r="X17" s="3">
        <f t="shared" si="2"/>
        <v>-124730.87</v>
      </c>
      <c r="Y17" s="3"/>
      <c r="Z17" s="26">
        <f t="shared" si="3"/>
        <v>0</v>
      </c>
    </row>
    <row r="18" spans="1:26" ht="15" customHeight="1" x14ac:dyDescent="0.3">
      <c r="A18" s="12"/>
      <c r="B18" s="13"/>
      <c r="C18" s="12"/>
      <c r="D18" s="4"/>
      <c r="E18" s="4"/>
      <c r="F18" s="10"/>
      <c r="G18" s="4"/>
      <c r="H18" s="4"/>
      <c r="I18" s="4"/>
      <c r="J18" s="10"/>
      <c r="K18" s="4"/>
      <c r="L18" s="4"/>
      <c r="M18" s="4"/>
      <c r="N18" s="10"/>
      <c r="P18" s="4"/>
      <c r="Q18" s="4"/>
      <c r="R18" s="10"/>
      <c r="S18" s="4"/>
      <c r="T18" s="4"/>
      <c r="U18" s="4"/>
      <c r="V18" s="10"/>
      <c r="W18" s="4"/>
      <c r="X18" s="4"/>
      <c r="Y18" s="4"/>
      <c r="Z18" s="10"/>
    </row>
    <row r="19" spans="1:26" s="63" customFormat="1" ht="15" customHeight="1" collapsed="1" x14ac:dyDescent="0.3">
      <c r="A19" s="13"/>
      <c r="B19" s="28" t="s">
        <v>288</v>
      </c>
      <c r="C19" s="13"/>
      <c r="D19" s="8">
        <f>SUM(OSRRefD16x_0)</f>
        <v>337237.04000000004</v>
      </c>
      <c r="E19" s="8"/>
      <c r="F19" s="14">
        <f t="shared" ref="F19:F38" si="4">IF(D$12=0,0,D19/D$12)</f>
        <v>1.1939578630855643</v>
      </c>
      <c r="G19" s="8"/>
      <c r="H19" s="8">
        <f>SUM(OSRRefH16x_0)</f>
        <v>133657</v>
      </c>
      <c r="I19" s="8"/>
      <c r="J19" s="14">
        <f t="shared" ref="J19:J38" si="5">IF(H$12=0,0,H19/H$12)</f>
        <v>0.52330575664913925</v>
      </c>
      <c r="K19" s="8"/>
      <c r="L19" s="8">
        <f t="shared" ref="L19:L38" si="6">+D19-H19</f>
        <v>203580.04000000004</v>
      </c>
      <c r="M19" s="8"/>
      <c r="N19" s="14">
        <f t="shared" ref="N19:N38" si="7">IF(H19=0,0,L19/H19)</f>
        <v>1.523152846465206</v>
      </c>
      <c r="O19" s="13"/>
      <c r="P19" s="8">
        <f>SUM(OSRRefP16x_0)</f>
        <v>2571917.0999999996</v>
      </c>
      <c r="Q19" s="8"/>
      <c r="R19" s="14">
        <f t="shared" ref="R19:R38" si="8">IF(P$12=0,0,P19/P$12)</f>
        <v>0.50407230544290227</v>
      </c>
      <c r="S19" s="8"/>
      <c r="T19" s="8">
        <f>SUM(OSRRefT16x_0)</f>
        <v>1633073</v>
      </c>
      <c r="U19" s="8"/>
      <c r="V19" s="14">
        <f t="shared" ref="V19:V38" si="9">IF(T$12=0,0,T19/T$12)</f>
        <v>0.50730275176918971</v>
      </c>
      <c r="W19" s="8"/>
      <c r="X19" s="8">
        <f t="shared" ref="X19:X38" si="10">+P19-T19</f>
        <v>938844.09999999963</v>
      </c>
      <c r="Y19" s="8"/>
      <c r="Z19" s="14">
        <f t="shared" ref="Z19:Z38" si="11">IF(T19=0,0,X19/T19)</f>
        <v>0.57489414129068306</v>
      </c>
    </row>
    <row r="20" spans="1:26" s="70" customFormat="1" ht="15" hidden="1" customHeight="1" outlineLevel="1" x14ac:dyDescent="0.3">
      <c r="A20" s="48"/>
      <c r="B20" s="9" t="str">
        <f>CONCATENATE("          ","5000"," - ","PURCHASES @ COST")</f>
        <v xml:space="preserve">          5000 - PURCHASES @ COST</v>
      </c>
      <c r="C20" s="9"/>
      <c r="D20" s="3">
        <v>426173.25</v>
      </c>
      <c r="E20" s="3"/>
      <c r="F20" s="26">
        <f t="shared" si="4"/>
        <v>1.5088286354139211</v>
      </c>
      <c r="G20" s="3"/>
      <c r="H20" s="3">
        <v>133657</v>
      </c>
      <c r="I20" s="3"/>
      <c r="J20" s="26">
        <f t="shared" si="5"/>
        <v>0.52330575664913925</v>
      </c>
      <c r="K20" s="3"/>
      <c r="L20" s="3">
        <f t="shared" si="6"/>
        <v>292516.25</v>
      </c>
      <c r="M20" s="3"/>
      <c r="N20" s="26">
        <f t="shared" si="7"/>
        <v>2.1885591476690336</v>
      </c>
      <c r="O20" s="9"/>
      <c r="P20" s="3">
        <v>2782262.15</v>
      </c>
      <c r="Q20" s="3"/>
      <c r="R20" s="26">
        <f t="shared" si="8"/>
        <v>0.54529801769156017</v>
      </c>
      <c r="S20" s="3"/>
      <c r="T20" s="3">
        <v>1633073</v>
      </c>
      <c r="U20" s="3"/>
      <c r="V20" s="26">
        <f t="shared" si="9"/>
        <v>0.50730275176918971</v>
      </c>
      <c r="W20" s="3"/>
      <c r="X20" s="3">
        <f t="shared" si="10"/>
        <v>1149189.1499999999</v>
      </c>
      <c r="Y20" s="3"/>
      <c r="Z20" s="26">
        <f t="shared" si="11"/>
        <v>0.70369735461917493</v>
      </c>
    </row>
    <row r="21" spans="1:26" s="70" customFormat="1" ht="15" hidden="1" customHeight="1" outlineLevel="1" x14ac:dyDescent="0.3">
      <c r="A21" s="48"/>
      <c r="B21" s="9" t="str">
        <f>CONCATENATE("          ","5027"," - ","PURCHASES @ COST-SCHOOL SUPPLI")</f>
        <v xml:space="preserve">          5027 - PURCHASES @ COST-SCHOOL SUPPLI</v>
      </c>
      <c r="C21" s="9"/>
      <c r="D21" s="3"/>
      <c r="E21" s="3"/>
      <c r="F21" s="26">
        <f t="shared" si="4"/>
        <v>0</v>
      </c>
      <c r="G21" s="3"/>
      <c r="H21" s="3"/>
      <c r="I21" s="3"/>
      <c r="J21" s="26">
        <f t="shared" si="5"/>
        <v>0</v>
      </c>
      <c r="K21" s="3"/>
      <c r="L21" s="3">
        <f t="shared" si="6"/>
        <v>0</v>
      </c>
      <c r="M21" s="3"/>
      <c r="N21" s="26">
        <f t="shared" si="7"/>
        <v>0</v>
      </c>
      <c r="O21" s="9"/>
      <c r="P21" s="3">
        <v>0</v>
      </c>
      <c r="Q21" s="3"/>
      <c r="R21" s="26">
        <f t="shared" si="8"/>
        <v>0</v>
      </c>
      <c r="S21" s="3"/>
      <c r="T21" s="3"/>
      <c r="U21" s="3"/>
      <c r="V21" s="26">
        <f t="shared" si="9"/>
        <v>0</v>
      </c>
      <c r="W21" s="3"/>
      <c r="X21" s="3">
        <f t="shared" si="10"/>
        <v>0</v>
      </c>
      <c r="Y21" s="3"/>
      <c r="Z21" s="26">
        <f t="shared" si="11"/>
        <v>0</v>
      </c>
    </row>
    <row r="22" spans="1:26" s="70" customFormat="1" ht="15" hidden="1" customHeight="1" outlineLevel="1" x14ac:dyDescent="0.3">
      <c r="A22" s="48"/>
      <c r="B22" s="9" t="str">
        <f>CONCATENATE("          ","5028"," - ","PURCHASES @ COST-ART/TECH")</f>
        <v xml:space="preserve">          5028 - PURCHASES @ COST-ART/TECH</v>
      </c>
      <c r="C22" s="9"/>
      <c r="D22" s="3"/>
      <c r="E22" s="3"/>
      <c r="F22" s="26">
        <f t="shared" si="4"/>
        <v>0</v>
      </c>
      <c r="G22" s="3"/>
      <c r="H22" s="3"/>
      <c r="I22" s="3"/>
      <c r="J22" s="26">
        <f t="shared" si="5"/>
        <v>0</v>
      </c>
      <c r="K22" s="3"/>
      <c r="L22" s="3">
        <f t="shared" si="6"/>
        <v>0</v>
      </c>
      <c r="M22" s="3"/>
      <c r="N22" s="26">
        <f t="shared" si="7"/>
        <v>0</v>
      </c>
      <c r="O22" s="9"/>
      <c r="P22" s="3">
        <v>0</v>
      </c>
      <c r="Q22" s="3"/>
      <c r="R22" s="26">
        <f t="shared" si="8"/>
        <v>0</v>
      </c>
      <c r="S22" s="3"/>
      <c r="T22" s="3"/>
      <c r="U22" s="3"/>
      <c r="V22" s="26">
        <f t="shared" si="9"/>
        <v>0</v>
      </c>
      <c r="W22" s="3"/>
      <c r="X22" s="3">
        <f t="shared" si="10"/>
        <v>0</v>
      </c>
      <c r="Y22" s="3"/>
      <c r="Z22" s="26">
        <f t="shared" si="11"/>
        <v>0</v>
      </c>
    </row>
    <row r="23" spans="1:26" s="70" customFormat="1" ht="15" hidden="1" customHeight="1" outlineLevel="1" x14ac:dyDescent="0.3">
      <c r="A23" s="48"/>
      <c r="B23" s="9" t="str">
        <f>CONCATENATE("          ","5031"," - ","PURCHASES @ COST-FOOD")</f>
        <v xml:space="preserve">          5031 - PURCHASES @ COST-FOOD</v>
      </c>
      <c r="C23" s="9"/>
      <c r="D23" s="3"/>
      <c r="E23" s="3"/>
      <c r="F23" s="26">
        <f t="shared" si="4"/>
        <v>0</v>
      </c>
      <c r="G23" s="3"/>
      <c r="H23" s="3"/>
      <c r="I23" s="3"/>
      <c r="J23" s="26">
        <f t="shared" si="5"/>
        <v>0</v>
      </c>
      <c r="K23" s="3"/>
      <c r="L23" s="3">
        <f t="shared" si="6"/>
        <v>0</v>
      </c>
      <c r="M23" s="3"/>
      <c r="N23" s="26">
        <f t="shared" si="7"/>
        <v>0</v>
      </c>
      <c r="O23" s="9"/>
      <c r="P23" s="3">
        <v>0</v>
      </c>
      <c r="Q23" s="3"/>
      <c r="R23" s="26">
        <f t="shared" si="8"/>
        <v>0</v>
      </c>
      <c r="S23" s="3"/>
      <c r="T23" s="3"/>
      <c r="U23" s="3"/>
      <c r="V23" s="26">
        <f t="shared" si="9"/>
        <v>0</v>
      </c>
      <c r="W23" s="3"/>
      <c r="X23" s="3">
        <f t="shared" si="10"/>
        <v>0</v>
      </c>
      <c r="Y23" s="3"/>
      <c r="Z23" s="26">
        <f t="shared" si="11"/>
        <v>0</v>
      </c>
    </row>
    <row r="24" spans="1:26" s="70" customFormat="1" ht="15" hidden="1" customHeight="1" outlineLevel="1" x14ac:dyDescent="0.3">
      <c r="A24" s="48"/>
      <c r="B24" s="9" t="str">
        <f>CONCATENATE("          ","5040"," - ","PURCHASES @ COST-LOGO CLOTHING")</f>
        <v xml:space="preserve">          5040 - PURCHASES @ COST-LOGO CLOTHING</v>
      </c>
      <c r="C24" s="9"/>
      <c r="D24" s="3"/>
      <c r="E24" s="3"/>
      <c r="F24" s="26">
        <f t="shared" si="4"/>
        <v>0</v>
      </c>
      <c r="G24" s="3"/>
      <c r="H24" s="3"/>
      <c r="I24" s="3"/>
      <c r="J24" s="26">
        <f t="shared" si="5"/>
        <v>0</v>
      </c>
      <c r="K24" s="3"/>
      <c r="L24" s="3">
        <f t="shared" si="6"/>
        <v>0</v>
      </c>
      <c r="M24" s="3"/>
      <c r="N24" s="26">
        <f t="shared" si="7"/>
        <v>0</v>
      </c>
      <c r="O24" s="9"/>
      <c r="P24" s="3">
        <v>0</v>
      </c>
      <c r="Q24" s="3"/>
      <c r="R24" s="26">
        <f t="shared" si="8"/>
        <v>0</v>
      </c>
      <c r="S24" s="3"/>
      <c r="T24" s="3"/>
      <c r="U24" s="3"/>
      <c r="V24" s="26">
        <f t="shared" si="9"/>
        <v>0</v>
      </c>
      <c r="W24" s="3"/>
      <c r="X24" s="3">
        <f t="shared" si="10"/>
        <v>0</v>
      </c>
      <c r="Y24" s="3"/>
      <c r="Z24" s="26">
        <f t="shared" si="11"/>
        <v>0</v>
      </c>
    </row>
    <row r="25" spans="1:26" s="70" customFormat="1" ht="15" hidden="1" customHeight="1" outlineLevel="1" x14ac:dyDescent="0.3">
      <c r="A25" s="48"/>
      <c r="B25" s="9" t="str">
        <f>CONCATENATE("          ","5041"," - ","PURCHASES @ COST-LOGO GIFTS")</f>
        <v xml:space="preserve">          5041 - PURCHASES @ COST-LOGO GIFTS</v>
      </c>
      <c r="C25" s="9"/>
      <c r="D25" s="3"/>
      <c r="E25" s="3"/>
      <c r="F25" s="26">
        <f t="shared" si="4"/>
        <v>0</v>
      </c>
      <c r="G25" s="3"/>
      <c r="H25" s="3"/>
      <c r="I25" s="3"/>
      <c r="J25" s="26">
        <f t="shared" si="5"/>
        <v>0</v>
      </c>
      <c r="K25" s="3"/>
      <c r="L25" s="3">
        <f t="shared" si="6"/>
        <v>0</v>
      </c>
      <c r="M25" s="3"/>
      <c r="N25" s="26">
        <f t="shared" si="7"/>
        <v>0</v>
      </c>
      <c r="O25" s="9"/>
      <c r="P25" s="3">
        <v>0</v>
      </c>
      <c r="Q25" s="3"/>
      <c r="R25" s="26">
        <f t="shared" si="8"/>
        <v>0</v>
      </c>
      <c r="S25" s="3"/>
      <c r="T25" s="3"/>
      <c r="U25" s="3"/>
      <c r="V25" s="26">
        <f t="shared" si="9"/>
        <v>0</v>
      </c>
      <c r="W25" s="3"/>
      <c r="X25" s="3">
        <f t="shared" si="10"/>
        <v>0</v>
      </c>
      <c r="Y25" s="3"/>
      <c r="Z25" s="26">
        <f t="shared" si="11"/>
        <v>0</v>
      </c>
    </row>
    <row r="26" spans="1:26" s="70" customFormat="1" ht="15" hidden="1" customHeight="1" outlineLevel="1" x14ac:dyDescent="0.3">
      <c r="A26" s="48"/>
      <c r="B26" s="9" t="str">
        <f>CONCATENATE("          ","5042"," - ","PURCHASES @ COST-EVERYDAY GIFT")</f>
        <v xml:space="preserve">          5042 - PURCHASES @ COST-EVERYDAY GIFT</v>
      </c>
      <c r="C26" s="9"/>
      <c r="D26" s="3"/>
      <c r="E26" s="3"/>
      <c r="F26" s="26">
        <f t="shared" si="4"/>
        <v>0</v>
      </c>
      <c r="G26" s="3"/>
      <c r="H26" s="3"/>
      <c r="I26" s="3"/>
      <c r="J26" s="26">
        <f t="shared" si="5"/>
        <v>0</v>
      </c>
      <c r="K26" s="3"/>
      <c r="L26" s="3">
        <f t="shared" si="6"/>
        <v>0</v>
      </c>
      <c r="M26" s="3"/>
      <c r="N26" s="26">
        <f t="shared" si="7"/>
        <v>0</v>
      </c>
      <c r="O26" s="9"/>
      <c r="P26" s="3">
        <v>0</v>
      </c>
      <c r="Q26" s="3"/>
      <c r="R26" s="26">
        <f t="shared" si="8"/>
        <v>0</v>
      </c>
      <c r="S26" s="3"/>
      <c r="T26" s="3"/>
      <c r="U26" s="3"/>
      <c r="V26" s="26">
        <f t="shared" si="9"/>
        <v>0</v>
      </c>
      <c r="W26" s="3"/>
      <c r="X26" s="3">
        <f t="shared" si="10"/>
        <v>0</v>
      </c>
      <c r="Y26" s="3"/>
      <c r="Z26" s="26">
        <f t="shared" si="11"/>
        <v>0</v>
      </c>
    </row>
    <row r="27" spans="1:26" s="70" customFormat="1" ht="15" hidden="1" customHeight="1" outlineLevel="1" x14ac:dyDescent="0.3">
      <c r="A27" s="48"/>
      <c r="B27" s="9" t="str">
        <f>CONCATENATE("          ","5043"," - ","PURCHASES @ COST-CARDS")</f>
        <v xml:space="preserve">          5043 - PURCHASES @ COST-CARDS</v>
      </c>
      <c r="C27" s="9"/>
      <c r="D27" s="3"/>
      <c r="E27" s="3"/>
      <c r="F27" s="26">
        <f t="shared" si="4"/>
        <v>0</v>
      </c>
      <c r="G27" s="3"/>
      <c r="H27" s="3"/>
      <c r="I27" s="3"/>
      <c r="J27" s="26">
        <f t="shared" si="5"/>
        <v>0</v>
      </c>
      <c r="K27" s="3"/>
      <c r="L27" s="3">
        <f t="shared" si="6"/>
        <v>0</v>
      </c>
      <c r="M27" s="3"/>
      <c r="N27" s="26">
        <f t="shared" si="7"/>
        <v>0</v>
      </c>
      <c r="O27" s="9"/>
      <c r="P27" s="3">
        <v>0</v>
      </c>
      <c r="Q27" s="3"/>
      <c r="R27" s="26">
        <f t="shared" si="8"/>
        <v>0</v>
      </c>
      <c r="S27" s="3"/>
      <c r="T27" s="3"/>
      <c r="U27" s="3"/>
      <c r="V27" s="26">
        <f t="shared" si="9"/>
        <v>0</v>
      </c>
      <c r="W27" s="3"/>
      <c r="X27" s="3">
        <f t="shared" si="10"/>
        <v>0</v>
      </c>
      <c r="Y27" s="3"/>
      <c r="Z27" s="26">
        <f t="shared" si="11"/>
        <v>0</v>
      </c>
    </row>
    <row r="28" spans="1:26" s="70" customFormat="1" ht="15" hidden="1" customHeight="1" outlineLevel="1" x14ac:dyDescent="0.3">
      <c r="A28" s="48"/>
      <c r="B28" s="9" t="str">
        <f>CONCATENATE("          ","5044"," - ","PURCHASES @ COST-ACCESSORIES")</f>
        <v xml:space="preserve">          5044 - PURCHASES @ COST-ACCESSORIES</v>
      </c>
      <c r="C28" s="9"/>
      <c r="D28" s="3"/>
      <c r="E28" s="3"/>
      <c r="F28" s="26">
        <f t="shared" si="4"/>
        <v>0</v>
      </c>
      <c r="G28" s="3"/>
      <c r="H28" s="3"/>
      <c r="I28" s="3"/>
      <c r="J28" s="26">
        <f t="shared" si="5"/>
        <v>0</v>
      </c>
      <c r="K28" s="3"/>
      <c r="L28" s="3">
        <f t="shared" si="6"/>
        <v>0</v>
      </c>
      <c r="M28" s="3"/>
      <c r="N28" s="26">
        <f t="shared" si="7"/>
        <v>0</v>
      </c>
      <c r="O28" s="9"/>
      <c r="P28" s="3">
        <v>0</v>
      </c>
      <c r="Q28" s="3"/>
      <c r="R28" s="26">
        <f t="shared" si="8"/>
        <v>0</v>
      </c>
      <c r="S28" s="3"/>
      <c r="T28" s="3"/>
      <c r="U28" s="3"/>
      <c r="V28" s="26">
        <f t="shared" si="9"/>
        <v>0</v>
      </c>
      <c r="W28" s="3"/>
      <c r="X28" s="3">
        <f t="shared" si="10"/>
        <v>0</v>
      </c>
      <c r="Y28" s="3"/>
      <c r="Z28" s="26">
        <f t="shared" si="11"/>
        <v>0</v>
      </c>
    </row>
    <row r="29" spans="1:26" s="70" customFormat="1" ht="15" hidden="1" customHeight="1" outlineLevel="1" x14ac:dyDescent="0.3">
      <c r="A29" s="48"/>
      <c r="B29" s="9" t="str">
        <f>CONCATENATE("          ","5045"," - ","PURCHASES @ COST-SPECIAL ORDER")</f>
        <v xml:space="preserve">          5045 - PURCHASES @ COST-SPECIAL ORDER</v>
      </c>
      <c r="C29" s="9"/>
      <c r="D29" s="3"/>
      <c r="E29" s="3"/>
      <c r="F29" s="26">
        <f t="shared" si="4"/>
        <v>0</v>
      </c>
      <c r="G29" s="3"/>
      <c r="H29" s="3"/>
      <c r="I29" s="3"/>
      <c r="J29" s="26">
        <f t="shared" si="5"/>
        <v>0</v>
      </c>
      <c r="K29" s="3"/>
      <c r="L29" s="3">
        <f t="shared" si="6"/>
        <v>0</v>
      </c>
      <c r="M29" s="3"/>
      <c r="N29" s="26">
        <f t="shared" si="7"/>
        <v>0</v>
      </c>
      <c r="O29" s="9"/>
      <c r="P29" s="3">
        <v>0</v>
      </c>
      <c r="Q29" s="3"/>
      <c r="R29" s="26">
        <f t="shared" si="8"/>
        <v>0</v>
      </c>
      <c r="S29" s="3"/>
      <c r="T29" s="3"/>
      <c r="U29" s="3"/>
      <c r="V29" s="26">
        <f t="shared" si="9"/>
        <v>0</v>
      </c>
      <c r="W29" s="3"/>
      <c r="X29" s="3">
        <f t="shared" si="10"/>
        <v>0</v>
      </c>
      <c r="Y29" s="3"/>
      <c r="Z29" s="26">
        <f t="shared" si="11"/>
        <v>0</v>
      </c>
    </row>
    <row r="30" spans="1:26" s="70" customFormat="1" ht="15" hidden="1" customHeight="1" outlineLevel="1" x14ac:dyDescent="0.3">
      <c r="A30" s="48"/>
      <c r="B30" s="9" t="str">
        <f>CONCATENATE("          ","5200"," - ","PURCHASES OFFSET")</f>
        <v xml:space="preserve">          5200 - PURCHASES OFFSET</v>
      </c>
      <c r="C30" s="9"/>
      <c r="D30" s="3">
        <v>-232978.06</v>
      </c>
      <c r="E30" s="3"/>
      <c r="F30" s="26">
        <f t="shared" si="4"/>
        <v>-0.82483818107115503</v>
      </c>
      <c r="G30" s="3"/>
      <c r="H30" s="3"/>
      <c r="I30" s="3"/>
      <c r="J30" s="26">
        <f t="shared" si="5"/>
        <v>0</v>
      </c>
      <c r="K30" s="3"/>
      <c r="L30" s="3">
        <f t="shared" si="6"/>
        <v>-232978.06</v>
      </c>
      <c r="M30" s="3"/>
      <c r="N30" s="26">
        <f t="shared" si="7"/>
        <v>0</v>
      </c>
      <c r="O30" s="9"/>
      <c r="P30" s="3">
        <v>-2704738.73</v>
      </c>
      <c r="Q30" s="3"/>
      <c r="R30" s="26">
        <f t="shared" si="8"/>
        <v>-0.53010413409196111</v>
      </c>
      <c r="S30" s="3"/>
      <c r="T30" s="3"/>
      <c r="U30" s="3"/>
      <c r="V30" s="26">
        <f t="shared" si="9"/>
        <v>0</v>
      </c>
      <c r="W30" s="3"/>
      <c r="X30" s="3">
        <f t="shared" si="10"/>
        <v>-2704738.73</v>
      </c>
      <c r="Y30" s="3"/>
      <c r="Z30" s="26">
        <f t="shared" si="11"/>
        <v>0</v>
      </c>
    </row>
    <row r="31" spans="1:26" s="70" customFormat="1" ht="15" hidden="1" customHeight="1" outlineLevel="1" x14ac:dyDescent="0.3">
      <c r="A31" s="48"/>
      <c r="B31" s="9" t="str">
        <f>CONCATENATE("          ","5300"," - ","COG$ OFFSET")</f>
        <v xml:space="preserve">          5300 - COG$ OFFSET</v>
      </c>
      <c r="C31" s="9"/>
      <c r="D31" s="3">
        <v>135846.26</v>
      </c>
      <c r="E31" s="3"/>
      <c r="F31" s="26">
        <f t="shared" si="4"/>
        <v>0.48095164842440191</v>
      </c>
      <c r="G31" s="3"/>
      <c r="H31" s="3"/>
      <c r="I31" s="3"/>
      <c r="J31" s="26">
        <f t="shared" si="5"/>
        <v>0</v>
      </c>
      <c r="K31" s="3"/>
      <c r="L31" s="3">
        <f t="shared" si="6"/>
        <v>135846.26</v>
      </c>
      <c r="M31" s="3"/>
      <c r="N31" s="26">
        <f t="shared" si="7"/>
        <v>0</v>
      </c>
      <c r="O31" s="9"/>
      <c r="P31" s="3">
        <v>2373526.3199999998</v>
      </c>
      <c r="Q31" s="3"/>
      <c r="R31" s="26">
        <f t="shared" si="8"/>
        <v>0.46518952113651246</v>
      </c>
      <c r="S31" s="3"/>
      <c r="T31" s="3"/>
      <c r="U31" s="3"/>
      <c r="V31" s="26">
        <f t="shared" si="9"/>
        <v>0</v>
      </c>
      <c r="W31" s="3"/>
      <c r="X31" s="3">
        <f t="shared" si="10"/>
        <v>2373526.3199999998</v>
      </c>
      <c r="Y31" s="3"/>
      <c r="Z31" s="26">
        <f t="shared" si="11"/>
        <v>0</v>
      </c>
    </row>
    <row r="32" spans="1:26" s="70" customFormat="1" ht="15" hidden="1" customHeight="1" outlineLevel="1" x14ac:dyDescent="0.3">
      <c r="A32" s="48"/>
      <c r="B32" s="9" t="str">
        <f>CONCATENATE("          ","5500"," - ","FREIGHT-IN")</f>
        <v xml:space="preserve">          5500 - FREIGHT-IN</v>
      </c>
      <c r="C32" s="9"/>
      <c r="D32" s="3">
        <v>8195.59</v>
      </c>
      <c r="E32" s="3"/>
      <c r="F32" s="26">
        <f t="shared" si="4"/>
        <v>2.901576031839628E-2</v>
      </c>
      <c r="G32" s="3"/>
      <c r="H32" s="3"/>
      <c r="I32" s="3"/>
      <c r="J32" s="26">
        <f t="shared" si="5"/>
        <v>0</v>
      </c>
      <c r="K32" s="3"/>
      <c r="L32" s="3">
        <f t="shared" si="6"/>
        <v>8195.59</v>
      </c>
      <c r="M32" s="3"/>
      <c r="N32" s="26">
        <f t="shared" si="7"/>
        <v>0</v>
      </c>
      <c r="O32" s="9"/>
      <c r="P32" s="3">
        <v>120867.36</v>
      </c>
      <c r="Q32" s="3"/>
      <c r="R32" s="26">
        <f t="shared" si="8"/>
        <v>2.3688900706790757E-2</v>
      </c>
      <c r="S32" s="3"/>
      <c r="T32" s="3"/>
      <c r="U32" s="3"/>
      <c r="V32" s="26">
        <f t="shared" si="9"/>
        <v>0</v>
      </c>
      <c r="W32" s="3"/>
      <c r="X32" s="3">
        <f t="shared" si="10"/>
        <v>120867.36</v>
      </c>
      <c r="Y32" s="3"/>
      <c r="Z32" s="26">
        <f t="shared" si="11"/>
        <v>0</v>
      </c>
    </row>
    <row r="33" spans="1:26" s="70" customFormat="1" ht="15" hidden="1" customHeight="1" outlineLevel="1" x14ac:dyDescent="0.3">
      <c r="A33" s="48"/>
      <c r="B33" s="9" t="str">
        <f>CONCATENATE("          ","5527"," - ","FREIGHT-IN-SCHOOL SUPPLIES")</f>
        <v xml:space="preserve">          5527 - FREIGHT-IN-SCHOOL SUPPLIES</v>
      </c>
      <c r="C33" s="9"/>
      <c r="D33" s="3"/>
      <c r="E33" s="3"/>
      <c r="F33" s="26">
        <f t="shared" si="4"/>
        <v>0</v>
      </c>
      <c r="G33" s="3"/>
      <c r="H33" s="3"/>
      <c r="I33" s="3"/>
      <c r="J33" s="26">
        <f t="shared" si="5"/>
        <v>0</v>
      </c>
      <c r="K33" s="3"/>
      <c r="L33" s="3">
        <f t="shared" si="6"/>
        <v>0</v>
      </c>
      <c r="M33" s="3"/>
      <c r="N33" s="26">
        <f t="shared" si="7"/>
        <v>0</v>
      </c>
      <c r="O33" s="9"/>
      <c r="P33" s="3">
        <v>0</v>
      </c>
      <c r="Q33" s="3"/>
      <c r="R33" s="26">
        <f t="shared" si="8"/>
        <v>0</v>
      </c>
      <c r="S33" s="3"/>
      <c r="T33" s="3"/>
      <c r="U33" s="3"/>
      <c r="V33" s="26">
        <f t="shared" si="9"/>
        <v>0</v>
      </c>
      <c r="W33" s="3"/>
      <c r="X33" s="3">
        <f t="shared" si="10"/>
        <v>0</v>
      </c>
      <c r="Y33" s="3"/>
      <c r="Z33" s="26">
        <f t="shared" si="11"/>
        <v>0</v>
      </c>
    </row>
    <row r="34" spans="1:26" s="70" customFormat="1" ht="15" hidden="1" customHeight="1" outlineLevel="1" x14ac:dyDescent="0.3">
      <c r="A34" s="48"/>
      <c r="B34" s="9" t="str">
        <f>CONCATENATE("          ","5540"," - ","FREIGHT-IN-LOGO CLOTHING")</f>
        <v xml:space="preserve">          5540 - FREIGHT-IN-LOGO CLOTHING</v>
      </c>
      <c r="C34" s="9"/>
      <c r="D34" s="3"/>
      <c r="E34" s="3"/>
      <c r="F34" s="26">
        <f t="shared" si="4"/>
        <v>0</v>
      </c>
      <c r="G34" s="3"/>
      <c r="H34" s="3"/>
      <c r="I34" s="3"/>
      <c r="J34" s="26">
        <f t="shared" si="5"/>
        <v>0</v>
      </c>
      <c r="K34" s="3"/>
      <c r="L34" s="3">
        <f t="shared" si="6"/>
        <v>0</v>
      </c>
      <c r="M34" s="3"/>
      <c r="N34" s="26">
        <f t="shared" si="7"/>
        <v>0</v>
      </c>
      <c r="O34" s="9"/>
      <c r="P34" s="3">
        <v>0</v>
      </c>
      <c r="Q34" s="3"/>
      <c r="R34" s="26">
        <f t="shared" si="8"/>
        <v>0</v>
      </c>
      <c r="S34" s="3"/>
      <c r="T34" s="3"/>
      <c r="U34" s="3"/>
      <c r="V34" s="26">
        <f t="shared" si="9"/>
        <v>0</v>
      </c>
      <c r="W34" s="3"/>
      <c r="X34" s="3">
        <f t="shared" si="10"/>
        <v>0</v>
      </c>
      <c r="Y34" s="3"/>
      <c r="Z34" s="26">
        <f t="shared" si="11"/>
        <v>0</v>
      </c>
    </row>
    <row r="35" spans="1:26" s="70" customFormat="1" ht="15" hidden="1" customHeight="1" outlineLevel="1" x14ac:dyDescent="0.3">
      <c r="A35" s="48"/>
      <c r="B35" s="9" t="str">
        <f>CONCATENATE("          ","5541"," - ","FREIGHT-IN-LOGO GIFTS")</f>
        <v xml:space="preserve">          5541 - FREIGHT-IN-LOGO GIFTS</v>
      </c>
      <c r="C35" s="9"/>
      <c r="D35" s="3"/>
      <c r="E35" s="3"/>
      <c r="F35" s="26">
        <f t="shared" si="4"/>
        <v>0</v>
      </c>
      <c r="G35" s="3"/>
      <c r="H35" s="3"/>
      <c r="I35" s="3"/>
      <c r="J35" s="26">
        <f t="shared" si="5"/>
        <v>0</v>
      </c>
      <c r="K35" s="3"/>
      <c r="L35" s="3">
        <f t="shared" si="6"/>
        <v>0</v>
      </c>
      <c r="M35" s="3"/>
      <c r="N35" s="26">
        <f t="shared" si="7"/>
        <v>0</v>
      </c>
      <c r="O35" s="9"/>
      <c r="P35" s="3">
        <v>0</v>
      </c>
      <c r="Q35" s="3"/>
      <c r="R35" s="26">
        <f t="shared" si="8"/>
        <v>0</v>
      </c>
      <c r="S35" s="3"/>
      <c r="T35" s="3"/>
      <c r="U35" s="3"/>
      <c r="V35" s="26">
        <f t="shared" si="9"/>
        <v>0</v>
      </c>
      <c r="W35" s="3"/>
      <c r="X35" s="3">
        <f t="shared" si="10"/>
        <v>0</v>
      </c>
      <c r="Y35" s="3"/>
      <c r="Z35" s="26">
        <f t="shared" si="11"/>
        <v>0</v>
      </c>
    </row>
    <row r="36" spans="1:26" s="70" customFormat="1" ht="15" hidden="1" customHeight="1" outlineLevel="1" x14ac:dyDescent="0.3">
      <c r="A36" s="48"/>
      <c r="B36" s="9" t="str">
        <f>CONCATENATE("          ","5542"," - ","FREIGHT-IN-EVERYDAY GIFTS")</f>
        <v xml:space="preserve">          5542 - FREIGHT-IN-EVERYDAY GIFTS</v>
      </c>
      <c r="C36" s="9"/>
      <c r="D36" s="3"/>
      <c r="E36" s="3"/>
      <c r="F36" s="26">
        <f t="shared" si="4"/>
        <v>0</v>
      </c>
      <c r="G36" s="3"/>
      <c r="H36" s="3"/>
      <c r="I36" s="3"/>
      <c r="J36" s="26">
        <f t="shared" si="5"/>
        <v>0</v>
      </c>
      <c r="K36" s="3"/>
      <c r="L36" s="3">
        <f t="shared" si="6"/>
        <v>0</v>
      </c>
      <c r="M36" s="3"/>
      <c r="N36" s="26">
        <f t="shared" si="7"/>
        <v>0</v>
      </c>
      <c r="O36" s="9"/>
      <c r="P36" s="3">
        <v>0</v>
      </c>
      <c r="Q36" s="3"/>
      <c r="R36" s="26">
        <f t="shared" si="8"/>
        <v>0</v>
      </c>
      <c r="S36" s="3"/>
      <c r="T36" s="3"/>
      <c r="U36" s="3"/>
      <c r="V36" s="26">
        <f t="shared" si="9"/>
        <v>0</v>
      </c>
      <c r="W36" s="3"/>
      <c r="X36" s="3">
        <f t="shared" si="10"/>
        <v>0</v>
      </c>
      <c r="Y36" s="3"/>
      <c r="Z36" s="26">
        <f t="shared" si="11"/>
        <v>0</v>
      </c>
    </row>
    <row r="37" spans="1:26" s="70" customFormat="1" ht="15" hidden="1" customHeight="1" outlineLevel="1" x14ac:dyDescent="0.3">
      <c r="A37" s="48"/>
      <c r="B37" s="9" t="str">
        <f>CONCATENATE("          ","5544"," - ","FREIGHT-IN-ACCESSORIES")</f>
        <v xml:space="preserve">          5544 - FREIGHT-IN-ACCESSORIES</v>
      </c>
      <c r="C37" s="9"/>
      <c r="D37" s="3"/>
      <c r="E37" s="3"/>
      <c r="F37" s="26">
        <f t="shared" si="4"/>
        <v>0</v>
      </c>
      <c r="G37" s="3"/>
      <c r="H37" s="3"/>
      <c r="I37" s="3"/>
      <c r="J37" s="26">
        <f t="shared" si="5"/>
        <v>0</v>
      </c>
      <c r="K37" s="3"/>
      <c r="L37" s="3">
        <f t="shared" si="6"/>
        <v>0</v>
      </c>
      <c r="M37" s="3"/>
      <c r="N37" s="26">
        <f t="shared" si="7"/>
        <v>0</v>
      </c>
      <c r="O37" s="9"/>
      <c r="P37" s="3">
        <v>0</v>
      </c>
      <c r="Q37" s="3"/>
      <c r="R37" s="26">
        <f t="shared" si="8"/>
        <v>0</v>
      </c>
      <c r="S37" s="3"/>
      <c r="T37" s="3"/>
      <c r="U37" s="3"/>
      <c r="V37" s="26">
        <f t="shared" si="9"/>
        <v>0</v>
      </c>
      <c r="W37" s="3"/>
      <c r="X37" s="3">
        <f t="shared" si="10"/>
        <v>0</v>
      </c>
      <c r="Y37" s="3"/>
      <c r="Z37" s="26">
        <f t="shared" si="11"/>
        <v>0</v>
      </c>
    </row>
    <row r="38" spans="1:26" s="70" customFormat="1" ht="15" hidden="1" customHeight="1" outlineLevel="1" x14ac:dyDescent="0.3">
      <c r="A38" s="48"/>
      <c r="B38" s="9" t="str">
        <f>CONCATENATE("          ","5545"," - ","FREIGHT-IN-SPECIAL ORDERS")</f>
        <v xml:space="preserve">          5545 - FREIGHT-IN-SPECIAL ORDERS</v>
      </c>
      <c r="C38" s="9"/>
      <c r="D38" s="3"/>
      <c r="E38" s="3"/>
      <c r="F38" s="26">
        <f t="shared" si="4"/>
        <v>0</v>
      </c>
      <c r="G38" s="3"/>
      <c r="H38" s="3"/>
      <c r="I38" s="3"/>
      <c r="J38" s="26">
        <f t="shared" si="5"/>
        <v>0</v>
      </c>
      <c r="K38" s="3"/>
      <c r="L38" s="3">
        <f t="shared" si="6"/>
        <v>0</v>
      </c>
      <c r="M38" s="3"/>
      <c r="N38" s="26">
        <f t="shared" si="7"/>
        <v>0</v>
      </c>
      <c r="O38" s="9"/>
      <c r="P38" s="3">
        <v>0</v>
      </c>
      <c r="Q38" s="3"/>
      <c r="R38" s="26">
        <f t="shared" si="8"/>
        <v>0</v>
      </c>
      <c r="S38" s="3"/>
      <c r="T38" s="3"/>
      <c r="U38" s="3"/>
      <c r="V38" s="26">
        <f t="shared" si="9"/>
        <v>0</v>
      </c>
      <c r="W38" s="3"/>
      <c r="X38" s="3">
        <f t="shared" si="10"/>
        <v>0</v>
      </c>
      <c r="Y38" s="3"/>
      <c r="Z38" s="26">
        <f t="shared" si="11"/>
        <v>0</v>
      </c>
    </row>
    <row r="39" spans="1:26" ht="15" customHeight="1" x14ac:dyDescent="0.3">
      <c r="A39" s="12"/>
      <c r="B39" s="13"/>
      <c r="C39" s="13"/>
      <c r="D39" s="4"/>
      <c r="E39" s="4"/>
      <c r="F39" s="10"/>
      <c r="G39" s="4"/>
      <c r="H39" s="4"/>
      <c r="I39" s="4"/>
      <c r="J39" s="10"/>
      <c r="K39" s="4"/>
      <c r="L39" s="4"/>
      <c r="M39" s="4"/>
      <c r="N39" s="10"/>
      <c r="O39" s="13"/>
      <c r="P39" s="4"/>
      <c r="Q39" s="4"/>
      <c r="R39" s="10"/>
      <c r="S39" s="4"/>
      <c r="T39" s="4"/>
      <c r="U39" s="4"/>
      <c r="V39" s="10"/>
      <c r="W39" s="4"/>
      <c r="X39" s="4"/>
      <c r="Y39" s="4"/>
      <c r="Z39" s="10"/>
    </row>
    <row r="40" spans="1:26" s="63" customFormat="1" ht="15" customHeight="1" x14ac:dyDescent="0.3">
      <c r="A40" s="13"/>
      <c r="B40" s="27" t="s">
        <v>289</v>
      </c>
      <c r="C40" s="27"/>
      <c r="D40" s="23">
        <f>D12-D19</f>
        <v>-54783.990000000049</v>
      </c>
      <c r="E40" s="15"/>
      <c r="F40" s="22">
        <f>IF(D$12=0,0,D40/D$12)</f>
        <v>-0.19395786308556431</v>
      </c>
      <c r="G40" s="15"/>
      <c r="H40" s="23">
        <f>H12-H19</f>
        <v>121752</v>
      </c>
      <c r="I40" s="15"/>
      <c r="J40" s="22">
        <f>IF(H$12=0,0,H40/H$12)</f>
        <v>0.4766942433508608</v>
      </c>
      <c r="K40" s="17"/>
      <c r="L40" s="23">
        <f>+D40-H40</f>
        <v>-176535.99000000005</v>
      </c>
      <c r="M40" s="17"/>
      <c r="N40" s="22">
        <f>IF(H40=0,0,L40/H40)</f>
        <v>-1.4499637788290956</v>
      </c>
      <c r="O40" s="28"/>
      <c r="P40" s="23">
        <f>P12-P19</f>
        <v>2530361.0299999993</v>
      </c>
      <c r="Q40" s="15"/>
      <c r="R40" s="22">
        <f>IF(P$12=0,0,P40/P$12)</f>
        <v>0.49592769455709773</v>
      </c>
      <c r="S40" s="15"/>
      <c r="T40" s="23">
        <f>T12-T19</f>
        <v>1586056</v>
      </c>
      <c r="U40" s="15"/>
      <c r="V40" s="22">
        <f>IF(T$12=0,0,T40/T$12)</f>
        <v>0.49269724823081024</v>
      </c>
      <c r="W40" s="17"/>
      <c r="X40" s="23">
        <f>+P40-T40</f>
        <v>944305.02999999933</v>
      </c>
      <c r="Y40" s="17"/>
      <c r="Z40" s="22">
        <f>IF(T40=0,0,X40/T40)</f>
        <v>0.59537937500315208</v>
      </c>
    </row>
    <row r="41" spans="1:26" ht="15" customHeight="1" x14ac:dyDescent="0.3">
      <c r="A41" s="12"/>
      <c r="B41" s="13"/>
      <c r="C41" s="12"/>
      <c r="D41" s="2"/>
      <c r="E41" s="2"/>
      <c r="F41" s="5"/>
      <c r="G41" s="2"/>
      <c r="H41" s="2"/>
      <c r="I41" s="2"/>
      <c r="J41" s="5"/>
      <c r="K41" s="2"/>
      <c r="L41" s="2"/>
      <c r="M41" s="2"/>
      <c r="N41" s="5"/>
      <c r="O41" s="36"/>
      <c r="P41" s="2"/>
      <c r="Q41" s="2"/>
      <c r="R41" s="5"/>
      <c r="S41" s="2"/>
      <c r="T41" s="2"/>
      <c r="U41" s="2"/>
      <c r="V41" s="5"/>
      <c r="W41" s="2"/>
      <c r="X41" s="2"/>
      <c r="Y41" s="2"/>
      <c r="Z41" s="5"/>
    </row>
    <row r="42" spans="1:26" s="63" customFormat="1" ht="15" customHeight="1" x14ac:dyDescent="0.3">
      <c r="A42" s="13"/>
      <c r="B42" s="28" t="s">
        <v>290</v>
      </c>
      <c r="C42" s="13"/>
      <c r="D42" s="24" cm="1">
        <f t="array" ref="D42">SUM(OSRRefD22x_0)</f>
        <v>49878.44</v>
      </c>
      <c r="E42" s="24"/>
      <c r="F42" s="34">
        <f t="shared" ref="F42:F73" si="12">IF(D$12=0,0,D42/D$12)</f>
        <v>0.17659019791076785</v>
      </c>
      <c r="G42" s="24"/>
      <c r="H42" s="24" cm="1">
        <f t="array" ref="H42">SUM(OSRRefH22x_0)</f>
        <v>100885.05380519232</v>
      </c>
      <c r="I42" s="24"/>
      <c r="J42" s="34">
        <f t="shared" ref="J42:J73" si="13">IF(H$12=0,0,H42/H$12)</f>
        <v>0.39499412238876597</v>
      </c>
      <c r="K42" s="8"/>
      <c r="L42" s="24">
        <f t="shared" ref="L42:L73" si="14">+D42-H42</f>
        <v>-51006.613805192319</v>
      </c>
      <c r="M42" s="8"/>
      <c r="N42" s="34">
        <f t="shared" ref="N42:N73" si="15">IF(H42=0,0,L42/H42)</f>
        <v>-0.50559138228429157</v>
      </c>
      <c r="O42" s="13"/>
      <c r="P42" s="24" cm="1">
        <f t="array" ref="P42">SUM(OSRRefP22x_0)</f>
        <v>1198649.4600000002</v>
      </c>
      <c r="Q42" s="24"/>
      <c r="R42" s="34">
        <f t="shared" ref="R42:R73" si="16">IF(P$12=0,0,P42/P$12)</f>
        <v>0.23492436701015365</v>
      </c>
      <c r="S42" s="24"/>
      <c r="T42" s="24" cm="1">
        <f t="array" ref="T42">SUM(OSRRefT22x_0)</f>
        <v>1302984.1026181001</v>
      </c>
      <c r="U42" s="24"/>
      <c r="V42" s="34">
        <f t="shared" ref="V42:V73" si="17">IF(T$12=0,0,T42/T$12)</f>
        <v>0.4047629351349698</v>
      </c>
      <c r="W42" s="8"/>
      <c r="X42" s="24">
        <f t="shared" ref="X42:X73" si="18">+P42-T42</f>
        <v>-104334.64261809993</v>
      </c>
      <c r="Y42" s="8"/>
      <c r="Z42" s="34">
        <f t="shared" ref="Z42:Z73" si="19">IF(T42=0,0,X42/T42)</f>
        <v>-8.0073611342194581E-2</v>
      </c>
    </row>
    <row r="43" spans="1:26" s="69" customFormat="1" ht="15" customHeight="1" outlineLevel="1" collapsed="1" x14ac:dyDescent="0.3">
      <c r="A43" s="20"/>
      <c r="B43" s="11" t="str">
        <f>CONCATENATE("     ","*Benefits                                         ")</f>
        <v xml:space="preserve">     *Benefits                                         </v>
      </c>
      <c r="C43" s="11"/>
      <c r="D43" s="2">
        <f>SUM(OSRRefD22_0x_0)</f>
        <v>5288.1</v>
      </c>
      <c r="E43" s="2"/>
      <c r="F43" s="5">
        <f t="shared" si="12"/>
        <v>1.8722049558324828E-2</v>
      </c>
      <c r="G43" s="2"/>
      <c r="H43" s="2">
        <f>SUM(OSRRefH22_0x_0)</f>
        <v>18217.228112884623</v>
      </c>
      <c r="I43" s="2"/>
      <c r="J43" s="5">
        <f t="shared" si="13"/>
        <v>7.1325709402897397E-2</v>
      </c>
      <c r="K43" s="2"/>
      <c r="L43" s="2">
        <f t="shared" si="14"/>
        <v>-12929.128112884622</v>
      </c>
      <c r="M43" s="2"/>
      <c r="N43" s="5">
        <f t="shared" si="15"/>
        <v>-0.70971983403666938</v>
      </c>
      <c r="O43" s="11"/>
      <c r="P43" s="2">
        <f>SUM(OSRRefP22_0x_0)</f>
        <v>164919.59</v>
      </c>
      <c r="Q43" s="2"/>
      <c r="R43" s="5">
        <f t="shared" si="16"/>
        <v>3.2322736197056362E-2</v>
      </c>
      <c r="S43" s="2"/>
      <c r="T43" s="2">
        <f>SUM(OSRRefT22_0x_0)</f>
        <v>249204.7856181</v>
      </c>
      <c r="U43" s="2"/>
      <c r="V43" s="5">
        <f t="shared" si="17"/>
        <v>7.7413730738376749E-2</v>
      </c>
      <c r="W43" s="2"/>
      <c r="X43" s="2">
        <f t="shared" si="18"/>
        <v>-84285.195618099999</v>
      </c>
      <c r="Y43" s="2"/>
      <c r="Z43" s="5">
        <f t="shared" si="19"/>
        <v>-0.33821660129458719</v>
      </c>
    </row>
    <row r="44" spans="1:26" s="70" customFormat="1" ht="15" hidden="1" customHeight="1" outlineLevel="2" x14ac:dyDescent="0.3">
      <c r="A44" s="21"/>
      <c r="B44" s="9" t="str">
        <f>CONCATENATE("          ","6111"," - ","F.I.C.A.")</f>
        <v xml:space="preserve">          6111 - F.I.C.A.</v>
      </c>
      <c r="C44" s="9"/>
      <c r="D44" s="6">
        <v>4543.09</v>
      </c>
      <c r="E44" s="3"/>
      <c r="F44" s="7">
        <f t="shared" si="12"/>
        <v>1.6084407656422901E-2</v>
      </c>
      <c r="G44" s="3"/>
      <c r="H44" s="6">
        <v>2950.8040032692302</v>
      </c>
      <c r="I44" s="3"/>
      <c r="J44" s="7">
        <f t="shared" si="13"/>
        <v>1.1553249898277782E-2</v>
      </c>
      <c r="K44" s="3"/>
      <c r="L44" s="6">
        <f t="shared" si="14"/>
        <v>1592.28599673077</v>
      </c>
      <c r="M44" s="3"/>
      <c r="N44" s="7">
        <f t="shared" si="15"/>
        <v>0.53961089756102332</v>
      </c>
      <c r="O44" s="9"/>
      <c r="P44" s="6">
        <v>34881.75</v>
      </c>
      <c r="Q44" s="3"/>
      <c r="R44" s="7">
        <f t="shared" si="16"/>
        <v>6.8365050103609323E-3</v>
      </c>
      <c r="S44" s="3"/>
      <c r="T44" s="6">
        <v>57748.5829056</v>
      </c>
      <c r="U44" s="3"/>
      <c r="V44" s="7">
        <f t="shared" si="17"/>
        <v>1.793919501380653E-2</v>
      </c>
      <c r="W44" s="3"/>
      <c r="X44" s="6">
        <f t="shared" si="18"/>
        <v>-22866.8329056</v>
      </c>
      <c r="Y44" s="3"/>
      <c r="Z44" s="7">
        <f t="shared" si="19"/>
        <v>-0.39597219109220005</v>
      </c>
    </row>
    <row r="45" spans="1:26" s="70" customFormat="1" ht="15" hidden="1" customHeight="1" outlineLevel="2" x14ac:dyDescent="0.3">
      <c r="A45" s="21"/>
      <c r="B45" s="9" t="str">
        <f>CONCATENATE("          ","6112"," - ","COMPENSATION INSURANCE")</f>
        <v xml:space="preserve">          6112 - COMPENSATION INSURANCE</v>
      </c>
      <c r="C45" s="9"/>
      <c r="D45" s="6">
        <v>-7848.77</v>
      </c>
      <c r="E45" s="3"/>
      <c r="F45" s="7">
        <f t="shared" si="12"/>
        <v>-2.7787874834419388E-2</v>
      </c>
      <c r="G45" s="3"/>
      <c r="H45" s="6">
        <v>1062.1958999999999</v>
      </c>
      <c r="I45" s="3"/>
      <c r="J45" s="7">
        <f t="shared" si="13"/>
        <v>4.1588037226566012E-3</v>
      </c>
      <c r="K45" s="3"/>
      <c r="L45" s="6">
        <f t="shared" si="14"/>
        <v>-8910.9659000000011</v>
      </c>
      <c r="M45" s="3"/>
      <c r="N45" s="7">
        <f t="shared" si="15"/>
        <v>-8.3891925208899796</v>
      </c>
      <c r="O45" s="9"/>
      <c r="P45" s="6">
        <v>3347.32</v>
      </c>
      <c r="Q45" s="3"/>
      <c r="R45" s="7">
        <f t="shared" si="16"/>
        <v>6.5604420510098713E-4</v>
      </c>
      <c r="S45" s="3"/>
      <c r="T45" s="6">
        <v>13566.72135</v>
      </c>
      <c r="U45" s="3"/>
      <c r="V45" s="7">
        <f t="shared" si="17"/>
        <v>4.2144074841362371E-3</v>
      </c>
      <c r="W45" s="3"/>
      <c r="X45" s="6">
        <f t="shared" si="18"/>
        <v>-10219.40135</v>
      </c>
      <c r="Y45" s="3"/>
      <c r="Z45" s="7">
        <f t="shared" si="19"/>
        <v>-0.753269790567343</v>
      </c>
    </row>
    <row r="46" spans="1:26" s="70" customFormat="1" ht="15" hidden="1" customHeight="1" outlineLevel="2" x14ac:dyDescent="0.3">
      <c r="A46" s="21"/>
      <c r="B46" s="9" t="str">
        <f>CONCATENATE("          ","6113"," - ","GROUP INSURANCE")</f>
        <v xml:space="preserve">          6113 - GROUP INSURANCE</v>
      </c>
      <c r="C46" s="9"/>
      <c r="D46" s="6">
        <v>3834.79</v>
      </c>
      <c r="E46" s="3"/>
      <c r="F46" s="7">
        <f t="shared" si="12"/>
        <v>1.3576734257250896E-2</v>
      </c>
      <c r="G46" s="3"/>
      <c r="H46" s="6">
        <v>7772.9230769230799</v>
      </c>
      <c r="I46" s="3"/>
      <c r="J46" s="7">
        <f t="shared" si="13"/>
        <v>3.0433238754010546E-2</v>
      </c>
      <c r="K46" s="3"/>
      <c r="L46" s="6">
        <f t="shared" si="14"/>
        <v>-3938.1330769230799</v>
      </c>
      <c r="M46" s="3"/>
      <c r="N46" s="7">
        <f t="shared" si="15"/>
        <v>-0.5066476328081706</v>
      </c>
      <c r="O46" s="9"/>
      <c r="P46" s="6">
        <v>53661.19</v>
      </c>
      <c r="Q46" s="3"/>
      <c r="R46" s="7">
        <f t="shared" si="16"/>
        <v>1.0517104052890981E-2</v>
      </c>
      <c r="S46" s="3"/>
      <c r="T46" s="6">
        <v>95712</v>
      </c>
      <c r="U46" s="3"/>
      <c r="V46" s="7">
        <f t="shared" si="17"/>
        <v>2.973226608812508E-2</v>
      </c>
      <c r="W46" s="3"/>
      <c r="X46" s="6">
        <f t="shared" si="18"/>
        <v>-42050.81</v>
      </c>
      <c r="Y46" s="3"/>
      <c r="Z46" s="7">
        <f t="shared" si="19"/>
        <v>-0.43934731277164824</v>
      </c>
    </row>
    <row r="47" spans="1:26" s="70" customFormat="1" ht="15" hidden="1" customHeight="1" outlineLevel="2" x14ac:dyDescent="0.3">
      <c r="A47" s="21"/>
      <c r="B47" s="9" t="str">
        <f>CONCATENATE("          ","6114"," - ","STATE UNEMPLOYMENT INSURANCE")</f>
        <v xml:space="preserve">          6114 - STATE UNEMPLOYMENT INSURANCE</v>
      </c>
      <c r="C47" s="9"/>
      <c r="D47" s="6"/>
      <c r="E47" s="3"/>
      <c r="F47" s="7">
        <f t="shared" si="12"/>
        <v>0</v>
      </c>
      <c r="G47" s="3"/>
      <c r="H47" s="6">
        <v>142.98790961538501</v>
      </c>
      <c r="I47" s="3"/>
      <c r="J47" s="7">
        <f t="shared" si="13"/>
        <v>5.5983896266531335E-4</v>
      </c>
      <c r="K47" s="3"/>
      <c r="L47" s="6">
        <f t="shared" si="14"/>
        <v>-142.98790961538501</v>
      </c>
      <c r="M47" s="3"/>
      <c r="N47" s="7">
        <f t="shared" si="15"/>
        <v>-1</v>
      </c>
      <c r="O47" s="9"/>
      <c r="P47" s="6">
        <v>1968.04</v>
      </c>
      <c r="Q47" s="3"/>
      <c r="R47" s="7">
        <f t="shared" si="16"/>
        <v>3.8571789891822311E-4</v>
      </c>
      <c r="S47" s="3"/>
      <c r="T47" s="6">
        <v>1826.2894125</v>
      </c>
      <c r="U47" s="3"/>
      <c r="V47" s="7">
        <f t="shared" si="17"/>
        <v>5.6732408440295502E-4</v>
      </c>
      <c r="W47" s="3"/>
      <c r="X47" s="6">
        <f t="shared" si="18"/>
        <v>141.75058749999994</v>
      </c>
      <c r="Y47" s="3"/>
      <c r="Z47" s="7">
        <f t="shared" si="19"/>
        <v>7.7616716457857657E-2</v>
      </c>
    </row>
    <row r="48" spans="1:26" s="70" customFormat="1" ht="15" hidden="1" customHeight="1" outlineLevel="2" x14ac:dyDescent="0.3">
      <c r="A48" s="21"/>
      <c r="B48" s="9" t="str">
        <f>CONCATENATE("          ","6115"," - ","P.E.R.S.")</f>
        <v xml:space="preserve">          6115 - P.E.R.S.</v>
      </c>
      <c r="C48" s="9"/>
      <c r="D48" s="6">
        <v>1218.6600000000001</v>
      </c>
      <c r="E48" s="3"/>
      <c r="F48" s="7">
        <f t="shared" si="12"/>
        <v>4.3145577645559152E-3</v>
      </c>
      <c r="G48" s="3"/>
      <c r="H48" s="6">
        <v>1413.3438461538501</v>
      </c>
      <c r="I48" s="3"/>
      <c r="J48" s="7">
        <f t="shared" si="13"/>
        <v>5.5336493473364294E-3</v>
      </c>
      <c r="K48" s="3"/>
      <c r="L48" s="6">
        <f t="shared" si="14"/>
        <v>-194.68384615385003</v>
      </c>
      <c r="M48" s="3"/>
      <c r="N48" s="7">
        <f t="shared" si="15"/>
        <v>-0.13774697974852018</v>
      </c>
      <c r="O48" s="9"/>
      <c r="P48" s="6">
        <v>18442.28</v>
      </c>
      <c r="Q48" s="3"/>
      <c r="R48" s="7">
        <f t="shared" si="16"/>
        <v>3.6145187561541265E-3</v>
      </c>
      <c r="S48" s="3"/>
      <c r="T48" s="6">
        <v>18373.47</v>
      </c>
      <c r="U48" s="3"/>
      <c r="V48" s="7">
        <f t="shared" si="17"/>
        <v>5.7075904693474544E-3</v>
      </c>
      <c r="W48" s="3"/>
      <c r="X48" s="6">
        <f t="shared" si="18"/>
        <v>68.809999999997672</v>
      </c>
      <c r="Y48" s="3"/>
      <c r="Z48" s="7">
        <f t="shared" si="19"/>
        <v>3.7450737394731461E-3</v>
      </c>
    </row>
    <row r="49" spans="1:26" s="70" customFormat="1" ht="15" hidden="1" customHeight="1" outlineLevel="2" x14ac:dyDescent="0.3">
      <c r="A49" s="21"/>
      <c r="B49" s="9" t="str">
        <f>CONCATENATE("          ","6116"," - ","EDUCATIONAL BENEFITS")</f>
        <v xml:space="preserve">          6116 - EDUCATIONAL BENEFITS</v>
      </c>
      <c r="C49" s="9"/>
      <c r="D49" s="6"/>
      <c r="E49" s="3"/>
      <c r="F49" s="7">
        <f t="shared" si="12"/>
        <v>0</v>
      </c>
      <c r="G49" s="3"/>
      <c r="H49" s="6">
        <v>0</v>
      </c>
      <c r="I49" s="3"/>
      <c r="J49" s="7">
        <f t="shared" si="13"/>
        <v>0</v>
      </c>
      <c r="K49" s="3"/>
      <c r="L49" s="6">
        <f t="shared" si="14"/>
        <v>0</v>
      </c>
      <c r="M49" s="3"/>
      <c r="N49" s="7">
        <f t="shared" si="15"/>
        <v>0</v>
      </c>
      <c r="O49" s="9"/>
      <c r="P49" s="6"/>
      <c r="Q49" s="3"/>
      <c r="R49" s="7">
        <f t="shared" si="16"/>
        <v>0</v>
      </c>
      <c r="S49" s="3"/>
      <c r="T49" s="6">
        <v>0</v>
      </c>
      <c r="U49" s="3"/>
      <c r="V49" s="7">
        <f t="shared" si="17"/>
        <v>0</v>
      </c>
      <c r="W49" s="3"/>
      <c r="X49" s="6">
        <f t="shared" si="18"/>
        <v>0</v>
      </c>
      <c r="Y49" s="3"/>
      <c r="Z49" s="7">
        <f t="shared" si="19"/>
        <v>0</v>
      </c>
    </row>
    <row r="50" spans="1:26" s="70" customFormat="1" ht="15" hidden="1" customHeight="1" outlineLevel="2" x14ac:dyDescent="0.3">
      <c r="A50" s="21"/>
      <c r="B50" s="9" t="str">
        <f>CONCATENATE("          ","6118"," - ","VACATION")</f>
        <v xml:space="preserve">          6118 - VACATION</v>
      </c>
      <c r="C50" s="9"/>
      <c r="D50" s="6">
        <v>1580.1</v>
      </c>
      <c r="E50" s="3"/>
      <c r="F50" s="7">
        <f t="shared" si="12"/>
        <v>5.5942040632947672E-3</v>
      </c>
      <c r="G50" s="3"/>
      <c r="H50" s="6">
        <v>1233.7115384615399</v>
      </c>
      <c r="I50" s="3"/>
      <c r="J50" s="7">
        <f t="shared" si="13"/>
        <v>4.830336982884471E-3</v>
      </c>
      <c r="K50" s="3"/>
      <c r="L50" s="6">
        <f t="shared" si="14"/>
        <v>346.38846153845998</v>
      </c>
      <c r="M50" s="3"/>
      <c r="N50" s="7">
        <f t="shared" si="15"/>
        <v>0.28076941062771649</v>
      </c>
      <c r="O50" s="9"/>
      <c r="P50" s="6">
        <v>22964.26</v>
      </c>
      <c r="Q50" s="3"/>
      <c r="R50" s="7">
        <f t="shared" si="16"/>
        <v>4.5007856127984155E-3</v>
      </c>
      <c r="S50" s="3"/>
      <c r="T50" s="6">
        <v>16038.25</v>
      </c>
      <c r="U50" s="3"/>
      <c r="V50" s="7">
        <f t="shared" si="17"/>
        <v>4.9821706430528256E-3</v>
      </c>
      <c r="W50" s="3"/>
      <c r="X50" s="6">
        <f t="shared" si="18"/>
        <v>6926.0099999999984</v>
      </c>
      <c r="Y50" s="3"/>
      <c r="Z50" s="7">
        <f t="shared" si="19"/>
        <v>0.43184324973111149</v>
      </c>
    </row>
    <row r="51" spans="1:26" s="70" customFormat="1" ht="15" hidden="1" customHeight="1" outlineLevel="2" x14ac:dyDescent="0.3">
      <c r="A51" s="21"/>
      <c r="B51" s="9" t="str">
        <f>CONCATENATE("          ","6119"," - ","SICK LEAVE")</f>
        <v xml:space="preserve">          6119 - SICK LEAVE</v>
      </c>
      <c r="C51" s="9"/>
      <c r="D51" s="6">
        <v>1145.42</v>
      </c>
      <c r="E51" s="3"/>
      <c r="F51" s="7">
        <f t="shared" si="12"/>
        <v>4.0552580331492264E-3</v>
      </c>
      <c r="G51" s="3"/>
      <c r="H51" s="6">
        <v>2766.2618384615398</v>
      </c>
      <c r="I51" s="3"/>
      <c r="J51" s="7">
        <f t="shared" si="13"/>
        <v>1.0830714025196997E-2</v>
      </c>
      <c r="K51" s="3"/>
      <c r="L51" s="6">
        <f t="shared" si="14"/>
        <v>-1620.8418384615397</v>
      </c>
      <c r="M51" s="3"/>
      <c r="N51" s="7">
        <f t="shared" si="15"/>
        <v>-0.58593218325383578</v>
      </c>
      <c r="O51" s="9"/>
      <c r="P51" s="6">
        <v>19846.849999999999</v>
      </c>
      <c r="Q51" s="3"/>
      <c r="R51" s="7">
        <f t="shared" si="16"/>
        <v>3.8898016717877357E-3</v>
      </c>
      <c r="S51" s="3"/>
      <c r="T51" s="6">
        <v>35439.471949999999</v>
      </c>
      <c r="U51" s="3"/>
      <c r="V51" s="7">
        <f t="shared" si="17"/>
        <v>1.1009025096540089E-2</v>
      </c>
      <c r="W51" s="3"/>
      <c r="X51" s="6">
        <f t="shared" si="18"/>
        <v>-15592.621950000001</v>
      </c>
      <c r="Y51" s="3"/>
      <c r="Z51" s="7">
        <f t="shared" si="19"/>
        <v>-0.43997895826435984</v>
      </c>
    </row>
    <row r="52" spans="1:26" s="70" customFormat="1" ht="15" hidden="1" customHeight="1" outlineLevel="2" x14ac:dyDescent="0.3">
      <c r="A52" s="21"/>
      <c r="B52" s="9" t="str">
        <f>CONCATENATE("          ","6156"," - ","EMPLOYEE MEALS")</f>
        <v xml:space="preserve">          6156 - EMPLOYEE MEALS</v>
      </c>
      <c r="C52" s="9"/>
      <c r="D52" s="6">
        <v>814.81</v>
      </c>
      <c r="E52" s="3"/>
      <c r="F52" s="7">
        <f t="shared" si="12"/>
        <v>2.8847626180705075E-3</v>
      </c>
      <c r="G52" s="3"/>
      <c r="H52" s="6">
        <v>875</v>
      </c>
      <c r="I52" s="3"/>
      <c r="J52" s="7">
        <f t="shared" si="13"/>
        <v>3.4258777098692683E-3</v>
      </c>
      <c r="K52" s="3"/>
      <c r="L52" s="6">
        <f t="shared" si="14"/>
        <v>-60.190000000000055</v>
      </c>
      <c r="M52" s="3"/>
      <c r="N52" s="7">
        <f t="shared" si="15"/>
        <v>-6.8788571428571491E-2</v>
      </c>
      <c r="O52" s="9"/>
      <c r="P52" s="6">
        <v>9807.9</v>
      </c>
      <c r="Q52" s="3"/>
      <c r="R52" s="7">
        <f t="shared" si="16"/>
        <v>1.9222589890449586E-3</v>
      </c>
      <c r="S52" s="3"/>
      <c r="T52" s="6">
        <v>10500</v>
      </c>
      <c r="U52" s="3"/>
      <c r="V52" s="7">
        <f t="shared" si="17"/>
        <v>3.2617518589655773E-3</v>
      </c>
      <c r="W52" s="3"/>
      <c r="X52" s="6">
        <f t="shared" si="18"/>
        <v>-692.10000000000036</v>
      </c>
      <c r="Y52" s="3"/>
      <c r="Z52" s="7">
        <f t="shared" si="19"/>
        <v>-6.5914285714285745E-2</v>
      </c>
    </row>
    <row r="53" spans="1:26" s="69" customFormat="1" ht="15" customHeight="1" outlineLevel="1" collapsed="1" x14ac:dyDescent="0.3">
      <c r="A53" s="20"/>
      <c r="B53" s="11" t="str">
        <f>CONCATENATE("     ","*Payroll                                          ")</f>
        <v xml:space="preserve">     *Payroll                                          </v>
      </c>
      <c r="C53" s="11"/>
      <c r="D53" s="2">
        <f>SUM(OSRRefD22_1x_0)</f>
        <v>62465.89</v>
      </c>
      <c r="E53" s="2"/>
      <c r="F53" s="5">
        <f t="shared" si="12"/>
        <v>0.2211549494685931</v>
      </c>
      <c r="G53" s="2"/>
      <c r="H53" s="2">
        <f>SUM(OSRRefH22_1x_0)</f>
        <v>65046.825692307699</v>
      </c>
      <c r="I53" s="2"/>
      <c r="J53" s="5">
        <f t="shared" si="13"/>
        <v>0.25467710884231837</v>
      </c>
      <c r="K53" s="2"/>
      <c r="L53" s="2">
        <f t="shared" si="14"/>
        <v>-2580.9356923076994</v>
      </c>
      <c r="M53" s="2"/>
      <c r="N53" s="5">
        <f t="shared" si="15"/>
        <v>-3.9678119029456581E-2</v>
      </c>
      <c r="O53" s="11"/>
      <c r="P53" s="2">
        <f>SUM(OSRRefP22_1x_0)</f>
        <v>811834.74</v>
      </c>
      <c r="Q53" s="2"/>
      <c r="R53" s="5">
        <f t="shared" si="16"/>
        <v>0.15911220817748722</v>
      </c>
      <c r="S53" s="2"/>
      <c r="T53" s="2">
        <f>SUM(OSRRefT22_1x_0)</f>
        <v>830249.31700000004</v>
      </c>
      <c r="U53" s="2"/>
      <c r="V53" s="5">
        <f t="shared" si="17"/>
        <v>0.25791116696472866</v>
      </c>
      <c r="W53" s="2"/>
      <c r="X53" s="2">
        <f t="shared" si="18"/>
        <v>-18414.577000000048</v>
      </c>
      <c r="Y53" s="2"/>
      <c r="Z53" s="5">
        <f t="shared" si="19"/>
        <v>-2.2179575005901567E-2</v>
      </c>
    </row>
    <row r="54" spans="1:26" s="70" customFormat="1" ht="15" hidden="1" customHeight="1" outlineLevel="2" x14ac:dyDescent="0.3">
      <c r="A54" s="21"/>
      <c r="B54" s="9" t="str">
        <f>CONCATENATE("          ","6001"," - ","ADMINISTRATIVE SALARIES")</f>
        <v xml:space="preserve">          6001 - ADMINISTRATIVE SALARIES</v>
      </c>
      <c r="C54" s="9"/>
      <c r="D54" s="6"/>
      <c r="E54" s="3"/>
      <c r="F54" s="7">
        <f t="shared" si="12"/>
        <v>0</v>
      </c>
      <c r="G54" s="3"/>
      <c r="H54" s="6">
        <v>0</v>
      </c>
      <c r="I54" s="3"/>
      <c r="J54" s="7">
        <f t="shared" si="13"/>
        <v>0</v>
      </c>
      <c r="K54" s="3"/>
      <c r="L54" s="6">
        <f t="shared" si="14"/>
        <v>0</v>
      </c>
      <c r="M54" s="3"/>
      <c r="N54" s="7">
        <f t="shared" si="15"/>
        <v>0</v>
      </c>
      <c r="O54" s="9"/>
      <c r="P54" s="6"/>
      <c r="Q54" s="3"/>
      <c r="R54" s="7">
        <f t="shared" si="16"/>
        <v>0</v>
      </c>
      <c r="S54" s="3"/>
      <c r="T54" s="6">
        <v>0</v>
      </c>
      <c r="U54" s="3"/>
      <c r="V54" s="7">
        <f t="shared" si="17"/>
        <v>0</v>
      </c>
      <c r="W54" s="3"/>
      <c r="X54" s="6">
        <f t="shared" si="18"/>
        <v>0</v>
      </c>
      <c r="Y54" s="3"/>
      <c r="Z54" s="7">
        <f t="shared" si="19"/>
        <v>0</v>
      </c>
    </row>
    <row r="55" spans="1:26" s="70" customFormat="1" ht="15" hidden="1" customHeight="1" outlineLevel="2" x14ac:dyDescent="0.3">
      <c r="A55" s="21"/>
      <c r="B55" s="9" t="str">
        <f>CONCATENATE("          ","6002"," - ","STAFF SALARIES")</f>
        <v xml:space="preserve">          6002 - STAFF SALARIES</v>
      </c>
      <c r="C55" s="9"/>
      <c r="D55" s="6">
        <v>9137.41</v>
      </c>
      <c r="E55" s="3"/>
      <c r="F55" s="7">
        <f t="shared" si="12"/>
        <v>3.2350190589197039E-2</v>
      </c>
      <c r="G55" s="3"/>
      <c r="H55" s="6">
        <v>14790.807692307701</v>
      </c>
      <c r="I55" s="3"/>
      <c r="J55" s="7">
        <f t="shared" si="13"/>
        <v>5.7910283867474134E-2</v>
      </c>
      <c r="K55" s="3"/>
      <c r="L55" s="6">
        <f t="shared" si="14"/>
        <v>-5653.3976923077007</v>
      </c>
      <c r="M55" s="3"/>
      <c r="N55" s="7">
        <f t="shared" si="15"/>
        <v>-0.38222373043548391</v>
      </c>
      <c r="O55" s="9"/>
      <c r="P55" s="6">
        <v>177425.97</v>
      </c>
      <c r="Q55" s="3"/>
      <c r="R55" s="7">
        <f t="shared" si="16"/>
        <v>3.4773872666169228E-2</v>
      </c>
      <c r="S55" s="3"/>
      <c r="T55" s="6">
        <v>192280.5</v>
      </c>
      <c r="U55" s="3"/>
      <c r="V55" s="7">
        <f t="shared" si="17"/>
        <v>5.9730597935031493E-2</v>
      </c>
      <c r="W55" s="3"/>
      <c r="X55" s="6">
        <f t="shared" si="18"/>
        <v>-14854.529999999999</v>
      </c>
      <c r="Y55" s="3"/>
      <c r="Z55" s="7">
        <f t="shared" si="19"/>
        <v>-7.7254479783441368E-2</v>
      </c>
    </row>
    <row r="56" spans="1:26" s="70" customFormat="1" ht="15" hidden="1" customHeight="1" outlineLevel="2" x14ac:dyDescent="0.3">
      <c r="A56" s="21"/>
      <c r="B56" s="9" t="str">
        <f>CONCATENATE("          ","6003"," - ","STAFF HOURLY-9 MONTH")</f>
        <v xml:space="preserve">          6003 - STAFF HOURLY-9 MONTH</v>
      </c>
      <c r="C56" s="9"/>
      <c r="D56" s="6"/>
      <c r="E56" s="3"/>
      <c r="F56" s="7">
        <f t="shared" si="12"/>
        <v>0</v>
      </c>
      <c r="G56" s="3"/>
      <c r="H56" s="6">
        <v>0</v>
      </c>
      <c r="I56" s="3"/>
      <c r="J56" s="7">
        <f t="shared" si="13"/>
        <v>0</v>
      </c>
      <c r="K56" s="3"/>
      <c r="L56" s="6">
        <f t="shared" si="14"/>
        <v>0</v>
      </c>
      <c r="M56" s="3"/>
      <c r="N56" s="7">
        <f t="shared" si="15"/>
        <v>0</v>
      </c>
      <c r="O56" s="9"/>
      <c r="P56" s="6"/>
      <c r="Q56" s="3"/>
      <c r="R56" s="7">
        <f t="shared" si="16"/>
        <v>0</v>
      </c>
      <c r="S56" s="3"/>
      <c r="T56" s="6">
        <v>0</v>
      </c>
      <c r="U56" s="3"/>
      <c r="V56" s="7">
        <f t="shared" si="17"/>
        <v>0</v>
      </c>
      <c r="W56" s="3"/>
      <c r="X56" s="6">
        <f t="shared" si="18"/>
        <v>0</v>
      </c>
      <c r="Y56" s="3"/>
      <c r="Z56" s="7">
        <f t="shared" si="19"/>
        <v>0</v>
      </c>
    </row>
    <row r="57" spans="1:26" s="70" customFormat="1" ht="15" hidden="1" customHeight="1" outlineLevel="2" x14ac:dyDescent="0.3">
      <c r="A57" s="21"/>
      <c r="B57" s="9" t="str">
        <f>CONCATENATE("          ","6004"," - ","STAFF HOURLY")</f>
        <v xml:space="preserve">          6004 - STAFF HOURLY</v>
      </c>
      <c r="C57" s="9"/>
      <c r="D57" s="6">
        <v>12067.44</v>
      </c>
      <c r="E57" s="3"/>
      <c r="F57" s="7">
        <f t="shared" si="12"/>
        <v>4.2723702222369347E-2</v>
      </c>
      <c r="G57" s="3"/>
      <c r="H57" s="6">
        <v>18345.407999999999</v>
      </c>
      <c r="I57" s="3"/>
      <c r="J57" s="7">
        <f t="shared" si="13"/>
        <v>7.1827570680751268E-2</v>
      </c>
      <c r="K57" s="3"/>
      <c r="L57" s="6">
        <f t="shared" si="14"/>
        <v>-6277.9679999999989</v>
      </c>
      <c r="M57" s="3"/>
      <c r="N57" s="7">
        <f t="shared" si="15"/>
        <v>-0.34220923295900529</v>
      </c>
      <c r="O57" s="9"/>
      <c r="P57" s="6">
        <v>128185.74</v>
      </c>
      <c r="Q57" s="3"/>
      <c r="R57" s="7">
        <f t="shared" si="16"/>
        <v>2.5123236470842886E-2</v>
      </c>
      <c r="S57" s="3"/>
      <c r="T57" s="6">
        <v>235788.35200000001</v>
      </c>
      <c r="U57" s="3"/>
      <c r="V57" s="7">
        <f t="shared" si="17"/>
        <v>7.3246009091279041E-2</v>
      </c>
      <c r="W57" s="3"/>
      <c r="X57" s="6">
        <f t="shared" si="18"/>
        <v>-107602.61200000001</v>
      </c>
      <c r="Y57" s="3"/>
      <c r="Z57" s="7">
        <f t="shared" si="19"/>
        <v>-0.45635253432705619</v>
      </c>
    </row>
    <row r="58" spans="1:26" s="70" customFormat="1" ht="15" hidden="1" customHeight="1" outlineLevel="2" x14ac:dyDescent="0.3">
      <c r="A58" s="21"/>
      <c r="B58" s="9" t="str">
        <f>CONCATENATE("          ","6005"," - ","TEMPORARY WAGES-HOURLY")</f>
        <v xml:space="preserve">          6005 - TEMPORARY WAGES-HOURLY</v>
      </c>
      <c r="C58" s="9"/>
      <c r="D58" s="6">
        <v>203.4</v>
      </c>
      <c r="E58" s="3"/>
      <c r="F58" s="7">
        <f t="shared" si="12"/>
        <v>7.2011968006718287E-4</v>
      </c>
      <c r="G58" s="3"/>
      <c r="H58" s="6">
        <v>0</v>
      </c>
      <c r="I58" s="3"/>
      <c r="J58" s="7">
        <f t="shared" si="13"/>
        <v>0</v>
      </c>
      <c r="K58" s="3"/>
      <c r="L58" s="6">
        <f t="shared" si="14"/>
        <v>203.4</v>
      </c>
      <c r="M58" s="3"/>
      <c r="N58" s="7">
        <f t="shared" si="15"/>
        <v>0</v>
      </c>
      <c r="O58" s="9"/>
      <c r="P58" s="6">
        <v>30524.99</v>
      </c>
      <c r="Q58" s="3"/>
      <c r="R58" s="7">
        <f t="shared" si="16"/>
        <v>5.9826197675350969E-3</v>
      </c>
      <c r="S58" s="3"/>
      <c r="T58" s="6">
        <v>0</v>
      </c>
      <c r="U58" s="3"/>
      <c r="V58" s="7">
        <f t="shared" si="17"/>
        <v>0</v>
      </c>
      <c r="W58" s="3"/>
      <c r="X58" s="6">
        <f t="shared" si="18"/>
        <v>30524.99</v>
      </c>
      <c r="Y58" s="3"/>
      <c r="Z58" s="7">
        <f t="shared" si="19"/>
        <v>0</v>
      </c>
    </row>
    <row r="59" spans="1:26" s="70" customFormat="1" ht="15" hidden="1" customHeight="1" outlineLevel="2" x14ac:dyDescent="0.3">
      <c r="A59" s="21"/>
      <c r="B59" s="9" t="str">
        <f>CONCATENATE("          ","6006"," - ","TEMPORARY PART TIME")</f>
        <v xml:space="preserve">          6006 - TEMPORARY PART TIME</v>
      </c>
      <c r="C59" s="9"/>
      <c r="D59" s="6"/>
      <c r="E59" s="3"/>
      <c r="F59" s="7">
        <f t="shared" si="12"/>
        <v>0</v>
      </c>
      <c r="G59" s="3"/>
      <c r="H59" s="6">
        <v>0</v>
      </c>
      <c r="I59" s="3"/>
      <c r="J59" s="7">
        <f t="shared" si="13"/>
        <v>0</v>
      </c>
      <c r="K59" s="3"/>
      <c r="L59" s="6">
        <f t="shared" si="14"/>
        <v>0</v>
      </c>
      <c r="M59" s="3"/>
      <c r="N59" s="7">
        <f t="shared" si="15"/>
        <v>0</v>
      </c>
      <c r="O59" s="9"/>
      <c r="P59" s="6"/>
      <c r="Q59" s="3"/>
      <c r="R59" s="7">
        <f t="shared" si="16"/>
        <v>0</v>
      </c>
      <c r="S59" s="3"/>
      <c r="T59" s="6">
        <v>0</v>
      </c>
      <c r="U59" s="3"/>
      <c r="V59" s="7">
        <f t="shared" si="17"/>
        <v>0</v>
      </c>
      <c r="W59" s="3"/>
      <c r="X59" s="6">
        <f t="shared" si="18"/>
        <v>0</v>
      </c>
      <c r="Y59" s="3"/>
      <c r="Z59" s="7">
        <f t="shared" si="19"/>
        <v>0</v>
      </c>
    </row>
    <row r="60" spans="1:26" s="70" customFormat="1" ht="15" hidden="1" customHeight="1" outlineLevel="2" x14ac:dyDescent="0.3">
      <c r="A60" s="21"/>
      <c r="B60" s="9" t="str">
        <f>CONCATENATE("          ","6007"," - ","STUDENT HOURLY")</f>
        <v xml:space="preserve">          6007 - STUDENT HOURLY</v>
      </c>
      <c r="C60" s="9"/>
      <c r="D60" s="6">
        <v>34094.19</v>
      </c>
      <c r="E60" s="3"/>
      <c r="F60" s="7">
        <f t="shared" si="12"/>
        <v>0.12070745916887782</v>
      </c>
      <c r="G60" s="3"/>
      <c r="H60" s="6">
        <v>2378.61</v>
      </c>
      <c r="I60" s="3"/>
      <c r="J60" s="7">
        <f t="shared" si="13"/>
        <v>9.3129451193967334E-3</v>
      </c>
      <c r="K60" s="3"/>
      <c r="L60" s="6">
        <f t="shared" si="14"/>
        <v>31715.58</v>
      </c>
      <c r="M60" s="3"/>
      <c r="N60" s="7">
        <f t="shared" si="15"/>
        <v>13.333661255943598</v>
      </c>
      <c r="O60" s="9"/>
      <c r="P60" s="6">
        <v>380481.48</v>
      </c>
      <c r="Q60" s="3"/>
      <c r="R60" s="7">
        <f t="shared" si="16"/>
        <v>7.4570901527863206E-2</v>
      </c>
      <c r="S60" s="3"/>
      <c r="T60" s="6">
        <v>287106.36</v>
      </c>
      <c r="U60" s="3"/>
      <c r="V60" s="7">
        <f t="shared" si="17"/>
        <v>8.9187590804841926E-2</v>
      </c>
      <c r="W60" s="3"/>
      <c r="X60" s="6">
        <f t="shared" si="18"/>
        <v>93375.12</v>
      </c>
      <c r="Y60" s="3"/>
      <c r="Z60" s="7">
        <f t="shared" si="19"/>
        <v>0.32522832305073285</v>
      </c>
    </row>
    <row r="61" spans="1:26" s="70" customFormat="1" ht="15" hidden="1" customHeight="1" outlineLevel="2" x14ac:dyDescent="0.3">
      <c r="A61" s="21"/>
      <c r="B61" s="9" t="str">
        <f>CONCATENATE("          ","6008"," - ","STUDENT HOURLY-FICA EXEMPT")</f>
        <v xml:space="preserve">          6008 - STUDENT HOURLY-FICA EXEMPT</v>
      </c>
      <c r="C61" s="9"/>
      <c r="D61" s="6">
        <v>6963.45</v>
      </c>
      <c r="E61" s="3"/>
      <c r="F61" s="7">
        <f t="shared" si="12"/>
        <v>2.4653477808081734E-2</v>
      </c>
      <c r="G61" s="3"/>
      <c r="H61" s="6">
        <v>29532</v>
      </c>
      <c r="I61" s="3"/>
      <c r="J61" s="7">
        <f t="shared" si="13"/>
        <v>0.11562630917469627</v>
      </c>
      <c r="K61" s="3"/>
      <c r="L61" s="6">
        <f t="shared" si="14"/>
        <v>-22568.55</v>
      </c>
      <c r="M61" s="3"/>
      <c r="N61" s="7">
        <f t="shared" si="15"/>
        <v>-0.76420662332385203</v>
      </c>
      <c r="O61" s="9"/>
      <c r="P61" s="6">
        <v>95216.56</v>
      </c>
      <c r="Q61" s="3"/>
      <c r="R61" s="7">
        <f t="shared" si="16"/>
        <v>1.8661577745076791E-2</v>
      </c>
      <c r="S61" s="3"/>
      <c r="T61" s="6">
        <v>115074.105</v>
      </c>
      <c r="U61" s="3"/>
      <c r="V61" s="7">
        <f t="shared" si="17"/>
        <v>3.5746969133576195E-2</v>
      </c>
      <c r="W61" s="3"/>
      <c r="X61" s="6">
        <f t="shared" si="18"/>
        <v>-19857.544999999998</v>
      </c>
      <c r="Y61" s="3"/>
      <c r="Z61" s="7">
        <f t="shared" si="19"/>
        <v>-0.17256310618275067</v>
      </c>
    </row>
    <row r="62" spans="1:26" s="70" customFormat="1" ht="15" hidden="1" customHeight="1" outlineLevel="2" x14ac:dyDescent="0.3">
      <c r="A62" s="21"/>
      <c r="B62" s="9" t="str">
        <f>CONCATENATE("          ","6009"," - ","TEMPORARY-SEASONAL")</f>
        <v xml:space="preserve">          6009 - TEMPORARY-SEASONAL</v>
      </c>
      <c r="C62" s="9"/>
      <c r="D62" s="6"/>
      <c r="E62" s="3"/>
      <c r="F62" s="7">
        <f t="shared" si="12"/>
        <v>0</v>
      </c>
      <c r="G62" s="3"/>
      <c r="H62" s="6">
        <v>0</v>
      </c>
      <c r="I62" s="3"/>
      <c r="J62" s="7">
        <f t="shared" si="13"/>
        <v>0</v>
      </c>
      <c r="K62" s="3"/>
      <c r="L62" s="6">
        <f t="shared" si="14"/>
        <v>0</v>
      </c>
      <c r="M62" s="3"/>
      <c r="N62" s="7">
        <f t="shared" si="15"/>
        <v>0</v>
      </c>
      <c r="O62" s="9"/>
      <c r="P62" s="6"/>
      <c r="Q62" s="3"/>
      <c r="R62" s="7">
        <f t="shared" si="16"/>
        <v>0</v>
      </c>
      <c r="S62" s="3"/>
      <c r="T62" s="6">
        <v>0</v>
      </c>
      <c r="U62" s="3"/>
      <c r="V62" s="7">
        <f t="shared" si="17"/>
        <v>0</v>
      </c>
      <c r="W62" s="3"/>
      <c r="X62" s="6">
        <f t="shared" si="18"/>
        <v>0</v>
      </c>
      <c r="Y62" s="3"/>
      <c r="Z62" s="7">
        <f t="shared" si="19"/>
        <v>0</v>
      </c>
    </row>
    <row r="63" spans="1:26" s="70" customFormat="1" ht="15" hidden="1" customHeight="1" outlineLevel="2" x14ac:dyDescent="0.3">
      <c r="A63" s="21"/>
      <c r="B63" s="9" t="str">
        <f>CONCATENATE("          ","6010"," - ","GRATUITY")</f>
        <v xml:space="preserve">          6010 - GRATUITY</v>
      </c>
      <c r="C63" s="9"/>
      <c r="D63" s="6"/>
      <c r="E63" s="3"/>
      <c r="F63" s="7">
        <f t="shared" si="12"/>
        <v>0</v>
      </c>
      <c r="G63" s="3"/>
      <c r="H63" s="6">
        <v>0</v>
      </c>
      <c r="I63" s="3"/>
      <c r="J63" s="7">
        <f t="shared" si="13"/>
        <v>0</v>
      </c>
      <c r="K63" s="3"/>
      <c r="L63" s="6">
        <f t="shared" si="14"/>
        <v>0</v>
      </c>
      <c r="M63" s="3"/>
      <c r="N63" s="7">
        <f t="shared" si="15"/>
        <v>0</v>
      </c>
      <c r="O63" s="9"/>
      <c r="P63" s="6"/>
      <c r="Q63" s="3"/>
      <c r="R63" s="7">
        <f t="shared" si="16"/>
        <v>0</v>
      </c>
      <c r="S63" s="3"/>
      <c r="T63" s="6">
        <v>0</v>
      </c>
      <c r="U63" s="3"/>
      <c r="V63" s="7">
        <f t="shared" si="17"/>
        <v>0</v>
      </c>
      <c r="W63" s="3"/>
      <c r="X63" s="6">
        <f t="shared" si="18"/>
        <v>0</v>
      </c>
      <c r="Y63" s="3"/>
      <c r="Z63" s="7">
        <f t="shared" si="19"/>
        <v>0</v>
      </c>
    </row>
    <row r="64" spans="1:26" s="69" customFormat="1" ht="15" customHeight="1" outlineLevel="1" collapsed="1" x14ac:dyDescent="0.3">
      <c r="A64" s="20"/>
      <c r="B64" s="11" t="str">
        <f>CONCATENATE("     ","Advertising/Promo                                 ")</f>
        <v xml:space="preserve">     Advertising/Promo                                 </v>
      </c>
      <c r="C64" s="11"/>
      <c r="D64" s="2">
        <f>SUM(OSRRefD22_2x_0)</f>
        <v>6345.32</v>
      </c>
      <c r="E64" s="2"/>
      <c r="F64" s="5">
        <f t="shared" si="12"/>
        <v>2.2465043305427219E-2</v>
      </c>
      <c r="G64" s="2"/>
      <c r="H64" s="2">
        <f>SUM(OSRRefH22_2x_0)</f>
        <v>100</v>
      </c>
      <c r="I64" s="2"/>
      <c r="J64" s="5">
        <f t="shared" si="13"/>
        <v>3.9152888112791638E-4</v>
      </c>
      <c r="K64" s="2"/>
      <c r="L64" s="2">
        <f t="shared" si="14"/>
        <v>6245.32</v>
      </c>
      <c r="M64" s="2"/>
      <c r="N64" s="5">
        <f t="shared" si="15"/>
        <v>62.453199999999995</v>
      </c>
      <c r="O64" s="11"/>
      <c r="P64" s="2">
        <f>SUM(OSRRefP22_2x_0)</f>
        <v>16810.89</v>
      </c>
      <c r="Q64" s="2"/>
      <c r="R64" s="5">
        <f t="shared" si="16"/>
        <v>3.294781188261096E-3</v>
      </c>
      <c r="S64" s="2"/>
      <c r="T64" s="2">
        <f>SUM(OSRRefT22_2x_0)</f>
        <v>2600</v>
      </c>
      <c r="U64" s="2"/>
      <c r="V64" s="5">
        <f t="shared" si="17"/>
        <v>8.0767188888671438E-4</v>
      </c>
      <c r="W64" s="2"/>
      <c r="X64" s="2">
        <f t="shared" si="18"/>
        <v>14210.89</v>
      </c>
      <c r="Y64" s="2"/>
      <c r="Z64" s="5">
        <f t="shared" si="19"/>
        <v>5.4657269230769225</v>
      </c>
    </row>
    <row r="65" spans="1:26" s="70" customFormat="1" ht="15" hidden="1" customHeight="1" outlineLevel="2" x14ac:dyDescent="0.3">
      <c r="A65" s="21"/>
      <c r="B65" s="9" t="str">
        <f>CONCATENATE("          ","6362"," - ","ADVERTISING EXPENSE")</f>
        <v xml:space="preserve">          6362 - ADVERTISING EXPENSE</v>
      </c>
      <c r="C65" s="9"/>
      <c r="D65" s="6">
        <v>6345.32</v>
      </c>
      <c r="E65" s="3"/>
      <c r="F65" s="7">
        <f t="shared" si="12"/>
        <v>2.2465043305427219E-2</v>
      </c>
      <c r="G65" s="3"/>
      <c r="H65" s="6">
        <v>100</v>
      </c>
      <c r="I65" s="3"/>
      <c r="J65" s="7">
        <f t="shared" si="13"/>
        <v>3.9152888112791638E-4</v>
      </c>
      <c r="K65" s="3"/>
      <c r="L65" s="6">
        <f t="shared" si="14"/>
        <v>6245.32</v>
      </c>
      <c r="M65" s="3"/>
      <c r="N65" s="7">
        <f t="shared" si="15"/>
        <v>62.453199999999995</v>
      </c>
      <c r="O65" s="9"/>
      <c r="P65" s="6">
        <v>16810.89</v>
      </c>
      <c r="Q65" s="3"/>
      <c r="R65" s="7">
        <f t="shared" si="16"/>
        <v>3.294781188261096E-3</v>
      </c>
      <c r="S65" s="3"/>
      <c r="T65" s="6">
        <v>2600</v>
      </c>
      <c r="U65" s="3"/>
      <c r="V65" s="7">
        <f t="shared" si="17"/>
        <v>8.0767188888671438E-4</v>
      </c>
      <c r="W65" s="3"/>
      <c r="X65" s="6">
        <f t="shared" si="18"/>
        <v>14210.89</v>
      </c>
      <c r="Y65" s="3"/>
      <c r="Z65" s="7">
        <f t="shared" si="19"/>
        <v>5.4657269230769225</v>
      </c>
    </row>
    <row r="66" spans="1:26" s="69" customFormat="1" ht="15" customHeight="1" outlineLevel="1" collapsed="1" x14ac:dyDescent="0.3">
      <c r="A66" s="20"/>
      <c r="B66" s="11" t="str">
        <f>CONCATENATE("     ","Bad Debts/Over/Short                              ")</f>
        <v xml:space="preserve">     Bad Debts/Over/Short                              </v>
      </c>
      <c r="C66" s="11"/>
      <c r="D66" s="2">
        <f>SUM(OSRRefD22_3x_0)</f>
        <v>59.49</v>
      </c>
      <c r="E66" s="2"/>
      <c r="F66" s="5">
        <f t="shared" si="12"/>
        <v>2.1061907456832208E-4</v>
      </c>
      <c r="G66" s="2"/>
      <c r="H66" s="2">
        <f>SUM(OSRRefH22_3x_0)</f>
        <v>10</v>
      </c>
      <c r="I66" s="2"/>
      <c r="J66" s="5">
        <f t="shared" si="13"/>
        <v>3.9152888112791642E-5</v>
      </c>
      <c r="K66" s="2"/>
      <c r="L66" s="2">
        <f t="shared" si="14"/>
        <v>49.49</v>
      </c>
      <c r="M66" s="2"/>
      <c r="N66" s="5">
        <f t="shared" si="15"/>
        <v>4.9489999999999998</v>
      </c>
      <c r="O66" s="11"/>
      <c r="P66" s="2">
        <f>SUM(OSRRefP22_3x_0)</f>
        <v>6.56</v>
      </c>
      <c r="Q66" s="2"/>
      <c r="R66" s="5">
        <f t="shared" si="16"/>
        <v>1.2857001976095728E-6</v>
      </c>
      <c r="S66" s="2"/>
      <c r="T66" s="2">
        <f>SUM(OSRRefT22_3x_0)</f>
        <v>120</v>
      </c>
      <c r="U66" s="2"/>
      <c r="V66" s="5">
        <f t="shared" si="17"/>
        <v>3.7277164102463744E-5</v>
      </c>
      <c r="W66" s="2"/>
      <c r="X66" s="2">
        <f t="shared" si="18"/>
        <v>-113.44</v>
      </c>
      <c r="Y66" s="2"/>
      <c r="Z66" s="5">
        <f t="shared" si="19"/>
        <v>-0.94533333333333336</v>
      </c>
    </row>
    <row r="67" spans="1:26" s="70" customFormat="1" ht="15" hidden="1" customHeight="1" outlineLevel="2" x14ac:dyDescent="0.3">
      <c r="A67" s="21"/>
      <c r="B67" s="9" t="str">
        <f>CONCATENATE("          ","6272"," - ","CASH (OVER/SHORT)")</f>
        <v xml:space="preserve">          6272 - CASH (OVER/SHORT)</v>
      </c>
      <c r="C67" s="9"/>
      <c r="D67" s="6">
        <v>59.49</v>
      </c>
      <c r="E67" s="3"/>
      <c r="F67" s="7">
        <f t="shared" si="12"/>
        <v>2.1061907456832208E-4</v>
      </c>
      <c r="G67" s="3"/>
      <c r="H67" s="6">
        <v>10</v>
      </c>
      <c r="I67" s="3"/>
      <c r="J67" s="7">
        <f t="shared" si="13"/>
        <v>3.9152888112791642E-5</v>
      </c>
      <c r="K67" s="3"/>
      <c r="L67" s="6">
        <f t="shared" si="14"/>
        <v>49.49</v>
      </c>
      <c r="M67" s="3"/>
      <c r="N67" s="7">
        <f t="shared" si="15"/>
        <v>4.9489999999999998</v>
      </c>
      <c r="O67" s="9"/>
      <c r="P67" s="6">
        <v>6.56</v>
      </c>
      <c r="Q67" s="3"/>
      <c r="R67" s="7">
        <f t="shared" si="16"/>
        <v>1.2857001976095728E-6</v>
      </c>
      <c r="S67" s="3"/>
      <c r="T67" s="6">
        <v>120</v>
      </c>
      <c r="U67" s="3"/>
      <c r="V67" s="7">
        <f t="shared" si="17"/>
        <v>3.7277164102463744E-5</v>
      </c>
      <c r="W67" s="3"/>
      <c r="X67" s="6">
        <f t="shared" si="18"/>
        <v>-113.44</v>
      </c>
      <c r="Y67" s="3"/>
      <c r="Z67" s="7">
        <f t="shared" si="19"/>
        <v>-0.94533333333333336</v>
      </c>
    </row>
    <row r="68" spans="1:26" s="69" customFormat="1" ht="15" customHeight="1" outlineLevel="1" collapsed="1" x14ac:dyDescent="0.3">
      <c r="A68" s="20"/>
      <c r="B68" s="11" t="str">
        <f>CONCATENATE("     ","Bank/card Fees                                    ")</f>
        <v xml:space="preserve">     Bank/card Fees                                    </v>
      </c>
      <c r="C68" s="11"/>
      <c r="D68" s="2">
        <f>SUM(OSRRefD22_4x_0)</f>
        <v>613.19000000000005</v>
      </c>
      <c r="E68" s="2"/>
      <c r="F68" s="5">
        <f t="shared" si="12"/>
        <v>2.1709448703067643E-3</v>
      </c>
      <c r="G68" s="2"/>
      <c r="H68" s="2">
        <f>SUM(OSRRefH22_4x_0)</f>
        <v>1118</v>
      </c>
      <c r="I68" s="2"/>
      <c r="J68" s="5">
        <f t="shared" si="13"/>
        <v>4.3772928910101056E-3</v>
      </c>
      <c r="K68" s="2"/>
      <c r="L68" s="2">
        <f t="shared" si="14"/>
        <v>-504.80999999999995</v>
      </c>
      <c r="M68" s="2"/>
      <c r="N68" s="5">
        <f t="shared" si="15"/>
        <v>-0.45152951699463323</v>
      </c>
      <c r="O68" s="11"/>
      <c r="P68" s="2">
        <f>SUM(OSRRefP22_4x_0)</f>
        <v>6814.66</v>
      </c>
      <c r="Q68" s="2"/>
      <c r="R68" s="5">
        <f t="shared" si="16"/>
        <v>1.3356112360734835E-3</v>
      </c>
      <c r="S68" s="2"/>
      <c r="T68" s="2">
        <f>SUM(OSRRefT22_4x_0)</f>
        <v>8163</v>
      </c>
      <c r="U68" s="2"/>
      <c r="V68" s="5">
        <f t="shared" si="17"/>
        <v>2.5357790880700961E-3</v>
      </c>
      <c r="W68" s="2"/>
      <c r="X68" s="2">
        <f t="shared" si="18"/>
        <v>-1348.3400000000001</v>
      </c>
      <c r="Y68" s="2"/>
      <c r="Z68" s="5">
        <f t="shared" si="19"/>
        <v>-0.16517701825309325</v>
      </c>
    </row>
    <row r="69" spans="1:26" s="70" customFormat="1" ht="15" hidden="1" customHeight="1" outlineLevel="2" x14ac:dyDescent="0.3">
      <c r="A69" s="21"/>
      <c r="B69" s="9" t="str">
        <f>CONCATENATE("          ","6381"," - ","BANK/CREDIT CARD FEES")</f>
        <v xml:space="preserve">          6381 - BANK/CREDIT CARD FEES</v>
      </c>
      <c r="C69" s="9"/>
      <c r="D69" s="6">
        <v>613.19000000000005</v>
      </c>
      <c r="E69" s="3"/>
      <c r="F69" s="7">
        <f t="shared" si="12"/>
        <v>2.1709448703067643E-3</v>
      </c>
      <c r="G69" s="3"/>
      <c r="H69" s="6">
        <v>1118</v>
      </c>
      <c r="I69" s="3"/>
      <c r="J69" s="7">
        <f t="shared" si="13"/>
        <v>4.3772928910101056E-3</v>
      </c>
      <c r="K69" s="3"/>
      <c r="L69" s="6">
        <f t="shared" si="14"/>
        <v>-504.80999999999995</v>
      </c>
      <c r="M69" s="3"/>
      <c r="N69" s="7">
        <f t="shared" si="15"/>
        <v>-0.45152951699463323</v>
      </c>
      <c r="O69" s="9"/>
      <c r="P69" s="6">
        <v>6814.66</v>
      </c>
      <c r="Q69" s="3"/>
      <c r="R69" s="7">
        <f t="shared" si="16"/>
        <v>1.3356112360734835E-3</v>
      </c>
      <c r="S69" s="3"/>
      <c r="T69" s="6">
        <v>8163</v>
      </c>
      <c r="U69" s="3"/>
      <c r="V69" s="7">
        <f t="shared" si="17"/>
        <v>2.5357790880700961E-3</v>
      </c>
      <c r="W69" s="3"/>
      <c r="X69" s="6">
        <f t="shared" si="18"/>
        <v>-1348.3400000000001</v>
      </c>
      <c r="Y69" s="3"/>
      <c r="Z69" s="7">
        <f t="shared" si="19"/>
        <v>-0.16517701825309325</v>
      </c>
    </row>
    <row r="70" spans="1:26" s="69" customFormat="1" ht="15" customHeight="1" outlineLevel="1" collapsed="1" x14ac:dyDescent="0.3">
      <c r="A70" s="20"/>
      <c r="B70" s="11" t="str">
        <f>CONCATENATE("     ","Discounts and Markdowns                           ")</f>
        <v xml:space="preserve">     Discounts and Markdowns                           </v>
      </c>
      <c r="C70" s="11"/>
      <c r="D70" s="2">
        <f>SUM(OSRRefD22_5x_0)</f>
        <v>0</v>
      </c>
      <c r="E70" s="2"/>
      <c r="F70" s="5">
        <f t="shared" si="12"/>
        <v>0</v>
      </c>
      <c r="G70" s="2"/>
      <c r="H70" s="2">
        <f>SUM(OSRRefH22_5x_0)</f>
        <v>0</v>
      </c>
      <c r="I70" s="2"/>
      <c r="J70" s="5">
        <f t="shared" si="13"/>
        <v>0</v>
      </c>
      <c r="K70" s="2"/>
      <c r="L70" s="2">
        <f t="shared" si="14"/>
        <v>0</v>
      </c>
      <c r="M70" s="2"/>
      <c r="N70" s="5">
        <f t="shared" si="15"/>
        <v>0</v>
      </c>
      <c r="O70" s="11"/>
      <c r="P70" s="2">
        <f>SUM(OSRRefP22_5x_0)</f>
        <v>0</v>
      </c>
      <c r="Q70" s="2"/>
      <c r="R70" s="5">
        <f t="shared" si="16"/>
        <v>0</v>
      </c>
      <c r="S70" s="2"/>
      <c r="T70" s="2">
        <f>SUM(OSRRefT22_5x_0)</f>
        <v>0</v>
      </c>
      <c r="U70" s="2"/>
      <c r="V70" s="5">
        <f t="shared" si="17"/>
        <v>0</v>
      </c>
      <c r="W70" s="2"/>
      <c r="X70" s="2">
        <f t="shared" si="18"/>
        <v>0</v>
      </c>
      <c r="Y70" s="2"/>
      <c r="Z70" s="5">
        <f t="shared" si="19"/>
        <v>0</v>
      </c>
    </row>
    <row r="71" spans="1:26" s="70" customFormat="1" ht="15" hidden="1" customHeight="1" outlineLevel="2" x14ac:dyDescent="0.3">
      <c r="A71" s="21"/>
      <c r="B71" s="9" t="str">
        <f>CONCATENATE("          ","9175"," - ","EARNED DISCOUNTS")</f>
        <v xml:space="preserve">          9175 - EARNED DISCOUNTS</v>
      </c>
      <c r="C71" s="9"/>
      <c r="D71" s="6"/>
      <c r="E71" s="3"/>
      <c r="F71" s="7">
        <f t="shared" si="12"/>
        <v>0</v>
      </c>
      <c r="G71" s="3"/>
      <c r="H71" s="6"/>
      <c r="I71" s="3"/>
      <c r="J71" s="7">
        <f t="shared" si="13"/>
        <v>0</v>
      </c>
      <c r="K71" s="3"/>
      <c r="L71" s="6">
        <f t="shared" si="14"/>
        <v>0</v>
      </c>
      <c r="M71" s="3"/>
      <c r="N71" s="7">
        <f t="shared" si="15"/>
        <v>0</v>
      </c>
      <c r="O71" s="9"/>
      <c r="P71" s="6">
        <v>0</v>
      </c>
      <c r="Q71" s="3"/>
      <c r="R71" s="7">
        <f t="shared" si="16"/>
        <v>0</v>
      </c>
      <c r="S71" s="3"/>
      <c r="T71" s="6"/>
      <c r="U71" s="3"/>
      <c r="V71" s="7">
        <f t="shared" si="17"/>
        <v>0</v>
      </c>
      <c r="W71" s="3"/>
      <c r="X71" s="6">
        <f t="shared" si="18"/>
        <v>0</v>
      </c>
      <c r="Y71" s="3"/>
      <c r="Z71" s="7">
        <f t="shared" si="19"/>
        <v>0</v>
      </c>
    </row>
    <row r="72" spans="1:26" s="69" customFormat="1" ht="15" customHeight="1" outlineLevel="1" collapsed="1" x14ac:dyDescent="0.3">
      <c r="A72" s="20"/>
      <c r="B72" s="11" t="str">
        <f>CONCATENATE("     ","Employees' Appreciation                           ")</f>
        <v xml:space="preserve">     Employees' Appreciation                           </v>
      </c>
      <c r="C72" s="11"/>
      <c r="D72" s="2">
        <f>SUM(OSRRefD22_6x_0)</f>
        <v>1068.18</v>
      </c>
      <c r="E72" s="2"/>
      <c r="F72" s="5">
        <f t="shared" si="12"/>
        <v>3.781796656116831E-3</v>
      </c>
      <c r="G72" s="2"/>
      <c r="H72" s="2">
        <f>SUM(OSRRefH22_6x_0)</f>
        <v>75</v>
      </c>
      <c r="I72" s="2"/>
      <c r="J72" s="5">
        <f t="shared" si="13"/>
        <v>2.9364666084593733E-4</v>
      </c>
      <c r="K72" s="2"/>
      <c r="L72" s="2">
        <f t="shared" si="14"/>
        <v>993.18000000000006</v>
      </c>
      <c r="M72" s="2"/>
      <c r="N72" s="5">
        <f t="shared" si="15"/>
        <v>13.242400000000002</v>
      </c>
      <c r="O72" s="11"/>
      <c r="P72" s="2">
        <f>SUM(OSRRefP22_6x_0)</f>
        <v>1359.31</v>
      </c>
      <c r="Q72" s="2"/>
      <c r="R72" s="5">
        <f t="shared" si="16"/>
        <v>2.6641236823363846E-4</v>
      </c>
      <c r="S72" s="2"/>
      <c r="T72" s="2">
        <f>SUM(OSRRefT22_6x_0)</f>
        <v>900</v>
      </c>
      <c r="U72" s="2"/>
      <c r="V72" s="5">
        <f t="shared" si="17"/>
        <v>2.7957873076847806E-4</v>
      </c>
      <c r="W72" s="2"/>
      <c r="X72" s="2">
        <f t="shared" si="18"/>
        <v>459.30999999999995</v>
      </c>
      <c r="Y72" s="2"/>
      <c r="Z72" s="5">
        <f t="shared" si="19"/>
        <v>0.51034444444444438</v>
      </c>
    </row>
    <row r="73" spans="1:26" s="70" customFormat="1" ht="15" hidden="1" customHeight="1" outlineLevel="2" x14ac:dyDescent="0.3">
      <c r="A73" s="21"/>
      <c r="B73" s="9" t="str">
        <f>CONCATENATE("          ","6277"," - ","EMPLOYEE APPRECIATION")</f>
        <v xml:space="preserve">          6277 - EMPLOYEE APPRECIATION</v>
      </c>
      <c r="C73" s="9"/>
      <c r="D73" s="6">
        <v>1068.18</v>
      </c>
      <c r="E73" s="3"/>
      <c r="F73" s="7">
        <f t="shared" si="12"/>
        <v>3.781796656116831E-3</v>
      </c>
      <c r="G73" s="3"/>
      <c r="H73" s="6">
        <v>75</v>
      </c>
      <c r="I73" s="3"/>
      <c r="J73" s="7">
        <f t="shared" si="13"/>
        <v>2.9364666084593733E-4</v>
      </c>
      <c r="K73" s="3"/>
      <c r="L73" s="6">
        <f t="shared" si="14"/>
        <v>993.18000000000006</v>
      </c>
      <c r="M73" s="3"/>
      <c r="N73" s="7">
        <f t="shared" si="15"/>
        <v>13.242400000000002</v>
      </c>
      <c r="O73" s="9"/>
      <c r="P73" s="6">
        <v>1359.31</v>
      </c>
      <c r="Q73" s="3"/>
      <c r="R73" s="7">
        <f t="shared" si="16"/>
        <v>2.6641236823363846E-4</v>
      </c>
      <c r="S73" s="3"/>
      <c r="T73" s="6">
        <v>900</v>
      </c>
      <c r="U73" s="3"/>
      <c r="V73" s="7">
        <f t="shared" si="17"/>
        <v>2.7957873076847806E-4</v>
      </c>
      <c r="W73" s="3"/>
      <c r="X73" s="6">
        <f t="shared" si="18"/>
        <v>459.30999999999995</v>
      </c>
      <c r="Y73" s="3"/>
      <c r="Z73" s="7">
        <f t="shared" si="19"/>
        <v>0.51034444444444438</v>
      </c>
    </row>
    <row r="74" spans="1:26" s="69" customFormat="1" ht="15" customHeight="1" outlineLevel="1" collapsed="1" x14ac:dyDescent="0.3">
      <c r="A74" s="20"/>
      <c r="B74" s="11" t="str">
        <f>CONCATENATE("     ","Equipment Rental                                  ")</f>
        <v xml:space="preserve">     Equipment Rental                                  </v>
      </c>
      <c r="C74" s="11"/>
      <c r="D74" s="2">
        <f>SUM(OSRRefD22_7x_0)</f>
        <v>96.22</v>
      </c>
      <c r="E74" s="2"/>
      <c r="F74" s="5">
        <f t="shared" ref="F74:F105" si="20">IF(D$12=0,0,D74/D$12)</f>
        <v>3.4065838552637333E-4</v>
      </c>
      <c r="G74" s="2"/>
      <c r="H74" s="2">
        <f>SUM(OSRRefH22_7x_0)</f>
        <v>0</v>
      </c>
      <c r="I74" s="2"/>
      <c r="J74" s="5">
        <f t="shared" ref="J74:J105" si="21">IF(H$12=0,0,H74/H$12)</f>
        <v>0</v>
      </c>
      <c r="K74" s="2"/>
      <c r="L74" s="2">
        <f t="shared" ref="L74:L105" si="22">+D74-H74</f>
        <v>96.22</v>
      </c>
      <c r="M74" s="2"/>
      <c r="N74" s="5">
        <f t="shared" ref="N74:N105" si="23">IF(H74=0,0,L74/H74)</f>
        <v>0</v>
      </c>
      <c r="O74" s="11"/>
      <c r="P74" s="2">
        <f>SUM(OSRRefP22_7x_0)</f>
        <v>215.13</v>
      </c>
      <c r="Q74" s="2"/>
      <c r="R74" s="5">
        <f t="shared" ref="R74:R105" si="24">IF(P$12=0,0,P74/P$12)</f>
        <v>4.2163518828010274E-5</v>
      </c>
      <c r="S74" s="2"/>
      <c r="T74" s="2">
        <f>SUM(OSRRefT22_7x_0)</f>
        <v>0</v>
      </c>
      <c r="U74" s="2"/>
      <c r="V74" s="5">
        <f t="shared" ref="V74:V105" si="25">IF(T$12=0,0,T74/T$12)</f>
        <v>0</v>
      </c>
      <c r="W74" s="2"/>
      <c r="X74" s="2">
        <f t="shared" ref="X74:X105" si="26">+P74-T74</f>
        <v>215.13</v>
      </c>
      <c r="Y74" s="2"/>
      <c r="Z74" s="5">
        <f t="shared" ref="Z74:Z105" si="27">IF(T74=0,0,X74/T74)</f>
        <v>0</v>
      </c>
    </row>
    <row r="75" spans="1:26" s="70" customFormat="1" ht="15" hidden="1" customHeight="1" outlineLevel="2" x14ac:dyDescent="0.3">
      <c r="A75" s="21"/>
      <c r="B75" s="9" t="str">
        <f>CONCATENATE("          ","6351"," - ","EQUIPMENT RENTAL")</f>
        <v xml:space="preserve">          6351 - EQUIPMENT RENTAL</v>
      </c>
      <c r="C75" s="9"/>
      <c r="D75" s="6">
        <v>96.22</v>
      </c>
      <c r="E75" s="3"/>
      <c r="F75" s="7">
        <f t="shared" si="20"/>
        <v>3.4065838552637333E-4</v>
      </c>
      <c r="G75" s="3"/>
      <c r="H75" s="6"/>
      <c r="I75" s="3"/>
      <c r="J75" s="7">
        <f t="shared" si="21"/>
        <v>0</v>
      </c>
      <c r="K75" s="3"/>
      <c r="L75" s="6">
        <f t="shared" si="22"/>
        <v>96.22</v>
      </c>
      <c r="M75" s="3"/>
      <c r="N75" s="7">
        <f t="shared" si="23"/>
        <v>0</v>
      </c>
      <c r="O75" s="9"/>
      <c r="P75" s="6">
        <v>215.13</v>
      </c>
      <c r="Q75" s="3"/>
      <c r="R75" s="7">
        <f t="shared" si="24"/>
        <v>4.2163518828010274E-5</v>
      </c>
      <c r="S75" s="3"/>
      <c r="T75" s="6"/>
      <c r="U75" s="3"/>
      <c r="V75" s="7">
        <f t="shared" si="25"/>
        <v>0</v>
      </c>
      <c r="W75" s="3"/>
      <c r="X75" s="6">
        <f t="shared" si="26"/>
        <v>215.13</v>
      </c>
      <c r="Y75" s="3"/>
      <c r="Z75" s="7">
        <f t="shared" si="27"/>
        <v>0</v>
      </c>
    </row>
    <row r="76" spans="1:26" s="69" customFormat="1" ht="15" customHeight="1" outlineLevel="1" collapsed="1" x14ac:dyDescent="0.3">
      <c r="A76" s="20"/>
      <c r="B76" s="11" t="str">
        <f>CONCATENATE("     ","Freight out/Postage                               ")</f>
        <v xml:space="preserve">     Freight out/Postage                               </v>
      </c>
      <c r="C76" s="11"/>
      <c r="D76" s="2">
        <f>SUM(OSRRefD22_8x_0)</f>
        <v>0</v>
      </c>
      <c r="E76" s="2"/>
      <c r="F76" s="5">
        <f t="shared" si="20"/>
        <v>0</v>
      </c>
      <c r="G76" s="2"/>
      <c r="H76" s="2">
        <f>SUM(OSRRefH22_8x_0)</f>
        <v>50</v>
      </c>
      <c r="I76" s="2"/>
      <c r="J76" s="5">
        <f t="shared" si="21"/>
        <v>1.9576444056395819E-4</v>
      </c>
      <c r="K76" s="2"/>
      <c r="L76" s="2">
        <f t="shared" si="22"/>
        <v>-50</v>
      </c>
      <c r="M76" s="2"/>
      <c r="N76" s="5">
        <f t="shared" si="23"/>
        <v>-1</v>
      </c>
      <c r="O76" s="11"/>
      <c r="P76" s="2">
        <f>SUM(OSRRefP22_8x_0)</f>
        <v>929.29</v>
      </c>
      <c r="Q76" s="2"/>
      <c r="R76" s="5">
        <f t="shared" si="24"/>
        <v>1.8213236838972557E-4</v>
      </c>
      <c r="S76" s="2"/>
      <c r="T76" s="2">
        <f>SUM(OSRRefT22_8x_0)</f>
        <v>600</v>
      </c>
      <c r="U76" s="2"/>
      <c r="V76" s="5">
        <f t="shared" si="25"/>
        <v>1.8638582051231872E-4</v>
      </c>
      <c r="W76" s="2"/>
      <c r="X76" s="2">
        <f t="shared" si="26"/>
        <v>329.28999999999996</v>
      </c>
      <c r="Y76" s="2"/>
      <c r="Z76" s="5">
        <f t="shared" si="27"/>
        <v>0.54881666666666662</v>
      </c>
    </row>
    <row r="77" spans="1:26" s="70" customFormat="1" ht="15" hidden="1" customHeight="1" outlineLevel="2" x14ac:dyDescent="0.3">
      <c r="A77" s="21"/>
      <c r="B77" s="9" t="str">
        <f>CONCATENATE("          ","6305"," - ","FREIGHT OUT")</f>
        <v xml:space="preserve">          6305 - FREIGHT OUT</v>
      </c>
      <c r="C77" s="9"/>
      <c r="D77" s="6"/>
      <c r="E77" s="3"/>
      <c r="F77" s="7">
        <f t="shared" si="20"/>
        <v>0</v>
      </c>
      <c r="G77" s="3"/>
      <c r="H77" s="6">
        <v>50</v>
      </c>
      <c r="I77" s="3"/>
      <c r="J77" s="7">
        <f t="shared" si="21"/>
        <v>1.9576444056395819E-4</v>
      </c>
      <c r="K77" s="3"/>
      <c r="L77" s="6">
        <f t="shared" si="22"/>
        <v>-50</v>
      </c>
      <c r="M77" s="3"/>
      <c r="N77" s="7">
        <f t="shared" si="23"/>
        <v>-1</v>
      </c>
      <c r="O77" s="9"/>
      <c r="P77" s="6">
        <v>893.87</v>
      </c>
      <c r="Q77" s="3"/>
      <c r="R77" s="7">
        <f t="shared" si="24"/>
        <v>1.7519037128616903E-4</v>
      </c>
      <c r="S77" s="3"/>
      <c r="T77" s="6">
        <v>600</v>
      </c>
      <c r="U77" s="3"/>
      <c r="V77" s="7">
        <f t="shared" si="25"/>
        <v>1.8638582051231872E-4</v>
      </c>
      <c r="W77" s="3"/>
      <c r="X77" s="6">
        <f t="shared" si="26"/>
        <v>293.87</v>
      </c>
      <c r="Y77" s="3"/>
      <c r="Z77" s="7">
        <f t="shared" si="27"/>
        <v>0.48978333333333335</v>
      </c>
    </row>
    <row r="78" spans="1:26" s="70" customFormat="1" ht="15" hidden="1" customHeight="1" outlineLevel="2" x14ac:dyDescent="0.3">
      <c r="A78" s="21"/>
      <c r="B78" s="9" t="str">
        <f>CONCATENATE("          ","6307"," - ","POSTAGE")</f>
        <v xml:space="preserve">          6307 - POSTAGE</v>
      </c>
      <c r="C78" s="9"/>
      <c r="D78" s="6"/>
      <c r="E78" s="3"/>
      <c r="F78" s="7">
        <f t="shared" si="20"/>
        <v>0</v>
      </c>
      <c r="G78" s="3"/>
      <c r="H78" s="6"/>
      <c r="I78" s="3"/>
      <c r="J78" s="7">
        <f t="shared" si="21"/>
        <v>0</v>
      </c>
      <c r="K78" s="3"/>
      <c r="L78" s="6">
        <f t="shared" si="22"/>
        <v>0</v>
      </c>
      <c r="M78" s="3"/>
      <c r="N78" s="7">
        <f t="shared" si="23"/>
        <v>0</v>
      </c>
      <c r="O78" s="9"/>
      <c r="P78" s="6">
        <v>35.42</v>
      </c>
      <c r="Q78" s="3"/>
      <c r="R78" s="7">
        <f t="shared" si="24"/>
        <v>6.9419971035565658E-6</v>
      </c>
      <c r="S78" s="3"/>
      <c r="T78" s="6"/>
      <c r="U78" s="3"/>
      <c r="V78" s="7">
        <f t="shared" si="25"/>
        <v>0</v>
      </c>
      <c r="W78" s="3"/>
      <c r="X78" s="6">
        <f t="shared" si="26"/>
        <v>35.42</v>
      </c>
      <c r="Y78" s="3"/>
      <c r="Z78" s="7">
        <f t="shared" si="27"/>
        <v>0</v>
      </c>
    </row>
    <row r="79" spans="1:26" s="69" customFormat="1" ht="15" customHeight="1" outlineLevel="1" collapsed="1" x14ac:dyDescent="0.3">
      <c r="A79" s="20"/>
      <c r="B79" s="11" t="str">
        <f>CONCATENATE("     ","General                                           ")</f>
        <v xml:space="preserve">     General                                           </v>
      </c>
      <c r="C79" s="11"/>
      <c r="D79" s="2">
        <f>SUM(OSRRefD22_9x_0)</f>
        <v>0</v>
      </c>
      <c r="E79" s="2"/>
      <c r="F79" s="5">
        <f t="shared" si="20"/>
        <v>0</v>
      </c>
      <c r="G79" s="2"/>
      <c r="H79" s="2">
        <f>SUM(OSRRefH22_9x_0)</f>
        <v>1000</v>
      </c>
      <c r="I79" s="2"/>
      <c r="J79" s="5">
        <f t="shared" si="21"/>
        <v>3.9152888112791639E-3</v>
      </c>
      <c r="K79" s="2"/>
      <c r="L79" s="2">
        <f t="shared" si="22"/>
        <v>-1000</v>
      </c>
      <c r="M79" s="2"/>
      <c r="N79" s="5">
        <f t="shared" si="23"/>
        <v>-1</v>
      </c>
      <c r="O79" s="11"/>
      <c r="P79" s="2">
        <f>SUM(OSRRefP22_9x_0)</f>
        <v>2402.36</v>
      </c>
      <c r="Q79" s="2"/>
      <c r="R79" s="5">
        <f t="shared" si="24"/>
        <v>4.7084065956239839E-4</v>
      </c>
      <c r="S79" s="2"/>
      <c r="T79" s="2">
        <f>SUM(OSRRefT22_9x_0)</f>
        <v>2250</v>
      </c>
      <c r="U79" s="2"/>
      <c r="V79" s="5">
        <f t="shared" si="25"/>
        <v>6.9894682692119513E-4</v>
      </c>
      <c r="W79" s="2"/>
      <c r="X79" s="2">
        <f t="shared" si="26"/>
        <v>152.36000000000013</v>
      </c>
      <c r="Y79" s="2"/>
      <c r="Z79" s="5">
        <f t="shared" si="27"/>
        <v>6.7715555555555612E-2</v>
      </c>
    </row>
    <row r="80" spans="1:26" s="70" customFormat="1" ht="15" hidden="1" customHeight="1" outlineLevel="2" x14ac:dyDescent="0.3">
      <c r="A80" s="21"/>
      <c r="B80" s="9" t="str">
        <f>CONCATENATE("          ","6276"," - ","PROPERTY TAX")</f>
        <v xml:space="preserve">          6276 - PROPERTY TAX</v>
      </c>
      <c r="C80" s="9"/>
      <c r="D80" s="6"/>
      <c r="E80" s="3"/>
      <c r="F80" s="7">
        <f t="shared" si="20"/>
        <v>0</v>
      </c>
      <c r="G80" s="3"/>
      <c r="H80" s="6"/>
      <c r="I80" s="3"/>
      <c r="J80" s="7">
        <f t="shared" si="21"/>
        <v>0</v>
      </c>
      <c r="K80" s="3"/>
      <c r="L80" s="6">
        <f t="shared" si="22"/>
        <v>0</v>
      </c>
      <c r="M80" s="3"/>
      <c r="N80" s="7">
        <f t="shared" si="23"/>
        <v>0</v>
      </c>
      <c r="O80" s="9"/>
      <c r="P80" s="6"/>
      <c r="Q80" s="3"/>
      <c r="R80" s="7">
        <f t="shared" si="24"/>
        <v>0</v>
      </c>
      <c r="S80" s="3"/>
      <c r="T80" s="6">
        <v>1250</v>
      </c>
      <c r="U80" s="3"/>
      <c r="V80" s="7">
        <f t="shared" si="25"/>
        <v>3.8830379273399731E-4</v>
      </c>
      <c r="W80" s="3"/>
      <c r="X80" s="6">
        <f t="shared" si="26"/>
        <v>-1250</v>
      </c>
      <c r="Y80" s="3"/>
      <c r="Z80" s="7">
        <f t="shared" si="27"/>
        <v>-1</v>
      </c>
    </row>
    <row r="81" spans="1:26" s="70" customFormat="1" ht="15" hidden="1" customHeight="1" outlineLevel="2" x14ac:dyDescent="0.3">
      <c r="A81" s="21"/>
      <c r="B81" s="9" t="str">
        <f>CONCATENATE("          ","6279"," - ","GENERAL EXPENSE")</f>
        <v xml:space="preserve">          6279 - GENERAL EXPENSE</v>
      </c>
      <c r="C81" s="9"/>
      <c r="D81" s="6"/>
      <c r="E81" s="3"/>
      <c r="F81" s="7">
        <f t="shared" si="20"/>
        <v>0</v>
      </c>
      <c r="G81" s="3"/>
      <c r="H81" s="6">
        <v>1000</v>
      </c>
      <c r="I81" s="3"/>
      <c r="J81" s="7">
        <f t="shared" si="21"/>
        <v>3.9152888112791639E-3</v>
      </c>
      <c r="K81" s="3"/>
      <c r="L81" s="6">
        <f t="shared" si="22"/>
        <v>-1000</v>
      </c>
      <c r="M81" s="3"/>
      <c r="N81" s="7">
        <f t="shared" si="23"/>
        <v>-1</v>
      </c>
      <c r="O81" s="9"/>
      <c r="P81" s="6">
        <v>2402.36</v>
      </c>
      <c r="Q81" s="3"/>
      <c r="R81" s="7">
        <f t="shared" si="24"/>
        <v>4.7084065956239839E-4</v>
      </c>
      <c r="S81" s="3"/>
      <c r="T81" s="6">
        <v>1000</v>
      </c>
      <c r="U81" s="3"/>
      <c r="V81" s="7">
        <f t="shared" si="25"/>
        <v>3.1064303418719782E-4</v>
      </c>
      <c r="W81" s="3"/>
      <c r="X81" s="6">
        <f t="shared" si="26"/>
        <v>1402.3600000000001</v>
      </c>
      <c r="Y81" s="3"/>
      <c r="Z81" s="7">
        <f t="shared" si="27"/>
        <v>1.4023600000000001</v>
      </c>
    </row>
    <row r="82" spans="1:26" s="69" customFormat="1" ht="15" customHeight="1" outlineLevel="1" collapsed="1" x14ac:dyDescent="0.3">
      <c r="A82" s="20"/>
      <c r="B82" s="11" t="str">
        <f>CONCATENATE("     ","Insurance                                         ")</f>
        <v xml:space="preserve">     Insurance                                         </v>
      </c>
      <c r="C82" s="11"/>
      <c r="D82" s="2">
        <f>SUM(OSRRefD22_10x_0)</f>
        <v>-68.040000000000006</v>
      </c>
      <c r="E82" s="2"/>
      <c r="F82" s="5">
        <f t="shared" si="20"/>
        <v>-2.4088959209327005E-4</v>
      </c>
      <c r="G82" s="2"/>
      <c r="H82" s="2">
        <f>SUM(OSRRefH22_10x_0)</f>
        <v>175</v>
      </c>
      <c r="I82" s="2"/>
      <c r="J82" s="5">
        <f t="shared" si="21"/>
        <v>6.8517554197385371E-4</v>
      </c>
      <c r="K82" s="2"/>
      <c r="L82" s="2">
        <f t="shared" si="22"/>
        <v>-243.04000000000002</v>
      </c>
      <c r="M82" s="2"/>
      <c r="N82" s="5">
        <f t="shared" si="23"/>
        <v>-1.3888</v>
      </c>
      <c r="O82" s="11"/>
      <c r="P82" s="2">
        <f>SUM(OSRRefP22_10x_0)</f>
        <v>2341.84</v>
      </c>
      <c r="Q82" s="2"/>
      <c r="R82" s="5">
        <f t="shared" si="24"/>
        <v>4.5897929127591494E-4</v>
      </c>
      <c r="S82" s="2"/>
      <c r="T82" s="2">
        <f>SUM(OSRRefT22_10x_0)</f>
        <v>2100</v>
      </c>
      <c r="U82" s="2"/>
      <c r="V82" s="5">
        <f t="shared" si="25"/>
        <v>6.523503717931155E-4</v>
      </c>
      <c r="W82" s="2"/>
      <c r="X82" s="2">
        <f t="shared" si="26"/>
        <v>241.84000000000015</v>
      </c>
      <c r="Y82" s="2"/>
      <c r="Z82" s="5">
        <f t="shared" si="27"/>
        <v>0.11516190476190483</v>
      </c>
    </row>
    <row r="83" spans="1:26" s="70" customFormat="1" ht="15" hidden="1" customHeight="1" outlineLevel="2" x14ac:dyDescent="0.3">
      <c r="A83" s="21"/>
      <c r="B83" s="9" t="str">
        <f>CONCATENATE("          ","6314"," - ","LIABILITY INSURANCE")</f>
        <v xml:space="preserve">          6314 - LIABILITY INSURANCE</v>
      </c>
      <c r="C83" s="9"/>
      <c r="D83" s="6">
        <v>-68.040000000000006</v>
      </c>
      <c r="E83" s="3"/>
      <c r="F83" s="7">
        <f t="shared" si="20"/>
        <v>-2.4088959209327005E-4</v>
      </c>
      <c r="G83" s="3"/>
      <c r="H83" s="6">
        <v>175</v>
      </c>
      <c r="I83" s="3"/>
      <c r="J83" s="7">
        <f t="shared" si="21"/>
        <v>6.8517554197385371E-4</v>
      </c>
      <c r="K83" s="3"/>
      <c r="L83" s="6">
        <f t="shared" si="22"/>
        <v>-243.04000000000002</v>
      </c>
      <c r="M83" s="3"/>
      <c r="N83" s="7">
        <f t="shared" si="23"/>
        <v>-1.3888</v>
      </c>
      <c r="O83" s="9"/>
      <c r="P83" s="6">
        <v>2341.84</v>
      </c>
      <c r="Q83" s="3"/>
      <c r="R83" s="7">
        <f t="shared" si="24"/>
        <v>4.5897929127591494E-4</v>
      </c>
      <c r="S83" s="3"/>
      <c r="T83" s="6">
        <v>2100</v>
      </c>
      <c r="U83" s="3"/>
      <c r="V83" s="7">
        <f t="shared" si="25"/>
        <v>6.523503717931155E-4</v>
      </c>
      <c r="W83" s="3"/>
      <c r="X83" s="6">
        <f t="shared" si="26"/>
        <v>241.84000000000015</v>
      </c>
      <c r="Y83" s="3"/>
      <c r="Z83" s="7">
        <f t="shared" si="27"/>
        <v>0.11516190476190483</v>
      </c>
    </row>
    <row r="84" spans="1:26" s="69" customFormat="1" ht="15" customHeight="1" outlineLevel="1" collapsed="1" x14ac:dyDescent="0.3">
      <c r="A84" s="20"/>
      <c r="B84" s="11" t="str">
        <f>CONCATENATE("     ","Inventory Adjustment                              ")</f>
        <v xml:space="preserve">     Inventory Adjustment                              </v>
      </c>
      <c r="C84" s="11"/>
      <c r="D84" s="2">
        <f>SUM(OSRRefD22_11x_0)</f>
        <v>-37950</v>
      </c>
      <c r="E84" s="2"/>
      <c r="F84" s="5">
        <f t="shared" si="20"/>
        <v>-0.13435861287389178</v>
      </c>
      <c r="G84" s="2"/>
      <c r="H84" s="2">
        <f>SUM(OSRRefH22_11x_0)</f>
        <v>3450</v>
      </c>
      <c r="I84" s="2"/>
      <c r="J84" s="5">
        <f t="shared" si="21"/>
        <v>1.3507746398913115E-2</v>
      </c>
      <c r="K84" s="2"/>
      <c r="L84" s="2">
        <f t="shared" si="22"/>
        <v>-41400</v>
      </c>
      <c r="M84" s="2"/>
      <c r="N84" s="5">
        <f t="shared" si="23"/>
        <v>-12</v>
      </c>
      <c r="O84" s="11"/>
      <c r="P84" s="2">
        <f>SUM(OSRRefP22_11x_0)</f>
        <v>0</v>
      </c>
      <c r="Q84" s="2"/>
      <c r="R84" s="5">
        <f t="shared" si="24"/>
        <v>0</v>
      </c>
      <c r="S84" s="2"/>
      <c r="T84" s="2">
        <f>SUM(OSRRefT22_11x_0)</f>
        <v>41400</v>
      </c>
      <c r="U84" s="2"/>
      <c r="V84" s="5">
        <f t="shared" si="25"/>
        <v>1.2860621615349991E-2</v>
      </c>
      <c r="W84" s="2"/>
      <c r="X84" s="2">
        <f t="shared" si="26"/>
        <v>-41400</v>
      </c>
      <c r="Y84" s="2"/>
      <c r="Z84" s="5">
        <f t="shared" si="27"/>
        <v>-1</v>
      </c>
    </row>
    <row r="85" spans="1:26" s="70" customFormat="1" ht="15" hidden="1" customHeight="1" outlineLevel="2" x14ac:dyDescent="0.3">
      <c r="A85" s="21"/>
      <c r="B85" s="9" t="str">
        <f>CONCATENATE("          ","6408"," - ","INVENTORY ADJUSTMENT")</f>
        <v xml:space="preserve">          6408 - INVENTORY ADJUSTMENT</v>
      </c>
      <c r="C85" s="9"/>
      <c r="D85" s="6">
        <v>-37950</v>
      </c>
      <c r="E85" s="3"/>
      <c r="F85" s="7">
        <f t="shared" si="20"/>
        <v>-0.13435861287389178</v>
      </c>
      <c r="G85" s="3"/>
      <c r="H85" s="6">
        <v>3450</v>
      </c>
      <c r="I85" s="3"/>
      <c r="J85" s="7">
        <f t="shared" si="21"/>
        <v>1.3507746398913115E-2</v>
      </c>
      <c r="K85" s="3"/>
      <c r="L85" s="6">
        <f t="shared" si="22"/>
        <v>-41400</v>
      </c>
      <c r="M85" s="3"/>
      <c r="N85" s="7">
        <f t="shared" si="23"/>
        <v>-12</v>
      </c>
      <c r="O85" s="9"/>
      <c r="P85" s="6">
        <v>0</v>
      </c>
      <c r="Q85" s="3"/>
      <c r="R85" s="7">
        <f t="shared" si="24"/>
        <v>0</v>
      </c>
      <c r="S85" s="3"/>
      <c r="T85" s="6">
        <v>41400</v>
      </c>
      <c r="U85" s="3"/>
      <c r="V85" s="7">
        <f t="shared" si="25"/>
        <v>1.2860621615349991E-2</v>
      </c>
      <c r="W85" s="3"/>
      <c r="X85" s="6">
        <f t="shared" si="26"/>
        <v>-41400</v>
      </c>
      <c r="Y85" s="3"/>
      <c r="Z85" s="7">
        <f t="shared" si="27"/>
        <v>-1</v>
      </c>
    </row>
    <row r="86" spans="1:26" s="69" customFormat="1" ht="15" customHeight="1" outlineLevel="1" collapsed="1" x14ac:dyDescent="0.3">
      <c r="A86" s="20"/>
      <c r="B86" s="11" t="str">
        <f>CONCATENATE("     ","Professional Services                             ")</f>
        <v xml:space="preserve">     Professional Services                             </v>
      </c>
      <c r="C86" s="11"/>
      <c r="D86" s="2">
        <f>SUM(OSRRefD22_12x_0)</f>
        <v>1401.33</v>
      </c>
      <c r="E86" s="2"/>
      <c r="F86" s="5">
        <f t="shared" si="20"/>
        <v>4.9612847161678731E-3</v>
      </c>
      <c r="G86" s="2"/>
      <c r="H86" s="2">
        <f>SUM(OSRRefH22_12x_0)</f>
        <v>0</v>
      </c>
      <c r="I86" s="2"/>
      <c r="J86" s="5">
        <f t="shared" si="21"/>
        <v>0</v>
      </c>
      <c r="K86" s="2"/>
      <c r="L86" s="2">
        <f t="shared" si="22"/>
        <v>1401.33</v>
      </c>
      <c r="M86" s="2"/>
      <c r="N86" s="5">
        <f t="shared" si="23"/>
        <v>0</v>
      </c>
      <c r="O86" s="11"/>
      <c r="P86" s="2">
        <f>SUM(OSRRefP22_12x_0)</f>
        <v>3510.43</v>
      </c>
      <c r="Q86" s="2"/>
      <c r="R86" s="5">
        <f t="shared" si="24"/>
        <v>6.8801227815466044E-4</v>
      </c>
      <c r="S86" s="2"/>
      <c r="T86" s="2">
        <f>SUM(OSRRefT22_12x_0)</f>
        <v>1750</v>
      </c>
      <c r="U86" s="2"/>
      <c r="V86" s="5">
        <f t="shared" si="25"/>
        <v>5.4362530982759625E-4</v>
      </c>
      <c r="W86" s="2"/>
      <c r="X86" s="2">
        <f t="shared" si="26"/>
        <v>1760.4299999999998</v>
      </c>
      <c r="Y86" s="2"/>
      <c r="Z86" s="5">
        <f t="shared" si="27"/>
        <v>1.00596</v>
      </c>
    </row>
    <row r="87" spans="1:26" s="70" customFormat="1" ht="15" hidden="1" customHeight="1" outlineLevel="2" x14ac:dyDescent="0.3">
      <c r="A87" s="21"/>
      <c r="B87" s="9" t="str">
        <f>CONCATENATE("          ","6336"," - ","PROFESSIONAL SERVICES")</f>
        <v xml:space="preserve">          6336 - PROFESSIONAL SERVICES</v>
      </c>
      <c r="C87" s="9"/>
      <c r="D87" s="6">
        <v>1401.33</v>
      </c>
      <c r="E87" s="3"/>
      <c r="F87" s="7">
        <f t="shared" si="20"/>
        <v>4.9612847161678731E-3</v>
      </c>
      <c r="G87" s="3"/>
      <c r="H87" s="6">
        <v>0</v>
      </c>
      <c r="I87" s="3"/>
      <c r="J87" s="7">
        <f t="shared" si="21"/>
        <v>0</v>
      </c>
      <c r="K87" s="3"/>
      <c r="L87" s="6">
        <f t="shared" si="22"/>
        <v>1401.33</v>
      </c>
      <c r="M87" s="3"/>
      <c r="N87" s="7">
        <f t="shared" si="23"/>
        <v>0</v>
      </c>
      <c r="O87" s="9"/>
      <c r="P87" s="6">
        <v>3510.43</v>
      </c>
      <c r="Q87" s="3"/>
      <c r="R87" s="7">
        <f t="shared" si="24"/>
        <v>6.8801227815466044E-4</v>
      </c>
      <c r="S87" s="3"/>
      <c r="T87" s="6">
        <v>1750</v>
      </c>
      <c r="U87" s="3"/>
      <c r="V87" s="7">
        <f t="shared" si="25"/>
        <v>5.4362530982759625E-4</v>
      </c>
      <c r="W87" s="3"/>
      <c r="X87" s="6">
        <f t="shared" si="26"/>
        <v>1760.4299999999998</v>
      </c>
      <c r="Y87" s="3"/>
      <c r="Z87" s="7">
        <f t="shared" si="27"/>
        <v>1.00596</v>
      </c>
    </row>
    <row r="88" spans="1:26" s="69" customFormat="1" ht="15" customHeight="1" outlineLevel="1" collapsed="1" x14ac:dyDescent="0.3">
      <c r="A88" s="20"/>
      <c r="B88" s="11" t="str">
        <f>CONCATENATE("     ","Rent                                              ")</f>
        <v xml:space="preserve">     Rent                                              </v>
      </c>
      <c r="C88" s="11"/>
      <c r="D88" s="2">
        <f>SUM(OSRRefD22_13x_0)</f>
        <v>6900</v>
      </c>
      <c r="E88" s="2"/>
      <c r="F88" s="5">
        <f t="shared" si="20"/>
        <v>2.4428838704343963E-2</v>
      </c>
      <c r="G88" s="2"/>
      <c r="H88" s="2">
        <f>SUM(OSRRefH22_13x_0)</f>
        <v>6900</v>
      </c>
      <c r="I88" s="2"/>
      <c r="J88" s="5">
        <f t="shared" si="21"/>
        <v>2.7015492797826231E-2</v>
      </c>
      <c r="K88" s="2"/>
      <c r="L88" s="2">
        <f t="shared" si="22"/>
        <v>0</v>
      </c>
      <c r="M88" s="2"/>
      <c r="N88" s="5">
        <f t="shared" si="23"/>
        <v>0</v>
      </c>
      <c r="O88" s="11"/>
      <c r="P88" s="2">
        <f>SUM(OSRRefP22_13x_0)</f>
        <v>82800</v>
      </c>
      <c r="Q88" s="2"/>
      <c r="R88" s="5">
        <f t="shared" si="24"/>
        <v>1.6228045177145219E-2</v>
      </c>
      <c r="S88" s="2"/>
      <c r="T88" s="2">
        <f>SUM(OSRRefT22_13x_0)</f>
        <v>82800</v>
      </c>
      <c r="U88" s="2"/>
      <c r="V88" s="5">
        <f t="shared" si="25"/>
        <v>2.5721243230699981E-2</v>
      </c>
      <c r="W88" s="2"/>
      <c r="X88" s="2">
        <f t="shared" si="26"/>
        <v>0</v>
      </c>
      <c r="Y88" s="2"/>
      <c r="Z88" s="5">
        <f t="shared" si="27"/>
        <v>0</v>
      </c>
    </row>
    <row r="89" spans="1:26" s="70" customFormat="1" ht="15" hidden="1" customHeight="1" outlineLevel="2" x14ac:dyDescent="0.3">
      <c r="A89" s="21"/>
      <c r="B89" s="9" t="str">
        <f>CONCATENATE("          ","6273"," - ","RENT")</f>
        <v xml:space="preserve">          6273 - RENT</v>
      </c>
      <c r="C89" s="9"/>
      <c r="D89" s="6">
        <v>6900</v>
      </c>
      <c r="E89" s="3"/>
      <c r="F89" s="7">
        <f t="shared" si="20"/>
        <v>2.4428838704343963E-2</v>
      </c>
      <c r="G89" s="3"/>
      <c r="H89" s="6">
        <v>6900</v>
      </c>
      <c r="I89" s="3"/>
      <c r="J89" s="7">
        <f t="shared" si="21"/>
        <v>2.7015492797826231E-2</v>
      </c>
      <c r="K89" s="3"/>
      <c r="L89" s="6">
        <f t="shared" si="22"/>
        <v>0</v>
      </c>
      <c r="M89" s="3"/>
      <c r="N89" s="7">
        <f t="shared" si="23"/>
        <v>0</v>
      </c>
      <c r="O89" s="9"/>
      <c r="P89" s="6">
        <v>82800</v>
      </c>
      <c r="Q89" s="3"/>
      <c r="R89" s="7">
        <f t="shared" si="24"/>
        <v>1.6228045177145219E-2</v>
      </c>
      <c r="S89" s="3"/>
      <c r="T89" s="6">
        <v>82800</v>
      </c>
      <c r="U89" s="3"/>
      <c r="V89" s="7">
        <f t="shared" si="25"/>
        <v>2.5721243230699981E-2</v>
      </c>
      <c r="W89" s="3"/>
      <c r="X89" s="6">
        <f t="shared" si="26"/>
        <v>0</v>
      </c>
      <c r="Y89" s="3"/>
      <c r="Z89" s="7">
        <f t="shared" si="27"/>
        <v>0</v>
      </c>
    </row>
    <row r="90" spans="1:26" s="69" customFormat="1" ht="15" customHeight="1" outlineLevel="1" collapsed="1" x14ac:dyDescent="0.3">
      <c r="A90" s="20"/>
      <c r="B90" s="11" t="str">
        <f>CONCATENATE("     ","Repair and Maintenance                            ")</f>
        <v xml:space="preserve">     Repair and Maintenance                            </v>
      </c>
      <c r="C90" s="11"/>
      <c r="D90" s="2">
        <f>SUM(OSRRefD22_14x_0)</f>
        <v>0</v>
      </c>
      <c r="E90" s="2"/>
      <c r="F90" s="5">
        <f t="shared" si="20"/>
        <v>0</v>
      </c>
      <c r="G90" s="2"/>
      <c r="H90" s="2">
        <f>SUM(OSRRefH22_14x_0)</f>
        <v>115</v>
      </c>
      <c r="I90" s="2"/>
      <c r="J90" s="5">
        <f t="shared" si="21"/>
        <v>4.5025821329710387E-4</v>
      </c>
      <c r="K90" s="2"/>
      <c r="L90" s="2">
        <f t="shared" si="22"/>
        <v>-115</v>
      </c>
      <c r="M90" s="2"/>
      <c r="N90" s="5">
        <f t="shared" si="23"/>
        <v>-1</v>
      </c>
      <c r="O90" s="11"/>
      <c r="P90" s="2">
        <f>SUM(OSRRefP22_14x_0)</f>
        <v>5378.62</v>
      </c>
      <c r="Q90" s="2"/>
      <c r="R90" s="5">
        <f t="shared" si="24"/>
        <v>1.0541604873272562E-3</v>
      </c>
      <c r="S90" s="2"/>
      <c r="T90" s="2">
        <f>SUM(OSRRefT22_14x_0)</f>
        <v>1880</v>
      </c>
      <c r="U90" s="2"/>
      <c r="V90" s="5">
        <f t="shared" si="25"/>
        <v>5.8400890427193197E-4</v>
      </c>
      <c r="W90" s="2"/>
      <c r="X90" s="2">
        <f t="shared" si="26"/>
        <v>3498.62</v>
      </c>
      <c r="Y90" s="2"/>
      <c r="Z90" s="5">
        <f t="shared" si="27"/>
        <v>1.860968085106383</v>
      </c>
    </row>
    <row r="91" spans="1:26" s="70" customFormat="1" ht="15" hidden="1" customHeight="1" outlineLevel="2" x14ac:dyDescent="0.3">
      <c r="A91" s="21"/>
      <c r="B91" s="9" t="str">
        <f>CONCATENATE("          ","6373"," - ","MAINTENANCE CONTRACTS")</f>
        <v xml:space="preserve">          6373 - MAINTENANCE CONTRACTS</v>
      </c>
      <c r="C91" s="9"/>
      <c r="D91" s="6"/>
      <c r="E91" s="3"/>
      <c r="F91" s="7">
        <f t="shared" si="20"/>
        <v>0</v>
      </c>
      <c r="G91" s="3"/>
      <c r="H91" s="6">
        <v>115</v>
      </c>
      <c r="I91" s="3"/>
      <c r="J91" s="7">
        <f t="shared" si="21"/>
        <v>4.5025821329710387E-4</v>
      </c>
      <c r="K91" s="3"/>
      <c r="L91" s="6">
        <f t="shared" si="22"/>
        <v>-115</v>
      </c>
      <c r="M91" s="3"/>
      <c r="N91" s="7">
        <f t="shared" si="23"/>
        <v>-1</v>
      </c>
      <c r="O91" s="9"/>
      <c r="P91" s="6">
        <v>714.5</v>
      </c>
      <c r="Q91" s="3"/>
      <c r="R91" s="7">
        <f t="shared" si="24"/>
        <v>1.4003548646220117E-4</v>
      </c>
      <c r="S91" s="3"/>
      <c r="T91" s="6">
        <v>1380</v>
      </c>
      <c r="U91" s="3"/>
      <c r="V91" s="7">
        <f t="shared" si="25"/>
        <v>4.2868738717833304E-4</v>
      </c>
      <c r="W91" s="3"/>
      <c r="X91" s="6">
        <f t="shared" si="26"/>
        <v>-665.5</v>
      </c>
      <c r="Y91" s="3"/>
      <c r="Z91" s="7">
        <f t="shared" si="27"/>
        <v>-0.48224637681159421</v>
      </c>
    </row>
    <row r="92" spans="1:26" s="70" customFormat="1" ht="15" hidden="1" customHeight="1" outlineLevel="2" x14ac:dyDescent="0.3">
      <c r="A92" s="21"/>
      <c r="B92" s="9" t="str">
        <f>CONCATENATE("          ","6375"," - ","OUTSIDE REPAIRS &amp; MAINTENANCE")</f>
        <v xml:space="preserve">          6375 - OUTSIDE REPAIRS &amp; MAINTENANCE</v>
      </c>
      <c r="C92" s="9"/>
      <c r="D92" s="6"/>
      <c r="E92" s="3"/>
      <c r="F92" s="7">
        <f t="shared" si="20"/>
        <v>0</v>
      </c>
      <c r="G92" s="3"/>
      <c r="H92" s="6">
        <v>0</v>
      </c>
      <c r="I92" s="3"/>
      <c r="J92" s="7">
        <f t="shared" si="21"/>
        <v>0</v>
      </c>
      <c r="K92" s="3"/>
      <c r="L92" s="6">
        <f t="shared" si="22"/>
        <v>0</v>
      </c>
      <c r="M92" s="3"/>
      <c r="N92" s="7">
        <f t="shared" si="23"/>
        <v>0</v>
      </c>
      <c r="O92" s="9"/>
      <c r="P92" s="6">
        <v>4664.12</v>
      </c>
      <c r="Q92" s="3"/>
      <c r="R92" s="7">
        <f t="shared" si="24"/>
        <v>9.1412500086505489E-4</v>
      </c>
      <c r="S92" s="3"/>
      <c r="T92" s="6">
        <v>500</v>
      </c>
      <c r="U92" s="3"/>
      <c r="V92" s="7">
        <f t="shared" si="25"/>
        <v>1.5532151709359891E-4</v>
      </c>
      <c r="W92" s="3"/>
      <c r="X92" s="6">
        <f t="shared" si="26"/>
        <v>4164.12</v>
      </c>
      <c r="Y92" s="3"/>
      <c r="Z92" s="7">
        <f t="shared" si="27"/>
        <v>8.3282399999999992</v>
      </c>
    </row>
    <row r="93" spans="1:26" s="69" customFormat="1" ht="15" customHeight="1" outlineLevel="1" collapsed="1" x14ac:dyDescent="0.3">
      <c r="A93" s="20"/>
      <c r="B93" s="11" t="str">
        <f>CONCATENATE("     ","Royalty &amp; Commissions                             ")</f>
        <v xml:space="preserve">     Royalty &amp; Commissions                             </v>
      </c>
      <c r="C93" s="11"/>
      <c r="D93" s="2">
        <f>SUM(OSRRefD22_15x_0)</f>
        <v>108</v>
      </c>
      <c r="E93" s="2"/>
      <c r="F93" s="5">
        <f t="shared" si="20"/>
        <v>3.8236443189407942E-4</v>
      </c>
      <c r="G93" s="2"/>
      <c r="H93" s="2">
        <f>SUM(OSRRefH22_15x_0)</f>
        <v>3322</v>
      </c>
      <c r="I93" s="2"/>
      <c r="J93" s="5">
        <f t="shared" si="21"/>
        <v>1.3006589431069382E-2</v>
      </c>
      <c r="K93" s="2"/>
      <c r="L93" s="2">
        <f t="shared" si="22"/>
        <v>-3214</v>
      </c>
      <c r="M93" s="2"/>
      <c r="N93" s="5">
        <f t="shared" si="23"/>
        <v>-0.96748946417820592</v>
      </c>
      <c r="O93" s="11"/>
      <c r="P93" s="2">
        <f>SUM(OSRRefP22_15x_0)</f>
        <v>72264.009999999995</v>
      </c>
      <c r="Q93" s="2"/>
      <c r="R93" s="5">
        <f t="shared" si="24"/>
        <v>1.4163087185527459E-2</v>
      </c>
      <c r="S93" s="2"/>
      <c r="T93" s="2">
        <f>SUM(OSRRefT22_15x_0)</f>
        <v>62010</v>
      </c>
      <c r="U93" s="2"/>
      <c r="V93" s="5">
        <f t="shared" si="25"/>
        <v>1.9262974549948138E-2</v>
      </c>
      <c r="W93" s="2"/>
      <c r="X93" s="2">
        <f t="shared" si="26"/>
        <v>10254.009999999995</v>
      </c>
      <c r="Y93" s="2"/>
      <c r="Z93" s="5">
        <f t="shared" si="27"/>
        <v>0.16536058700209635</v>
      </c>
    </row>
    <row r="94" spans="1:26" s="70" customFormat="1" ht="15" hidden="1" customHeight="1" outlineLevel="2" x14ac:dyDescent="0.3">
      <c r="A94" s="21"/>
      <c r="B94" s="9" t="str">
        <f>CONCATENATE("          ","6252"," - ","ROYALTY DUE CSTV")</f>
        <v xml:space="preserve">          6252 - ROYALTY DUE CSTV</v>
      </c>
      <c r="C94" s="9"/>
      <c r="D94" s="6"/>
      <c r="E94" s="3"/>
      <c r="F94" s="7">
        <f t="shared" si="20"/>
        <v>0</v>
      </c>
      <c r="G94" s="3"/>
      <c r="H94" s="6">
        <v>3322</v>
      </c>
      <c r="I94" s="3"/>
      <c r="J94" s="7">
        <f t="shared" si="21"/>
        <v>1.3006589431069382E-2</v>
      </c>
      <c r="K94" s="3"/>
      <c r="L94" s="6">
        <f t="shared" si="22"/>
        <v>-3322</v>
      </c>
      <c r="M94" s="3"/>
      <c r="N94" s="7">
        <f t="shared" si="23"/>
        <v>-1</v>
      </c>
      <c r="O94" s="9"/>
      <c r="P94" s="6"/>
      <c r="Q94" s="3"/>
      <c r="R94" s="7">
        <f t="shared" si="24"/>
        <v>0</v>
      </c>
      <c r="S94" s="3"/>
      <c r="T94" s="6">
        <v>19008</v>
      </c>
      <c r="U94" s="3"/>
      <c r="V94" s="7">
        <f t="shared" si="25"/>
        <v>5.9047027938302563E-3</v>
      </c>
      <c r="W94" s="3"/>
      <c r="X94" s="6">
        <f t="shared" si="26"/>
        <v>-19008</v>
      </c>
      <c r="Y94" s="3"/>
      <c r="Z94" s="7">
        <f t="shared" si="27"/>
        <v>-1</v>
      </c>
    </row>
    <row r="95" spans="1:26" s="70" customFormat="1" ht="15" hidden="1" customHeight="1" outlineLevel="2" x14ac:dyDescent="0.3">
      <c r="A95" s="21"/>
      <c r="B95" s="9" t="str">
        <f>CONCATENATE("          ","6253"," - ","ROYALTY DUE ATHLETICS-LRG")</f>
        <v xml:space="preserve">          6253 - ROYALTY DUE ATHLETICS-LRG</v>
      </c>
      <c r="C95" s="9"/>
      <c r="D95" s="6"/>
      <c r="E95" s="3"/>
      <c r="F95" s="7">
        <f t="shared" si="20"/>
        <v>0</v>
      </c>
      <c r="G95" s="3"/>
      <c r="H95" s="6">
        <v>0</v>
      </c>
      <c r="I95" s="3"/>
      <c r="J95" s="7">
        <f t="shared" si="21"/>
        <v>0</v>
      </c>
      <c r="K95" s="3"/>
      <c r="L95" s="6">
        <f t="shared" si="22"/>
        <v>0</v>
      </c>
      <c r="M95" s="3"/>
      <c r="N95" s="7">
        <f t="shared" si="23"/>
        <v>0</v>
      </c>
      <c r="O95" s="9"/>
      <c r="P95" s="6">
        <v>51456.52</v>
      </c>
      <c r="Q95" s="3"/>
      <c r="R95" s="7">
        <f t="shared" si="24"/>
        <v>1.0085008831143435E-2</v>
      </c>
      <c r="S95" s="3"/>
      <c r="T95" s="6">
        <v>38502</v>
      </c>
      <c r="U95" s="3"/>
      <c r="V95" s="7">
        <f t="shared" si="25"/>
        <v>1.1960378102275491E-2</v>
      </c>
      <c r="W95" s="3"/>
      <c r="X95" s="6">
        <f t="shared" si="26"/>
        <v>12954.519999999997</v>
      </c>
      <c r="Y95" s="3"/>
      <c r="Z95" s="7">
        <f t="shared" si="27"/>
        <v>0.33646356033452801</v>
      </c>
    </row>
    <row r="96" spans="1:26" s="70" customFormat="1" ht="15" hidden="1" customHeight="1" outlineLevel="2" x14ac:dyDescent="0.3">
      <c r="A96" s="21"/>
      <c r="B96" s="9" t="str">
        <f>CONCATENATE("          ","6254"," - ","ROYALTY &amp; COMMISSIONS")</f>
        <v xml:space="preserve">          6254 - ROYALTY &amp; COMMISSIONS</v>
      </c>
      <c r="C96" s="9"/>
      <c r="D96" s="6">
        <v>108</v>
      </c>
      <c r="E96" s="3"/>
      <c r="F96" s="7">
        <f t="shared" si="20"/>
        <v>3.8236443189407942E-4</v>
      </c>
      <c r="G96" s="3"/>
      <c r="H96" s="6">
        <v>0</v>
      </c>
      <c r="I96" s="3"/>
      <c r="J96" s="7">
        <f t="shared" si="21"/>
        <v>0</v>
      </c>
      <c r="K96" s="3"/>
      <c r="L96" s="6">
        <f t="shared" si="22"/>
        <v>108</v>
      </c>
      <c r="M96" s="3"/>
      <c r="N96" s="7">
        <f t="shared" si="23"/>
        <v>0</v>
      </c>
      <c r="O96" s="9"/>
      <c r="P96" s="6">
        <v>20807.490000000002</v>
      </c>
      <c r="Q96" s="3"/>
      <c r="R96" s="7">
        <f t="shared" si="24"/>
        <v>4.0780783543840262E-3</v>
      </c>
      <c r="S96" s="3"/>
      <c r="T96" s="6">
        <v>4500</v>
      </c>
      <c r="U96" s="3"/>
      <c r="V96" s="7">
        <f t="shared" si="25"/>
        <v>1.3978936538423903E-3</v>
      </c>
      <c r="W96" s="3"/>
      <c r="X96" s="6">
        <f t="shared" si="26"/>
        <v>16307.490000000002</v>
      </c>
      <c r="Y96" s="3"/>
      <c r="Z96" s="7">
        <f t="shared" si="27"/>
        <v>3.6238866666666669</v>
      </c>
    </row>
    <row r="97" spans="1:26" s="69" customFormat="1" ht="15" customHeight="1" outlineLevel="1" collapsed="1" x14ac:dyDescent="0.3">
      <c r="A97" s="20"/>
      <c r="B97" s="11" t="str">
        <f>CONCATENATE("     ","Services                                          ")</f>
        <v xml:space="preserve">     Services                                          </v>
      </c>
      <c r="C97" s="11"/>
      <c r="D97" s="2">
        <f>SUM(OSRRefD22_16x_0)</f>
        <v>223.45</v>
      </c>
      <c r="E97" s="2"/>
      <c r="F97" s="5">
        <f t="shared" si="20"/>
        <v>7.9110492876603743E-4</v>
      </c>
      <c r="G97" s="2"/>
      <c r="H97" s="2">
        <f>SUM(OSRRefH22_16x_0)</f>
        <v>120</v>
      </c>
      <c r="I97" s="2"/>
      <c r="J97" s="5">
        <f t="shared" si="21"/>
        <v>4.6983465735349968E-4</v>
      </c>
      <c r="K97" s="2"/>
      <c r="L97" s="2">
        <f t="shared" si="22"/>
        <v>103.44999999999999</v>
      </c>
      <c r="M97" s="2"/>
      <c r="N97" s="5">
        <f t="shared" si="23"/>
        <v>0.8620833333333332</v>
      </c>
      <c r="O97" s="11"/>
      <c r="P97" s="2">
        <f>SUM(OSRRefP22_16x_0)</f>
        <v>2099.46</v>
      </c>
      <c r="Q97" s="2"/>
      <c r="R97" s="5">
        <f t="shared" si="24"/>
        <v>4.1147502086484659E-4</v>
      </c>
      <c r="S97" s="2"/>
      <c r="T97" s="2">
        <f>SUM(OSRRefT22_16x_0)</f>
        <v>960</v>
      </c>
      <c r="U97" s="2"/>
      <c r="V97" s="5">
        <f t="shared" si="25"/>
        <v>2.9821731281970995E-4</v>
      </c>
      <c r="W97" s="2"/>
      <c r="X97" s="2">
        <f t="shared" si="26"/>
        <v>1139.46</v>
      </c>
      <c r="Y97" s="2"/>
      <c r="Z97" s="5">
        <f t="shared" si="27"/>
        <v>1.1869375</v>
      </c>
    </row>
    <row r="98" spans="1:26" s="70" customFormat="1" ht="15" hidden="1" customHeight="1" outlineLevel="2" x14ac:dyDescent="0.3">
      <c r="A98" s="21"/>
      <c r="B98" s="9" t="str">
        <f>CONCATENATE("          ","6284"," - ","TRASH REMOVAL EXPENSE")</f>
        <v xml:space="preserve">          6284 - TRASH REMOVAL EXPENSE</v>
      </c>
      <c r="C98" s="9"/>
      <c r="D98" s="6">
        <v>149.69999999999999</v>
      </c>
      <c r="E98" s="3"/>
      <c r="F98" s="7">
        <f t="shared" si="20"/>
        <v>5.2999958754207117E-4</v>
      </c>
      <c r="G98" s="3"/>
      <c r="H98" s="6">
        <v>120</v>
      </c>
      <c r="I98" s="3"/>
      <c r="J98" s="7">
        <f t="shared" si="21"/>
        <v>4.6983465735349968E-4</v>
      </c>
      <c r="K98" s="3"/>
      <c r="L98" s="6">
        <f t="shared" si="22"/>
        <v>29.699999999999989</v>
      </c>
      <c r="M98" s="3"/>
      <c r="N98" s="7">
        <f t="shared" si="23"/>
        <v>0.24749999999999991</v>
      </c>
      <c r="O98" s="9"/>
      <c r="P98" s="6">
        <v>1639.57</v>
      </c>
      <c r="Q98" s="3"/>
      <c r="R98" s="7">
        <f t="shared" si="24"/>
        <v>3.2134077332236695E-4</v>
      </c>
      <c r="S98" s="3"/>
      <c r="T98" s="6">
        <v>960</v>
      </c>
      <c r="U98" s="3"/>
      <c r="V98" s="7">
        <f t="shared" si="25"/>
        <v>2.9821731281970995E-4</v>
      </c>
      <c r="W98" s="3"/>
      <c r="X98" s="6">
        <f t="shared" si="26"/>
        <v>679.56999999999994</v>
      </c>
      <c r="Y98" s="3"/>
      <c r="Z98" s="7">
        <f t="shared" si="27"/>
        <v>0.7078854166666666</v>
      </c>
    </row>
    <row r="99" spans="1:26" s="70" customFormat="1" ht="15" hidden="1" customHeight="1" outlineLevel="2" x14ac:dyDescent="0.3">
      <c r="A99" s="21"/>
      <c r="B99" s="9" t="str">
        <f>CONCATENATE("          ","6285"," - ","JANITORIAL SERVICES")</f>
        <v xml:space="preserve">          6285 - JANITORIAL SERVICES</v>
      </c>
      <c r="C99" s="9"/>
      <c r="D99" s="6">
        <v>73.75</v>
      </c>
      <c r="E99" s="3"/>
      <c r="F99" s="7">
        <f t="shared" si="20"/>
        <v>2.6110534122396627E-4</v>
      </c>
      <c r="G99" s="3"/>
      <c r="H99" s="6"/>
      <c r="I99" s="3"/>
      <c r="J99" s="7">
        <f t="shared" si="21"/>
        <v>0</v>
      </c>
      <c r="K99" s="3"/>
      <c r="L99" s="6">
        <f t="shared" si="22"/>
        <v>73.75</v>
      </c>
      <c r="M99" s="3"/>
      <c r="N99" s="7">
        <f t="shared" si="23"/>
        <v>0</v>
      </c>
      <c r="O99" s="9"/>
      <c r="P99" s="6">
        <v>459.89</v>
      </c>
      <c r="Q99" s="3"/>
      <c r="R99" s="7">
        <f t="shared" si="24"/>
        <v>9.0134247542479639E-5</v>
      </c>
      <c r="S99" s="3"/>
      <c r="T99" s="6"/>
      <c r="U99" s="3"/>
      <c r="V99" s="7">
        <f t="shared" si="25"/>
        <v>0</v>
      </c>
      <c r="W99" s="3"/>
      <c r="X99" s="6">
        <f t="shared" si="26"/>
        <v>459.89</v>
      </c>
      <c r="Y99" s="3"/>
      <c r="Z99" s="7">
        <f t="shared" si="27"/>
        <v>0</v>
      </c>
    </row>
    <row r="100" spans="1:26" s="69" customFormat="1" ht="15" customHeight="1" outlineLevel="1" collapsed="1" x14ac:dyDescent="0.3">
      <c r="A100" s="20"/>
      <c r="B100" s="11" t="str">
        <f>CONCATENATE("     ","Subscriptions &amp; Dues                              ")</f>
        <v xml:space="preserve">     Subscriptions &amp; Dues                              </v>
      </c>
      <c r="C100" s="11"/>
      <c r="D100" s="2">
        <f>SUM(OSRRefD22_17x_0)</f>
        <v>0</v>
      </c>
      <c r="E100" s="2"/>
      <c r="F100" s="5">
        <f t="shared" si="20"/>
        <v>0</v>
      </c>
      <c r="G100" s="2"/>
      <c r="H100" s="2">
        <f>SUM(OSRRefH22_17x_0)</f>
        <v>361</v>
      </c>
      <c r="I100" s="2"/>
      <c r="J100" s="5">
        <f t="shared" si="21"/>
        <v>1.4134192608717781E-3</v>
      </c>
      <c r="K100" s="2"/>
      <c r="L100" s="2">
        <f t="shared" si="22"/>
        <v>-361</v>
      </c>
      <c r="M100" s="2"/>
      <c r="N100" s="5">
        <f t="shared" si="23"/>
        <v>-1</v>
      </c>
      <c r="O100" s="11"/>
      <c r="P100" s="2">
        <f>SUM(OSRRefP22_17x_0)</f>
        <v>125</v>
      </c>
      <c r="Q100" s="2"/>
      <c r="R100" s="5">
        <f t="shared" si="24"/>
        <v>2.4498860472743383E-5</v>
      </c>
      <c r="S100" s="2"/>
      <c r="T100" s="2">
        <f>SUM(OSRRefT22_17x_0)</f>
        <v>3047</v>
      </c>
      <c r="U100" s="2"/>
      <c r="V100" s="5">
        <f t="shared" si="25"/>
        <v>9.4652932516839177E-4</v>
      </c>
      <c r="W100" s="2"/>
      <c r="X100" s="2">
        <f t="shared" si="26"/>
        <v>-2922</v>
      </c>
      <c r="Y100" s="2"/>
      <c r="Z100" s="5">
        <f t="shared" si="27"/>
        <v>-0.95897604200853304</v>
      </c>
    </row>
    <row r="101" spans="1:26" s="70" customFormat="1" ht="15" hidden="1" customHeight="1" outlineLevel="2" x14ac:dyDescent="0.3">
      <c r="A101" s="21"/>
      <c r="B101" s="9" t="str">
        <f>CONCATENATE("          ","6258"," - ","MEMBERSHIP DUES")</f>
        <v xml:space="preserve">          6258 - MEMBERSHIP DUES</v>
      </c>
      <c r="C101" s="9"/>
      <c r="D101" s="6"/>
      <c r="E101" s="3"/>
      <c r="F101" s="7">
        <f t="shared" si="20"/>
        <v>0</v>
      </c>
      <c r="G101" s="3"/>
      <c r="H101" s="6">
        <v>200</v>
      </c>
      <c r="I101" s="3"/>
      <c r="J101" s="7">
        <f t="shared" si="21"/>
        <v>7.8305776225583276E-4</v>
      </c>
      <c r="K101" s="3"/>
      <c r="L101" s="6">
        <f t="shared" si="22"/>
        <v>-200</v>
      </c>
      <c r="M101" s="3"/>
      <c r="N101" s="7">
        <f t="shared" si="23"/>
        <v>-1</v>
      </c>
      <c r="O101" s="9"/>
      <c r="P101" s="6">
        <v>125</v>
      </c>
      <c r="Q101" s="3"/>
      <c r="R101" s="7">
        <f t="shared" si="24"/>
        <v>2.4498860472743383E-5</v>
      </c>
      <c r="S101" s="3"/>
      <c r="T101" s="6">
        <v>1595</v>
      </c>
      <c r="U101" s="3"/>
      <c r="V101" s="7">
        <f t="shared" si="25"/>
        <v>4.9547563952858059E-4</v>
      </c>
      <c r="W101" s="3"/>
      <c r="X101" s="6">
        <f t="shared" si="26"/>
        <v>-1470</v>
      </c>
      <c r="Y101" s="3"/>
      <c r="Z101" s="7">
        <f t="shared" si="27"/>
        <v>-0.92163009404388718</v>
      </c>
    </row>
    <row r="102" spans="1:26" s="70" customFormat="1" ht="15" hidden="1" customHeight="1" outlineLevel="2" x14ac:dyDescent="0.3">
      <c r="A102" s="21"/>
      <c r="B102" s="9" t="str">
        <f>CONCATENATE("          ","6275"," - ","SUBSCRIPTIONS")</f>
        <v xml:space="preserve">          6275 - SUBSCRIPTIONS</v>
      </c>
      <c r="C102" s="9"/>
      <c r="D102" s="6"/>
      <c r="E102" s="3"/>
      <c r="F102" s="7">
        <f t="shared" si="20"/>
        <v>0</v>
      </c>
      <c r="G102" s="3"/>
      <c r="H102" s="6">
        <v>161</v>
      </c>
      <c r="I102" s="3"/>
      <c r="J102" s="7">
        <f t="shared" si="21"/>
        <v>6.3036149861594537E-4</v>
      </c>
      <c r="K102" s="3"/>
      <c r="L102" s="6">
        <f t="shared" si="22"/>
        <v>-161</v>
      </c>
      <c r="M102" s="3"/>
      <c r="N102" s="7">
        <f t="shared" si="23"/>
        <v>-1</v>
      </c>
      <c r="O102" s="9"/>
      <c r="P102" s="6"/>
      <c r="Q102" s="3"/>
      <c r="R102" s="7">
        <f t="shared" si="24"/>
        <v>0</v>
      </c>
      <c r="S102" s="3"/>
      <c r="T102" s="6">
        <v>1452</v>
      </c>
      <c r="U102" s="3"/>
      <c r="V102" s="7">
        <f t="shared" si="25"/>
        <v>4.5105368563981129E-4</v>
      </c>
      <c r="W102" s="3"/>
      <c r="X102" s="6">
        <f t="shared" si="26"/>
        <v>-1452</v>
      </c>
      <c r="Y102" s="3"/>
      <c r="Z102" s="7">
        <f t="shared" si="27"/>
        <v>-1</v>
      </c>
    </row>
    <row r="103" spans="1:26" s="69" customFormat="1" ht="15" customHeight="1" outlineLevel="1" collapsed="1" x14ac:dyDescent="0.3">
      <c r="A103" s="20"/>
      <c r="B103" s="11" t="str">
        <f>CONCATENATE("     ","Supplies                                          ")</f>
        <v xml:space="preserve">     Supplies                                          </v>
      </c>
      <c r="C103" s="11"/>
      <c r="D103" s="2">
        <f>SUM(OSRRefD22_18x_0)</f>
        <v>1729.58</v>
      </c>
      <c r="E103" s="2"/>
      <c r="F103" s="5">
        <f t="shared" si="20"/>
        <v>6.123424760327424E-3</v>
      </c>
      <c r="G103" s="2"/>
      <c r="H103" s="2">
        <f>SUM(OSRRefH22_18x_0)</f>
        <v>105</v>
      </c>
      <c r="I103" s="2"/>
      <c r="J103" s="5">
        <f t="shared" si="21"/>
        <v>4.1110532518431225E-4</v>
      </c>
      <c r="K103" s="2"/>
      <c r="L103" s="2">
        <f t="shared" si="22"/>
        <v>1624.58</v>
      </c>
      <c r="M103" s="2"/>
      <c r="N103" s="5">
        <f t="shared" si="23"/>
        <v>15.472190476190475</v>
      </c>
      <c r="O103" s="11"/>
      <c r="P103" s="2">
        <f>SUM(OSRRefP22_18x_0)</f>
        <v>15057.23</v>
      </c>
      <c r="Q103" s="2"/>
      <c r="R103" s="5">
        <f t="shared" si="24"/>
        <v>2.9510798150080468E-3</v>
      </c>
      <c r="S103" s="2"/>
      <c r="T103" s="2">
        <f>SUM(OSRRefT22_18x_0)</f>
        <v>1380</v>
      </c>
      <c r="U103" s="2"/>
      <c r="V103" s="5">
        <f t="shared" si="25"/>
        <v>4.2868738717833304E-4</v>
      </c>
      <c r="W103" s="2"/>
      <c r="X103" s="2">
        <f t="shared" si="26"/>
        <v>13677.23</v>
      </c>
      <c r="Y103" s="2"/>
      <c r="Z103" s="5">
        <f t="shared" si="27"/>
        <v>9.9110362318840579</v>
      </c>
    </row>
    <row r="104" spans="1:26" s="70" customFormat="1" ht="15" hidden="1" customHeight="1" outlineLevel="2" x14ac:dyDescent="0.3">
      <c r="A104" s="21"/>
      <c r="B104" s="9" t="str">
        <f>CONCATENATE("          ","6235"," - ","COVID-19 EXPENSES")</f>
        <v xml:space="preserve">          6235 - COVID-19 EXPENSES</v>
      </c>
      <c r="C104" s="9"/>
      <c r="D104" s="6"/>
      <c r="E104" s="3"/>
      <c r="F104" s="7">
        <f t="shared" si="20"/>
        <v>0</v>
      </c>
      <c r="G104" s="3"/>
      <c r="H104" s="6">
        <v>0</v>
      </c>
      <c r="I104" s="3"/>
      <c r="J104" s="7">
        <f t="shared" si="21"/>
        <v>0</v>
      </c>
      <c r="K104" s="3"/>
      <c r="L104" s="6">
        <f t="shared" si="22"/>
        <v>0</v>
      </c>
      <c r="M104" s="3"/>
      <c r="N104" s="7">
        <f t="shared" si="23"/>
        <v>0</v>
      </c>
      <c r="O104" s="9"/>
      <c r="P104" s="6"/>
      <c r="Q104" s="3"/>
      <c r="R104" s="7">
        <f t="shared" si="24"/>
        <v>0</v>
      </c>
      <c r="S104" s="3"/>
      <c r="T104" s="6">
        <v>0</v>
      </c>
      <c r="U104" s="3"/>
      <c r="V104" s="7">
        <f t="shared" si="25"/>
        <v>0</v>
      </c>
      <c r="W104" s="3"/>
      <c r="X104" s="6">
        <f t="shared" si="26"/>
        <v>0</v>
      </c>
      <c r="Y104" s="3"/>
      <c r="Z104" s="7">
        <f t="shared" si="27"/>
        <v>0</v>
      </c>
    </row>
    <row r="105" spans="1:26" s="70" customFormat="1" ht="15" hidden="1" customHeight="1" outlineLevel="2" x14ac:dyDescent="0.3">
      <c r="A105" s="21"/>
      <c r="B105" s="9" t="str">
        <f>CONCATENATE("          ","6237"," - ","JANITORIAL SUPPLIES")</f>
        <v xml:space="preserve">          6237 - JANITORIAL SUPPLIES</v>
      </c>
      <c r="C105" s="9"/>
      <c r="D105" s="6"/>
      <c r="E105" s="3"/>
      <c r="F105" s="7">
        <f t="shared" si="20"/>
        <v>0</v>
      </c>
      <c r="G105" s="3"/>
      <c r="H105" s="6">
        <v>10</v>
      </c>
      <c r="I105" s="3"/>
      <c r="J105" s="7">
        <f t="shared" si="21"/>
        <v>3.9152888112791642E-5</v>
      </c>
      <c r="K105" s="3"/>
      <c r="L105" s="6">
        <f t="shared" si="22"/>
        <v>-10</v>
      </c>
      <c r="M105" s="3"/>
      <c r="N105" s="7">
        <f t="shared" si="23"/>
        <v>-1</v>
      </c>
      <c r="O105" s="9"/>
      <c r="P105" s="6">
        <v>852.79</v>
      </c>
      <c r="Q105" s="3"/>
      <c r="R105" s="7">
        <f t="shared" si="24"/>
        <v>1.6713906578040663E-4</v>
      </c>
      <c r="S105" s="3"/>
      <c r="T105" s="6">
        <v>240</v>
      </c>
      <c r="U105" s="3"/>
      <c r="V105" s="7">
        <f t="shared" si="25"/>
        <v>7.4554328204927487E-5</v>
      </c>
      <c r="W105" s="3"/>
      <c r="X105" s="6">
        <f t="shared" si="26"/>
        <v>612.79</v>
      </c>
      <c r="Y105" s="3"/>
      <c r="Z105" s="7">
        <f t="shared" si="27"/>
        <v>2.5532916666666665</v>
      </c>
    </row>
    <row r="106" spans="1:26" s="70" customFormat="1" ht="15" hidden="1" customHeight="1" outlineLevel="2" x14ac:dyDescent="0.3">
      <c r="A106" s="21"/>
      <c r="B106" s="9" t="str">
        <f>CONCATENATE("          ","6241"," - ","OFFICE EXPENSE")</f>
        <v xml:space="preserve">          6241 - OFFICE EXPENSE</v>
      </c>
      <c r="C106" s="9"/>
      <c r="D106" s="6">
        <v>577.83000000000004</v>
      </c>
      <c r="E106" s="3"/>
      <c r="F106" s="7">
        <f t="shared" ref="F106:F117" si="28">IF(D$12=0,0,D106/D$12)</f>
        <v>2.0457559229755179E-3</v>
      </c>
      <c r="G106" s="3"/>
      <c r="H106" s="6">
        <v>45</v>
      </c>
      <c r="I106" s="3"/>
      <c r="J106" s="7">
        <f t="shared" ref="J106:J117" si="29">IF(H$12=0,0,H106/H$12)</f>
        <v>1.7618799650756238E-4</v>
      </c>
      <c r="K106" s="3"/>
      <c r="L106" s="6">
        <f t="shared" ref="L106:L117" si="30">+D106-H106</f>
        <v>532.83000000000004</v>
      </c>
      <c r="M106" s="3"/>
      <c r="N106" s="7">
        <f t="shared" ref="N106:N117" si="31">IF(H106=0,0,L106/H106)</f>
        <v>11.840666666666667</v>
      </c>
      <c r="O106" s="9"/>
      <c r="P106" s="6">
        <v>3052.68</v>
      </c>
      <c r="Q106" s="3"/>
      <c r="R106" s="7">
        <f t="shared" ref="R106:R117" si="32">IF(P$12=0,0,P106/P$12)</f>
        <v>5.9829745110347415E-4</v>
      </c>
      <c r="S106" s="3"/>
      <c r="T106" s="6">
        <v>540</v>
      </c>
      <c r="U106" s="3"/>
      <c r="V106" s="7">
        <f t="shared" ref="V106:V117" si="33">IF(T$12=0,0,T106/T$12)</f>
        <v>1.6774723846108683E-4</v>
      </c>
      <c r="W106" s="3"/>
      <c r="X106" s="6">
        <f t="shared" ref="X106:X117" si="34">+P106-T106</f>
        <v>2512.6799999999998</v>
      </c>
      <c r="Y106" s="3"/>
      <c r="Z106" s="7">
        <f t="shared" ref="Z106:Z117" si="35">IF(T106=0,0,X106/T106)</f>
        <v>4.6531111111111105</v>
      </c>
    </row>
    <row r="107" spans="1:26" s="70" customFormat="1" ht="15" hidden="1" customHeight="1" outlineLevel="2" x14ac:dyDescent="0.3">
      <c r="A107" s="21"/>
      <c r="B107" s="9" t="str">
        <f>CONCATENATE("          ","6245"," - ","PRINTING")</f>
        <v xml:space="preserve">          6245 - PRINTING</v>
      </c>
      <c r="C107" s="9"/>
      <c r="D107" s="6"/>
      <c r="E107" s="3"/>
      <c r="F107" s="7">
        <f t="shared" si="28"/>
        <v>0</v>
      </c>
      <c r="G107" s="3"/>
      <c r="H107" s="6"/>
      <c r="I107" s="3"/>
      <c r="J107" s="7">
        <f t="shared" si="29"/>
        <v>0</v>
      </c>
      <c r="K107" s="3"/>
      <c r="L107" s="6">
        <f t="shared" si="30"/>
        <v>0</v>
      </c>
      <c r="M107" s="3"/>
      <c r="N107" s="7">
        <f t="shared" si="31"/>
        <v>0</v>
      </c>
      <c r="O107" s="9"/>
      <c r="P107" s="6">
        <v>35.549999999999997</v>
      </c>
      <c r="Q107" s="3"/>
      <c r="R107" s="7">
        <f t="shared" si="32"/>
        <v>6.9674759184482175E-6</v>
      </c>
      <c r="S107" s="3"/>
      <c r="T107" s="6"/>
      <c r="U107" s="3"/>
      <c r="V107" s="7">
        <f t="shared" si="33"/>
        <v>0</v>
      </c>
      <c r="W107" s="3"/>
      <c r="X107" s="6">
        <f t="shared" si="34"/>
        <v>35.549999999999997</v>
      </c>
      <c r="Y107" s="3"/>
      <c r="Z107" s="7">
        <f t="shared" si="35"/>
        <v>0</v>
      </c>
    </row>
    <row r="108" spans="1:26" s="70" customFormat="1" ht="15" hidden="1" customHeight="1" outlineLevel="2" x14ac:dyDescent="0.3">
      <c r="A108" s="21"/>
      <c r="B108" s="9" t="str">
        <f>CONCATENATE("          ","6247"," - ","STORE SUPPLIES")</f>
        <v xml:space="preserve">          6247 - STORE SUPPLIES</v>
      </c>
      <c r="C108" s="9"/>
      <c r="D108" s="6">
        <v>1151.75</v>
      </c>
      <c r="E108" s="3"/>
      <c r="F108" s="7">
        <f t="shared" si="28"/>
        <v>4.077668837351907E-3</v>
      </c>
      <c r="G108" s="3"/>
      <c r="H108" s="6">
        <v>50</v>
      </c>
      <c r="I108" s="3"/>
      <c r="J108" s="7">
        <f t="shared" si="29"/>
        <v>1.9576444056395819E-4</v>
      </c>
      <c r="K108" s="3"/>
      <c r="L108" s="6">
        <f t="shared" si="30"/>
        <v>1101.75</v>
      </c>
      <c r="M108" s="3"/>
      <c r="N108" s="7">
        <f t="shared" si="31"/>
        <v>22.035</v>
      </c>
      <c r="O108" s="9"/>
      <c r="P108" s="6">
        <v>11116.21</v>
      </c>
      <c r="Q108" s="3"/>
      <c r="R108" s="7">
        <f t="shared" si="32"/>
        <v>2.1786758222057177E-3</v>
      </c>
      <c r="S108" s="3"/>
      <c r="T108" s="6">
        <v>600</v>
      </c>
      <c r="U108" s="3"/>
      <c r="V108" s="7">
        <f t="shared" si="33"/>
        <v>1.8638582051231872E-4</v>
      </c>
      <c r="W108" s="3"/>
      <c r="X108" s="6">
        <f t="shared" si="34"/>
        <v>10516.21</v>
      </c>
      <c r="Y108" s="3"/>
      <c r="Z108" s="7">
        <f t="shared" si="35"/>
        <v>17.527016666666665</v>
      </c>
    </row>
    <row r="109" spans="1:26" s="69" customFormat="1" ht="15" customHeight="1" outlineLevel="1" collapsed="1" x14ac:dyDescent="0.3">
      <c r="A109" s="20"/>
      <c r="B109" s="11" t="str">
        <f>CONCATENATE("     ","Telephone/Data Lines                              ")</f>
        <v xml:space="preserve">     Telephone/Data Lines                              </v>
      </c>
      <c r="C109" s="11"/>
      <c r="D109" s="2">
        <f>SUM(OSRRefD22_19x_0)</f>
        <v>553.59</v>
      </c>
      <c r="E109" s="2"/>
      <c r="F109" s="5">
        <f t="shared" si="28"/>
        <v>1.9599363504837356E-3</v>
      </c>
      <c r="G109" s="2"/>
      <c r="H109" s="2">
        <f>SUM(OSRRefH22_19x_0)</f>
        <v>550</v>
      </c>
      <c r="I109" s="2"/>
      <c r="J109" s="5">
        <f t="shared" si="29"/>
        <v>2.1534088462035403E-3</v>
      </c>
      <c r="K109" s="2"/>
      <c r="L109" s="2">
        <f t="shared" si="30"/>
        <v>3.5900000000000318</v>
      </c>
      <c r="M109" s="2"/>
      <c r="N109" s="5">
        <f t="shared" si="31"/>
        <v>6.5272727272727852E-3</v>
      </c>
      <c r="O109" s="11"/>
      <c r="P109" s="2">
        <f>SUM(OSRRefP22_19x_0)</f>
        <v>6541.68</v>
      </c>
      <c r="Q109" s="2"/>
      <c r="R109" s="5">
        <f t="shared" si="32"/>
        <v>1.2821096446186874E-3</v>
      </c>
      <c r="S109" s="2"/>
      <c r="T109" s="2">
        <f>SUM(OSRRefT22_19x_0)</f>
        <v>6600</v>
      </c>
      <c r="U109" s="2"/>
      <c r="V109" s="5">
        <f t="shared" si="33"/>
        <v>2.0502440256355055E-3</v>
      </c>
      <c r="W109" s="2"/>
      <c r="X109" s="2">
        <f t="shared" si="34"/>
        <v>-58.319999999999709</v>
      </c>
      <c r="Y109" s="2"/>
      <c r="Z109" s="5">
        <f t="shared" si="35"/>
        <v>-8.8363636363635919E-3</v>
      </c>
    </row>
    <row r="110" spans="1:26" s="70" customFormat="1" ht="15" hidden="1" customHeight="1" outlineLevel="2" x14ac:dyDescent="0.3">
      <c r="A110" s="21"/>
      <c r="B110" s="9" t="str">
        <f>CONCATENATE("          ","6309"," - ","TELEPHONE")</f>
        <v xml:space="preserve">          6309 - TELEPHONE</v>
      </c>
      <c r="C110" s="9"/>
      <c r="D110" s="6">
        <v>553.59</v>
      </c>
      <c r="E110" s="3"/>
      <c r="F110" s="7">
        <f t="shared" si="28"/>
        <v>1.9599363504837356E-3</v>
      </c>
      <c r="G110" s="3"/>
      <c r="H110" s="6">
        <v>550</v>
      </c>
      <c r="I110" s="3"/>
      <c r="J110" s="7">
        <f t="shared" si="29"/>
        <v>2.1534088462035403E-3</v>
      </c>
      <c r="K110" s="3"/>
      <c r="L110" s="6">
        <f t="shared" si="30"/>
        <v>3.5900000000000318</v>
      </c>
      <c r="M110" s="3"/>
      <c r="N110" s="7">
        <f t="shared" si="31"/>
        <v>6.5272727272727852E-3</v>
      </c>
      <c r="O110" s="9"/>
      <c r="P110" s="6">
        <v>6541.68</v>
      </c>
      <c r="Q110" s="3"/>
      <c r="R110" s="7">
        <f t="shared" si="32"/>
        <v>1.2821096446186874E-3</v>
      </c>
      <c r="S110" s="3"/>
      <c r="T110" s="6">
        <v>6600</v>
      </c>
      <c r="U110" s="3"/>
      <c r="V110" s="7">
        <f t="shared" si="33"/>
        <v>2.0502440256355055E-3</v>
      </c>
      <c r="W110" s="3"/>
      <c r="X110" s="6">
        <f t="shared" si="34"/>
        <v>-58.319999999999709</v>
      </c>
      <c r="Y110" s="3"/>
      <c r="Z110" s="7">
        <f t="shared" si="35"/>
        <v>-8.8363636363635919E-3</v>
      </c>
    </row>
    <row r="111" spans="1:26" s="69" customFormat="1" ht="15" customHeight="1" outlineLevel="1" collapsed="1" x14ac:dyDescent="0.3">
      <c r="A111" s="20"/>
      <c r="B111" s="11" t="str">
        <f>CONCATENATE("     ","Training                                          ")</f>
        <v xml:space="preserve">     Training                                          </v>
      </c>
      <c r="C111" s="11"/>
      <c r="D111" s="2">
        <f>SUM(OSRRefD22_20x_0)</f>
        <v>0</v>
      </c>
      <c r="E111" s="2"/>
      <c r="F111" s="5">
        <f t="shared" si="28"/>
        <v>0</v>
      </c>
      <c r="G111" s="2"/>
      <c r="H111" s="2">
        <f>SUM(OSRRefH22_20x_0)</f>
        <v>0</v>
      </c>
      <c r="I111" s="2"/>
      <c r="J111" s="5">
        <f t="shared" si="29"/>
        <v>0</v>
      </c>
      <c r="K111" s="2"/>
      <c r="L111" s="2">
        <f t="shared" si="30"/>
        <v>0</v>
      </c>
      <c r="M111" s="2"/>
      <c r="N111" s="5">
        <f t="shared" si="31"/>
        <v>0</v>
      </c>
      <c r="O111" s="11"/>
      <c r="P111" s="2">
        <f>SUM(OSRRefP22_20x_0)</f>
        <v>300</v>
      </c>
      <c r="Q111" s="2"/>
      <c r="R111" s="5">
        <f t="shared" si="32"/>
        <v>5.8797265134584121E-5</v>
      </c>
      <c r="S111" s="2"/>
      <c r="T111" s="2">
        <f>SUM(OSRRefT22_20x_0)</f>
        <v>0</v>
      </c>
      <c r="U111" s="2"/>
      <c r="V111" s="5">
        <f t="shared" si="33"/>
        <v>0</v>
      </c>
      <c r="W111" s="2"/>
      <c r="X111" s="2">
        <f t="shared" si="34"/>
        <v>300</v>
      </c>
      <c r="Y111" s="2"/>
      <c r="Z111" s="5">
        <f t="shared" si="35"/>
        <v>0</v>
      </c>
    </row>
    <row r="112" spans="1:26" s="70" customFormat="1" ht="15" hidden="1" customHeight="1" outlineLevel="2" x14ac:dyDescent="0.3">
      <c r="A112" s="21"/>
      <c r="B112" s="9" t="str">
        <f>CONCATENATE("          ","6376"," - ","TRAINING")</f>
        <v xml:space="preserve">          6376 - TRAINING</v>
      </c>
      <c r="C112" s="9"/>
      <c r="D112" s="6"/>
      <c r="E112" s="3"/>
      <c r="F112" s="7">
        <f t="shared" si="28"/>
        <v>0</v>
      </c>
      <c r="G112" s="3"/>
      <c r="H112" s="6"/>
      <c r="I112" s="3"/>
      <c r="J112" s="7">
        <f t="shared" si="29"/>
        <v>0</v>
      </c>
      <c r="K112" s="3"/>
      <c r="L112" s="6">
        <f t="shared" si="30"/>
        <v>0</v>
      </c>
      <c r="M112" s="3"/>
      <c r="N112" s="7">
        <f t="shared" si="31"/>
        <v>0</v>
      </c>
      <c r="O112" s="9"/>
      <c r="P112" s="6">
        <v>300</v>
      </c>
      <c r="Q112" s="3"/>
      <c r="R112" s="7">
        <f t="shared" si="32"/>
        <v>5.8797265134584121E-5</v>
      </c>
      <c r="S112" s="3"/>
      <c r="T112" s="6"/>
      <c r="U112" s="3"/>
      <c r="V112" s="7">
        <f t="shared" si="33"/>
        <v>0</v>
      </c>
      <c r="W112" s="3"/>
      <c r="X112" s="6">
        <f t="shared" si="34"/>
        <v>300</v>
      </c>
      <c r="Y112" s="3"/>
      <c r="Z112" s="7">
        <f t="shared" si="35"/>
        <v>0</v>
      </c>
    </row>
    <row r="113" spans="1:26" s="69" customFormat="1" ht="15" customHeight="1" outlineLevel="1" collapsed="1" x14ac:dyDescent="0.3">
      <c r="A113" s="20"/>
      <c r="B113" s="11" t="str">
        <f>CONCATENATE("     ","Travel                                            ")</f>
        <v xml:space="preserve">     Travel                                            </v>
      </c>
      <c r="C113" s="11"/>
      <c r="D113" s="2">
        <f>SUM(OSRRefD22_21x_0)</f>
        <v>1017.65</v>
      </c>
      <c r="E113" s="2"/>
      <c r="F113" s="5">
        <f t="shared" si="28"/>
        <v>3.6028996677500915E-3</v>
      </c>
      <c r="G113" s="2"/>
      <c r="H113" s="2">
        <f>SUM(OSRRefH22_21x_0)</f>
        <v>50</v>
      </c>
      <c r="I113" s="2"/>
      <c r="J113" s="5">
        <f t="shared" si="29"/>
        <v>1.9576444056395819E-4</v>
      </c>
      <c r="K113" s="2"/>
      <c r="L113" s="2">
        <f t="shared" si="30"/>
        <v>967.65</v>
      </c>
      <c r="M113" s="2"/>
      <c r="N113" s="5">
        <f t="shared" si="31"/>
        <v>19.352999999999998</v>
      </c>
      <c r="O113" s="11"/>
      <c r="P113" s="2">
        <f>SUM(OSRRefP22_21x_0)</f>
        <v>1608.28</v>
      </c>
      <c r="Q113" s="2"/>
      <c r="R113" s="5">
        <f t="shared" si="32"/>
        <v>3.1520821856882985E-4</v>
      </c>
      <c r="S113" s="2"/>
      <c r="T113" s="2">
        <f>SUM(OSRRefT22_21x_0)</f>
        <v>850</v>
      </c>
      <c r="U113" s="2"/>
      <c r="V113" s="5">
        <f t="shared" si="33"/>
        <v>2.6404657905911819E-4</v>
      </c>
      <c r="W113" s="2"/>
      <c r="X113" s="2">
        <f t="shared" si="34"/>
        <v>758.28</v>
      </c>
      <c r="Y113" s="2"/>
      <c r="Z113" s="5">
        <f t="shared" si="35"/>
        <v>0.89209411764705882</v>
      </c>
    </row>
    <row r="114" spans="1:26" s="70" customFormat="1" ht="15" hidden="1" customHeight="1" outlineLevel="2" x14ac:dyDescent="0.3">
      <c r="A114" s="21"/>
      <c r="B114" s="9" t="str">
        <f>CONCATENATE("          ","6294"," - ","TRAVEL OPERATIONAL")</f>
        <v xml:space="preserve">          6294 - TRAVEL OPERATIONAL</v>
      </c>
      <c r="C114" s="9"/>
      <c r="D114" s="6">
        <v>1017.65</v>
      </c>
      <c r="E114" s="3"/>
      <c r="F114" s="7">
        <f t="shared" si="28"/>
        <v>3.6028996677500915E-3</v>
      </c>
      <c r="G114" s="3"/>
      <c r="H114" s="6">
        <v>25</v>
      </c>
      <c r="I114" s="3"/>
      <c r="J114" s="7">
        <f t="shared" si="29"/>
        <v>9.7882220281979095E-5</v>
      </c>
      <c r="K114" s="3"/>
      <c r="L114" s="6">
        <f t="shared" si="30"/>
        <v>992.65</v>
      </c>
      <c r="M114" s="3"/>
      <c r="N114" s="7">
        <f t="shared" si="31"/>
        <v>39.705999999999996</v>
      </c>
      <c r="O114" s="9"/>
      <c r="P114" s="6">
        <v>1608.28</v>
      </c>
      <c r="Q114" s="3"/>
      <c r="R114" s="7">
        <f t="shared" si="32"/>
        <v>3.1520821856882985E-4</v>
      </c>
      <c r="S114" s="3"/>
      <c r="T114" s="6">
        <v>300</v>
      </c>
      <c r="U114" s="3"/>
      <c r="V114" s="7">
        <f t="shared" si="33"/>
        <v>9.3192910256159359E-5</v>
      </c>
      <c r="W114" s="3"/>
      <c r="X114" s="6">
        <f t="shared" si="34"/>
        <v>1308.28</v>
      </c>
      <c r="Y114" s="3"/>
      <c r="Z114" s="7">
        <f t="shared" si="35"/>
        <v>4.3609333333333336</v>
      </c>
    </row>
    <row r="115" spans="1:26" s="70" customFormat="1" ht="15" hidden="1" customHeight="1" outlineLevel="2" x14ac:dyDescent="0.3">
      <c r="A115" s="21"/>
      <c r="B115" s="9" t="str">
        <f>CONCATENATE("          ","6298"," - ","VEHICLE MILEAGE")</f>
        <v xml:space="preserve">          6298 - VEHICLE MILEAGE</v>
      </c>
      <c r="C115" s="9"/>
      <c r="D115" s="6"/>
      <c r="E115" s="3"/>
      <c r="F115" s="7">
        <f t="shared" si="28"/>
        <v>0</v>
      </c>
      <c r="G115" s="3"/>
      <c r="H115" s="6">
        <v>25</v>
      </c>
      <c r="I115" s="3"/>
      <c r="J115" s="7">
        <f t="shared" si="29"/>
        <v>9.7882220281979095E-5</v>
      </c>
      <c r="K115" s="3"/>
      <c r="L115" s="6">
        <f t="shared" si="30"/>
        <v>-25</v>
      </c>
      <c r="M115" s="3"/>
      <c r="N115" s="7">
        <f t="shared" si="31"/>
        <v>-1</v>
      </c>
      <c r="O115" s="9"/>
      <c r="P115" s="6"/>
      <c r="Q115" s="3"/>
      <c r="R115" s="7">
        <f t="shared" si="32"/>
        <v>0</v>
      </c>
      <c r="S115" s="3"/>
      <c r="T115" s="6">
        <v>550</v>
      </c>
      <c r="U115" s="3"/>
      <c r="V115" s="7">
        <f t="shared" si="33"/>
        <v>1.7085366880295881E-4</v>
      </c>
      <c r="W115" s="3"/>
      <c r="X115" s="6">
        <f t="shared" si="34"/>
        <v>-550</v>
      </c>
      <c r="Y115" s="3"/>
      <c r="Z115" s="7">
        <f t="shared" si="35"/>
        <v>-1</v>
      </c>
    </row>
    <row r="116" spans="1:26" s="69" customFormat="1" ht="15" customHeight="1" outlineLevel="1" collapsed="1" x14ac:dyDescent="0.3">
      <c r="A116" s="20"/>
      <c r="B116" s="11" t="str">
        <f>CONCATENATE("     ","Utilities                                         ")</f>
        <v xml:space="preserve">     Utilities                                         </v>
      </c>
      <c r="C116" s="11"/>
      <c r="D116" s="2">
        <f>SUM(OSRRefD22_22x_0)</f>
        <v>26.49</v>
      </c>
      <c r="E116" s="2"/>
      <c r="F116" s="5">
        <f t="shared" si="28"/>
        <v>9.3785498156242247E-5</v>
      </c>
      <c r="G116" s="2"/>
      <c r="H116" s="2">
        <f>SUM(OSRRefH22_22x_0)</f>
        <v>120</v>
      </c>
      <c r="I116" s="2"/>
      <c r="J116" s="5">
        <f t="shared" si="29"/>
        <v>4.6983465735349968E-4</v>
      </c>
      <c r="K116" s="2"/>
      <c r="L116" s="2">
        <f t="shared" si="30"/>
        <v>-93.51</v>
      </c>
      <c r="M116" s="2"/>
      <c r="N116" s="5">
        <f t="shared" si="31"/>
        <v>-0.77925</v>
      </c>
      <c r="O116" s="11"/>
      <c r="P116" s="2">
        <f>SUM(OSRRefP22_22x_0)</f>
        <v>1330.38</v>
      </c>
      <c r="Q116" s="2"/>
      <c r="R116" s="5">
        <f t="shared" si="32"/>
        <v>2.6074235196582677E-4</v>
      </c>
      <c r="S116" s="2"/>
      <c r="T116" s="2">
        <f>SUM(OSRRefT22_22x_0)</f>
        <v>4120</v>
      </c>
      <c r="U116" s="2"/>
      <c r="V116" s="5">
        <f t="shared" si="33"/>
        <v>1.2798493008512552E-3</v>
      </c>
      <c r="W116" s="2"/>
      <c r="X116" s="2">
        <f t="shared" si="34"/>
        <v>-2789.62</v>
      </c>
      <c r="Y116" s="2"/>
      <c r="Z116" s="5">
        <f t="shared" si="35"/>
        <v>-0.67709223300970867</v>
      </c>
    </row>
    <row r="117" spans="1:26" s="70" customFormat="1" ht="15" hidden="1" customHeight="1" outlineLevel="2" x14ac:dyDescent="0.3">
      <c r="A117" s="21"/>
      <c r="B117" s="9" t="str">
        <f>CONCATENATE("          ","6274"," - ","UTILITIES")</f>
        <v xml:space="preserve">          6274 - UTILITIES</v>
      </c>
      <c r="C117" s="9"/>
      <c r="D117" s="6">
        <v>26.49</v>
      </c>
      <c r="E117" s="3"/>
      <c r="F117" s="7">
        <f t="shared" si="28"/>
        <v>9.3785498156242247E-5</v>
      </c>
      <c r="G117" s="3"/>
      <c r="H117" s="6">
        <v>120</v>
      </c>
      <c r="I117" s="3"/>
      <c r="J117" s="7">
        <f t="shared" si="29"/>
        <v>4.6983465735349968E-4</v>
      </c>
      <c r="K117" s="3"/>
      <c r="L117" s="6">
        <f t="shared" si="30"/>
        <v>-93.51</v>
      </c>
      <c r="M117" s="3"/>
      <c r="N117" s="7">
        <f t="shared" si="31"/>
        <v>-0.77925</v>
      </c>
      <c r="O117" s="9"/>
      <c r="P117" s="6">
        <v>1330.38</v>
      </c>
      <c r="Q117" s="3"/>
      <c r="R117" s="7">
        <f t="shared" si="32"/>
        <v>2.6074235196582677E-4</v>
      </c>
      <c r="S117" s="3"/>
      <c r="T117" s="6">
        <v>4120</v>
      </c>
      <c r="U117" s="3"/>
      <c r="V117" s="7">
        <f t="shared" si="33"/>
        <v>1.2798493008512552E-3</v>
      </c>
      <c r="W117" s="3"/>
      <c r="X117" s="6">
        <f t="shared" si="34"/>
        <v>-2789.62</v>
      </c>
      <c r="Y117" s="3"/>
      <c r="Z117" s="7">
        <f t="shared" si="35"/>
        <v>-0.67709223300970867</v>
      </c>
    </row>
    <row r="118" spans="1:26" s="65" customFormat="1" ht="15" customHeight="1" x14ac:dyDescent="0.3">
      <c r="A118" s="36"/>
      <c r="B118" s="36"/>
      <c r="C118" s="36"/>
      <c r="D118" s="2"/>
      <c r="E118" s="2"/>
      <c r="F118" s="5"/>
      <c r="G118" s="2"/>
      <c r="H118" s="2"/>
      <c r="I118" s="2"/>
      <c r="J118" s="5"/>
      <c r="K118" s="2"/>
      <c r="L118" s="2"/>
      <c r="M118" s="2"/>
      <c r="N118" s="5"/>
      <c r="O118" s="36"/>
      <c r="P118" s="2"/>
      <c r="Q118" s="2"/>
      <c r="R118" s="5"/>
      <c r="S118" s="2"/>
      <c r="T118" s="2"/>
      <c r="U118" s="2"/>
      <c r="V118" s="5"/>
      <c r="W118" s="2"/>
      <c r="X118" s="2"/>
      <c r="Y118" s="2"/>
      <c r="Z118" s="5"/>
    </row>
    <row r="119" spans="1:26" s="63" customFormat="1" ht="15" customHeight="1" collapsed="1" x14ac:dyDescent="0.3">
      <c r="A119" s="13"/>
      <c r="B119" s="28" t="s">
        <v>291</v>
      </c>
      <c r="C119" s="13"/>
      <c r="D119" s="8">
        <f>SUM(OSRRefD25x_0)</f>
        <v>18080.689999999999</v>
      </c>
      <c r="E119" s="8"/>
      <c r="F119" s="14">
        <f>IF(D$12=0,0,D119/D$12)</f>
        <v>6.4013081112064468E-2</v>
      </c>
      <c r="G119" s="8"/>
      <c r="H119" s="8">
        <f>SUM(OSRRefH25x_0)</f>
        <v>208334</v>
      </c>
      <c r="I119" s="8"/>
      <c r="J119" s="14">
        <f>IF(H$12=0,0,H119/H$12)</f>
        <v>0.81568777920903335</v>
      </c>
      <c r="K119" s="8"/>
      <c r="L119" s="8">
        <f>+D119-H119</f>
        <v>-190253.31</v>
      </c>
      <c r="M119" s="8"/>
      <c r="N119" s="14">
        <f>IF(H119=0,0,L119/H119)</f>
        <v>-0.91321296571850974</v>
      </c>
      <c r="O119" s="13"/>
      <c r="P119" s="8">
        <f>SUM(OSRRefP25x_0)</f>
        <v>770455.72</v>
      </c>
      <c r="Q119" s="8"/>
      <c r="R119" s="14">
        <f>IF(P$12=0,0,P119/P$12)</f>
        <v>0.15100229747765634</v>
      </c>
      <c r="S119" s="8"/>
      <c r="T119" s="8">
        <f>SUM(OSRRefT25x_0)</f>
        <v>652006</v>
      </c>
      <c r="U119" s="8"/>
      <c r="V119" s="14">
        <f>IF(T$12=0,0,T119/T$12)</f>
        <v>0.20254112214825812</v>
      </c>
      <c r="W119" s="8"/>
      <c r="X119" s="8">
        <f>+P119-T119</f>
        <v>118449.71999999997</v>
      </c>
      <c r="Y119" s="8"/>
      <c r="Z119" s="14">
        <f>IF(T119=0,0,X119/T119)</f>
        <v>0.18166967788639979</v>
      </c>
    </row>
    <row r="120" spans="1:26" s="70" customFormat="1" ht="15" hidden="1" customHeight="1" outlineLevel="1" x14ac:dyDescent="0.3">
      <c r="A120" s="48"/>
      <c r="B120" s="9" t="str">
        <f>CONCATENATE("          ","9150"," - ","MISC. INCOME")</f>
        <v xml:space="preserve">          9150 - MISC. INCOME</v>
      </c>
      <c r="C120" s="9"/>
      <c r="D120" s="3">
        <f>--78.19</f>
        <v>78.19</v>
      </c>
      <c r="E120" s="3"/>
      <c r="F120" s="26">
        <f>IF(D$12=0,0,D120/D$12)</f>
        <v>2.7682476786850061E-4</v>
      </c>
      <c r="G120" s="3"/>
      <c r="H120" s="3">
        <v>0</v>
      </c>
      <c r="I120" s="3"/>
      <c r="J120" s="26">
        <f>IF(H$12=0,0,H120/H$12)</f>
        <v>0</v>
      </c>
      <c r="K120" s="3"/>
      <c r="L120" s="3">
        <f>+D120-H120</f>
        <v>78.19</v>
      </c>
      <c r="M120" s="3"/>
      <c r="N120" s="26">
        <f>IF(H120=0,0,L120/H120)</f>
        <v>0</v>
      </c>
      <c r="O120" s="9"/>
      <c r="P120" s="3">
        <f>--110983.52</f>
        <v>110983.52</v>
      </c>
      <c r="Q120" s="3"/>
      <c r="R120" s="26">
        <f>IF(P$12=0,0,P120/P$12)</f>
        <v>2.1751758170031398E-2</v>
      </c>
      <c r="S120" s="3"/>
      <c r="T120" s="3">
        <v>77006</v>
      </c>
      <c r="U120" s="3"/>
      <c r="V120" s="26">
        <f>IF(T$12=0,0,T120/T$12)</f>
        <v>2.3921377490619358E-2</v>
      </c>
      <c r="W120" s="3"/>
      <c r="X120" s="3">
        <f>+P120-T120</f>
        <v>33977.520000000004</v>
      </c>
      <c r="Y120" s="3"/>
      <c r="Z120" s="26">
        <f>IF(T120=0,0,X120/T120)</f>
        <v>0.44123211178349742</v>
      </c>
    </row>
    <row r="121" spans="1:26" s="70" customFormat="1" ht="15" hidden="1" customHeight="1" outlineLevel="1" x14ac:dyDescent="0.3">
      <c r="A121" s="48"/>
      <c r="B121" s="9" t="str">
        <f>CONCATENATE("          ","9151"," - ","MISC. INCOME")</f>
        <v xml:space="preserve">          9151 - MISC. INCOME</v>
      </c>
      <c r="C121" s="9"/>
      <c r="D121" s="3">
        <f>0</f>
        <v>0</v>
      </c>
      <c r="E121" s="3"/>
      <c r="F121" s="26">
        <f>IF(D$12=0,0,D121/D$12)</f>
        <v>0</v>
      </c>
      <c r="G121" s="3"/>
      <c r="H121" s="3">
        <v>150000</v>
      </c>
      <c r="I121" s="3"/>
      <c r="J121" s="26">
        <f>IF(H$12=0,0,H121/H$12)</f>
        <v>0.58729332169187465</v>
      </c>
      <c r="K121" s="3"/>
      <c r="L121" s="3">
        <f>+D121-H121</f>
        <v>-150000</v>
      </c>
      <c r="M121" s="3"/>
      <c r="N121" s="26">
        <f>IF(H121=0,0,L121/H121)</f>
        <v>-1</v>
      </c>
      <c r="O121" s="9"/>
      <c r="P121" s="3">
        <f>0</f>
        <v>0</v>
      </c>
      <c r="Q121" s="3"/>
      <c r="R121" s="26">
        <f>IF(P$12=0,0,P121/P$12)</f>
        <v>0</v>
      </c>
      <c r="S121" s="3"/>
      <c r="T121" s="3">
        <v>400000</v>
      </c>
      <c r="U121" s="3"/>
      <c r="V121" s="26">
        <f>IF(T$12=0,0,T121/T$12)</f>
        <v>0.12425721367487913</v>
      </c>
      <c r="W121" s="3"/>
      <c r="X121" s="3">
        <f>+P121-T121</f>
        <v>-400000</v>
      </c>
      <c r="Y121" s="3"/>
      <c r="Z121" s="26">
        <f>IF(T121=0,0,X121/T121)</f>
        <v>-1</v>
      </c>
    </row>
    <row r="122" spans="1:26" s="70" customFormat="1" ht="15" hidden="1" customHeight="1" outlineLevel="1" x14ac:dyDescent="0.3">
      <c r="A122" s="48"/>
      <c r="B122" s="9" t="str">
        <f>CONCATENATE("          ","9160"," - ","MISC. INCOME")</f>
        <v xml:space="preserve">          9160 - MISC. INCOME</v>
      </c>
      <c r="C122" s="9"/>
      <c r="D122" s="3">
        <f>0</f>
        <v>0</v>
      </c>
      <c r="E122" s="3"/>
      <c r="F122" s="26">
        <f>IF(D$12=0,0,D122/D$12)</f>
        <v>0</v>
      </c>
      <c r="G122" s="3"/>
      <c r="H122" s="3">
        <v>58334</v>
      </c>
      <c r="I122" s="3"/>
      <c r="J122" s="26">
        <f>IF(H$12=0,0,H122/H$12)</f>
        <v>0.22839445751715876</v>
      </c>
      <c r="K122" s="3"/>
      <c r="L122" s="3">
        <f>+D122-H122</f>
        <v>-58334</v>
      </c>
      <c r="M122" s="3"/>
      <c r="N122" s="26">
        <f>IF(H122=0,0,L122/H122)</f>
        <v>-1</v>
      </c>
      <c r="O122" s="9"/>
      <c r="P122" s="3">
        <f>0</f>
        <v>0</v>
      </c>
      <c r="Q122" s="3"/>
      <c r="R122" s="26">
        <f>IF(P$12=0,0,P122/P$12)</f>
        <v>0</v>
      </c>
      <c r="S122" s="3"/>
      <c r="T122" s="3">
        <v>175000</v>
      </c>
      <c r="U122" s="3"/>
      <c r="V122" s="26">
        <f>IF(T$12=0,0,T122/T$12)</f>
        <v>5.4362530982759623E-2</v>
      </c>
      <c r="W122" s="3"/>
      <c r="X122" s="3">
        <f>+P122-T122</f>
        <v>-175000</v>
      </c>
      <c r="Y122" s="3"/>
      <c r="Z122" s="26">
        <f>IF(T122=0,0,X122/T122)</f>
        <v>-1</v>
      </c>
    </row>
    <row r="123" spans="1:26" s="70" customFormat="1" ht="15" hidden="1" customHeight="1" outlineLevel="1" x14ac:dyDescent="0.3">
      <c r="A123" s="48"/>
      <c r="B123" s="9" t="str">
        <f>CONCATENATE("          ","9163"," - ","MISC. INCOME")</f>
        <v xml:space="preserve">          9163 - MISC. INCOME</v>
      </c>
      <c r="C123" s="9"/>
      <c r="D123" s="3">
        <f>--18002.5</f>
        <v>18002.5</v>
      </c>
      <c r="E123" s="3"/>
      <c r="F123" s="26">
        <f>IF(D$12=0,0,D123/D$12)</f>
        <v>6.3736256344195968E-2</v>
      </c>
      <c r="G123" s="3"/>
      <c r="H123" s="3"/>
      <c r="I123" s="3"/>
      <c r="J123" s="26">
        <f>IF(H$12=0,0,H123/H$12)</f>
        <v>0</v>
      </c>
      <c r="K123" s="3"/>
      <c r="L123" s="3">
        <f>+D123-H123</f>
        <v>18002.5</v>
      </c>
      <c r="M123" s="3"/>
      <c r="N123" s="26">
        <f>IF(H123=0,0,L123/H123)</f>
        <v>0</v>
      </c>
      <c r="O123" s="9"/>
      <c r="P123" s="3">
        <f>--659472.2</f>
        <v>659472.19999999995</v>
      </c>
      <c r="Q123" s="3"/>
      <c r="R123" s="26">
        <f>IF(P$12=0,0,P123/P$12)</f>
        <v>0.12925053930762495</v>
      </c>
      <c r="S123" s="3"/>
      <c r="T123" s="3"/>
      <c r="U123" s="3"/>
      <c r="V123" s="26">
        <f>IF(T$12=0,0,T123/T$12)</f>
        <v>0</v>
      </c>
      <c r="W123" s="3"/>
      <c r="X123" s="3">
        <f>+P123-T123</f>
        <v>659472.19999999995</v>
      </c>
      <c r="Y123" s="3"/>
      <c r="Z123" s="26">
        <f>IF(T123=0,0,X123/T123)</f>
        <v>0</v>
      </c>
    </row>
    <row r="124" spans="1:26" ht="15" customHeight="1" x14ac:dyDescent="0.3">
      <c r="A124" s="12"/>
      <c r="B124" s="13"/>
      <c r="C124" s="13"/>
      <c r="D124" s="4"/>
      <c r="E124" s="4"/>
      <c r="F124" s="10"/>
      <c r="G124" s="4"/>
      <c r="H124" s="4"/>
      <c r="I124" s="4"/>
      <c r="J124" s="10"/>
      <c r="K124" s="4"/>
      <c r="L124" s="4"/>
      <c r="M124" s="4"/>
      <c r="N124" s="10"/>
      <c r="O124" s="13"/>
      <c r="P124" s="4"/>
      <c r="Q124" s="4"/>
      <c r="R124" s="10"/>
      <c r="S124" s="4"/>
      <c r="T124" s="4"/>
      <c r="U124" s="4"/>
      <c r="V124" s="10"/>
      <c r="W124" s="4"/>
      <c r="X124" s="4"/>
      <c r="Y124" s="4"/>
      <c r="Z124" s="10"/>
    </row>
    <row r="125" spans="1:26" s="63" customFormat="1" ht="15" customHeight="1" x14ac:dyDescent="0.3">
      <c r="A125" s="13"/>
      <c r="B125" s="27" t="s">
        <v>292</v>
      </c>
      <c r="C125" s="27"/>
      <c r="D125" s="23">
        <f>+D40-D42+D119</f>
        <v>-86581.740000000049</v>
      </c>
      <c r="E125" s="15"/>
      <c r="F125" s="22">
        <f>IF(D$12=0,0,D125/D$12)</f>
        <v>-0.3065349798842677</v>
      </c>
      <c r="G125" s="15"/>
      <c r="H125" s="23">
        <f>+H40-H42+H119</f>
        <v>229200.94619480768</v>
      </c>
      <c r="I125" s="15"/>
      <c r="J125" s="22">
        <f>IF(H$12=0,0,H125/H$12)</f>
        <v>0.89738790017112824</v>
      </c>
      <c r="K125" s="17"/>
      <c r="L125" s="23">
        <f>+D125-H125</f>
        <v>-315782.68619480776</v>
      </c>
      <c r="M125" s="17"/>
      <c r="N125" s="22">
        <f>IF(H125=0,0,L125/H125)</f>
        <v>-1.3777547232567293</v>
      </c>
      <c r="O125" s="28"/>
      <c r="P125" s="23">
        <f>+P40-P42+P119</f>
        <v>2102167.2899999991</v>
      </c>
      <c r="Q125" s="15"/>
      <c r="R125" s="22">
        <f>IF(P$12=0,0,P125/P$12)</f>
        <v>0.41200562502460042</v>
      </c>
      <c r="S125" s="15"/>
      <c r="T125" s="23">
        <f>+T40-T42+T119</f>
        <v>935077.89738189988</v>
      </c>
      <c r="U125" s="15"/>
      <c r="V125" s="22">
        <f>IF(T$12=0,0,T125/T$12)</f>
        <v>0.29047543524409858</v>
      </c>
      <c r="W125" s="17"/>
      <c r="X125" s="23">
        <f>+P125-T125</f>
        <v>1167089.3926180992</v>
      </c>
      <c r="Y125" s="17"/>
      <c r="Z125" s="22">
        <f>IF(T125=0,0,X125/T125)</f>
        <v>1.2481199650700785</v>
      </c>
    </row>
    <row r="126" spans="1:26" ht="15" customHeight="1" x14ac:dyDescent="0.3">
      <c r="A126" s="12"/>
      <c r="B126" s="13"/>
      <c r="C126" s="12"/>
      <c r="D126" s="4"/>
      <c r="E126" s="4"/>
      <c r="F126" s="10"/>
      <c r="G126" s="4"/>
      <c r="H126" s="4"/>
      <c r="I126" s="4"/>
      <c r="J126" s="10"/>
      <c r="K126" s="4"/>
      <c r="L126" s="4"/>
      <c r="M126" s="4"/>
      <c r="N126" s="10"/>
      <c r="P126" s="4"/>
      <c r="Q126" s="4"/>
      <c r="R126" s="10"/>
      <c r="S126" s="4"/>
      <c r="T126" s="4"/>
      <c r="U126" s="4"/>
      <c r="V126" s="10"/>
      <c r="W126" s="4"/>
      <c r="X126" s="4"/>
      <c r="Y126" s="4"/>
      <c r="Z126" s="10"/>
    </row>
    <row r="127" spans="1:26" s="63" customFormat="1" ht="15" customHeight="1" x14ac:dyDescent="0.3">
      <c r="A127" s="49"/>
      <c r="B127" s="13" t="s">
        <v>293</v>
      </c>
      <c r="C127" s="13"/>
      <c r="D127" s="8">
        <v>-1130105.69</v>
      </c>
      <c r="E127" s="8"/>
      <c r="F127" s="14">
        <f>IF(D$12=0,0,D127/D$12)</f>
        <v>-4.0010390753436722</v>
      </c>
      <c r="G127" s="8"/>
      <c r="H127" s="8">
        <v>-2360</v>
      </c>
      <c r="I127" s="8"/>
      <c r="J127" s="14">
        <f>IF(H$12=0,0,H127/H$12)</f>
        <v>-9.2400815946188271E-3</v>
      </c>
      <c r="K127" s="8"/>
      <c r="L127" s="8">
        <f>+D127-H127</f>
        <v>-1127745.69</v>
      </c>
      <c r="M127" s="8"/>
      <c r="N127" s="14">
        <f>IF(H127=0,0,L127/H127)</f>
        <v>477.85834322033895</v>
      </c>
      <c r="O127" s="13"/>
      <c r="P127" s="8">
        <v>-588235.15</v>
      </c>
      <c r="Q127" s="8"/>
      <c r="R127" s="14">
        <f>IF(P$12=0,0,P127/P$12)</f>
        <v>-0.11528872692010621</v>
      </c>
      <c r="S127" s="8"/>
      <c r="T127" s="8">
        <v>365030</v>
      </c>
      <c r="U127" s="8"/>
      <c r="V127" s="14">
        <f>IF(T$12=0,0,T127/T$12)</f>
        <v>0.11339402676935283</v>
      </c>
      <c r="W127" s="8"/>
      <c r="X127" s="8">
        <f>+P127-T127</f>
        <v>-953265.15</v>
      </c>
      <c r="Y127" s="8"/>
      <c r="Z127" s="14">
        <f>IF(T127=0,0,X127/T127)</f>
        <v>-2.6114707010382707</v>
      </c>
    </row>
    <row r="128" spans="1:26" ht="15" customHeight="1" x14ac:dyDescent="0.3">
      <c r="A128" s="12"/>
      <c r="B128" s="13"/>
      <c r="C128" s="13"/>
      <c r="D128" s="4"/>
      <c r="E128" s="4"/>
      <c r="F128" s="10"/>
      <c r="G128" s="4"/>
      <c r="H128" s="4"/>
      <c r="I128" s="4"/>
      <c r="J128" s="10"/>
      <c r="K128" s="4"/>
      <c r="L128" s="4"/>
      <c r="M128" s="4"/>
      <c r="N128" s="10"/>
      <c r="O128" s="13"/>
      <c r="P128" s="4"/>
      <c r="Q128" s="4"/>
      <c r="R128" s="10"/>
      <c r="S128" s="4"/>
      <c r="T128" s="4"/>
      <c r="U128" s="4"/>
      <c r="V128" s="10"/>
      <c r="W128" s="4"/>
      <c r="X128" s="4"/>
      <c r="Y128" s="4"/>
      <c r="Z128" s="10"/>
    </row>
    <row r="129" spans="1:26" s="63" customFormat="1" ht="15" customHeight="1" x14ac:dyDescent="0.3">
      <c r="A129" s="13"/>
      <c r="B129" s="27" t="s">
        <v>294</v>
      </c>
      <c r="C129" s="27"/>
      <c r="D129" s="30">
        <f>+D125-D127</f>
        <v>1043523.95</v>
      </c>
      <c r="E129" s="15"/>
      <c r="F129" s="35">
        <f>IF(D$12=0,0,D129/D$12)</f>
        <v>3.6945040954594046</v>
      </c>
      <c r="G129" s="15"/>
      <c r="H129" s="30">
        <f>+H125-H127</f>
        <v>231560.94619480768</v>
      </c>
      <c r="I129" s="15"/>
      <c r="J129" s="35">
        <f>IF(H$12=0,0,H129/H$12)</f>
        <v>0.90662798176574699</v>
      </c>
      <c r="K129" s="17"/>
      <c r="L129" s="30">
        <f>D129-H129</f>
        <v>811963.0038051923</v>
      </c>
      <c r="M129" s="17"/>
      <c r="N129" s="35">
        <f>IF(H129=0,0,L129/H129)</f>
        <v>3.506476446689347</v>
      </c>
      <c r="O129" s="28"/>
      <c r="P129" s="30">
        <f>+P125-P127</f>
        <v>2690402.439999999</v>
      </c>
      <c r="Q129" s="15"/>
      <c r="R129" s="35">
        <f>IF(P$12=0,0,P129/P$12)</f>
        <v>0.52729435194470664</v>
      </c>
      <c r="S129" s="15"/>
      <c r="T129" s="30">
        <f>+T125-T127</f>
        <v>570047.89738189988</v>
      </c>
      <c r="U129" s="15"/>
      <c r="V129" s="35">
        <f>IF(T$12=0,0,T129/T$12)</f>
        <v>0.17708140847474577</v>
      </c>
      <c r="W129" s="17"/>
      <c r="X129" s="30">
        <f>P129-T129</f>
        <v>2120354.5426180991</v>
      </c>
      <c r="Y129" s="17"/>
      <c r="Z129" s="35">
        <f>IF(T129=0,0,X129/T129)</f>
        <v>3.7196076897334494</v>
      </c>
    </row>
    <row r="130" spans="1:26" ht="15" customHeight="1" x14ac:dyDescent="0.3">
      <c r="A130" s="12"/>
      <c r="B130" s="12"/>
      <c r="C130" s="12"/>
      <c r="D130" s="4"/>
      <c r="E130" s="4"/>
      <c r="F130" s="10"/>
      <c r="G130" s="4"/>
      <c r="H130" s="4"/>
      <c r="I130" s="4"/>
      <c r="J130" s="10"/>
      <c r="K130" s="4"/>
      <c r="L130" s="4"/>
      <c r="M130" s="4"/>
      <c r="N130" s="10"/>
      <c r="P130" s="4"/>
      <c r="Q130" s="4"/>
      <c r="R130" s="10"/>
      <c r="S130" s="4"/>
      <c r="T130" s="4"/>
      <c r="U130" s="4"/>
      <c r="V130" s="10"/>
      <c r="W130" s="4"/>
      <c r="X130" s="4"/>
      <c r="Y130" s="4"/>
      <c r="Z130" s="10"/>
    </row>
    <row r="131" spans="1:26" ht="15" customHeight="1" x14ac:dyDescent="0.3">
      <c r="A131" s="12"/>
      <c r="B131" s="12"/>
      <c r="C131" s="12"/>
      <c r="D131" s="4"/>
      <c r="E131" s="4"/>
      <c r="F131" s="10"/>
      <c r="G131" s="4"/>
      <c r="H131" s="4"/>
      <c r="I131" s="4"/>
      <c r="J131" s="10"/>
      <c r="K131" s="4"/>
      <c r="L131" s="4"/>
      <c r="M131" s="4"/>
      <c r="N131" s="10"/>
      <c r="P131" s="4"/>
      <c r="Q131" s="4"/>
      <c r="R131" s="10"/>
      <c r="S131" s="4"/>
      <c r="T131" s="4"/>
      <c r="U131" s="4"/>
      <c r="V131" s="10"/>
      <c r="W131" s="4"/>
      <c r="X131" s="4"/>
      <c r="Y131" s="4"/>
      <c r="Z131" s="10"/>
    </row>
    <row r="132" spans="1:26" s="63" customFormat="1" ht="15" customHeight="1" x14ac:dyDescent="0.3">
      <c r="A132" s="13"/>
      <c r="B132" s="27" t="s">
        <v>297</v>
      </c>
      <c r="C132" s="27"/>
      <c r="D132" s="33">
        <f>SUM(D129:D131)</f>
        <v>1043523.95</v>
      </c>
      <c r="E132" s="15"/>
      <c r="F132" s="31">
        <f>IF(D$12=0,0,D132/D$12)</f>
        <v>3.6945040954594046</v>
      </c>
      <c r="G132" s="15"/>
      <c r="H132" s="33">
        <f>SUM(H129:H131)</f>
        <v>231560.94619480768</v>
      </c>
      <c r="I132" s="15"/>
      <c r="J132" s="31">
        <f>IF(H$12=0,0,H132/H$12)</f>
        <v>0.90662798176574699</v>
      </c>
      <c r="K132" s="17"/>
      <c r="L132" s="33">
        <f>+D132-H132</f>
        <v>811963.0038051923</v>
      </c>
      <c r="M132" s="17"/>
      <c r="N132" s="31">
        <f>IF(H132=0,0,L132/H132)</f>
        <v>3.506476446689347</v>
      </c>
      <c r="O132" s="28"/>
      <c r="P132" s="33">
        <f>SUM(P129:P131)</f>
        <v>2690402.439999999</v>
      </c>
      <c r="Q132" s="15"/>
      <c r="R132" s="31">
        <f>IF(P$12=0,0,P132/P$12)</f>
        <v>0.52729435194470664</v>
      </c>
      <c r="S132" s="15"/>
      <c r="T132" s="33">
        <f>SUM(T129:T131)</f>
        <v>570047.89738189988</v>
      </c>
      <c r="U132" s="15"/>
      <c r="V132" s="31">
        <f>IF(T$12=0,0,T132/T$12)</f>
        <v>0.17708140847474577</v>
      </c>
      <c r="W132" s="17"/>
      <c r="X132" s="33">
        <f>+P132-T132</f>
        <v>2120354.5426180991</v>
      </c>
      <c r="Y132" s="17"/>
      <c r="Z132" s="31">
        <f>IF(T132=0,0,X132/T132)</f>
        <v>3.7196076897334494</v>
      </c>
    </row>
    <row r="133" spans="1:26" ht="15" customHeight="1" x14ac:dyDescent="0.3">
      <c r="A133" s="12"/>
      <c r="C133" s="12"/>
      <c r="D133" s="19"/>
      <c r="E133" s="19"/>
      <c r="G133" s="19"/>
      <c r="H133" s="19"/>
      <c r="I133" s="19"/>
      <c r="J133" s="41"/>
      <c r="K133" s="19"/>
      <c r="L133" s="19"/>
      <c r="M133" s="19"/>
      <c r="P133" s="19"/>
      <c r="Q133" s="19"/>
      <c r="R133" s="41"/>
      <c r="S133" s="19"/>
      <c r="T133" s="19"/>
      <c r="U133" s="19"/>
      <c r="V133" s="41"/>
      <c r="W133" s="19"/>
      <c r="X133" s="19"/>
    </row>
    <row r="134" spans="1:26" ht="15" customHeight="1" x14ac:dyDescent="0.3">
      <c r="A134" s="12"/>
      <c r="B134" s="50">
        <v>44767.799510497687</v>
      </c>
      <c r="D134" s="19"/>
      <c r="E134" s="19"/>
      <c r="G134" s="19"/>
      <c r="H134" s="19"/>
      <c r="I134" s="19"/>
      <c r="J134" s="41"/>
      <c r="K134" s="19"/>
      <c r="L134" s="19"/>
      <c r="M134" s="19"/>
      <c r="P134" s="19"/>
      <c r="Q134" s="19"/>
      <c r="R134" s="41"/>
      <c r="S134" s="19"/>
      <c r="T134" s="19"/>
      <c r="U134" s="19"/>
      <c r="V134" s="41"/>
      <c r="W134" s="19"/>
      <c r="X134" s="19"/>
    </row>
    <row r="135" spans="1:26" ht="15" customHeight="1" x14ac:dyDescent="0.3">
      <c r="A135" s="12"/>
      <c r="B135" s="57" t="s">
        <v>298</v>
      </c>
      <c r="D135" s="19"/>
      <c r="E135" s="19"/>
      <c r="G135" s="19"/>
      <c r="H135" s="19"/>
      <c r="I135" s="19"/>
      <c r="J135" s="41"/>
      <c r="K135" s="19"/>
      <c r="L135" s="19"/>
      <c r="M135" s="19"/>
      <c r="P135" s="19"/>
      <c r="Q135" s="19"/>
      <c r="R135" s="41"/>
      <c r="S135" s="19"/>
      <c r="T135" s="19"/>
      <c r="U135" s="19"/>
      <c r="V135" s="41"/>
      <c r="W135" s="19"/>
      <c r="X135" s="19"/>
    </row>
    <row r="136" spans="1:26" ht="15" customHeight="1" x14ac:dyDescent="0.3">
      <c r="A136" s="12"/>
      <c r="B136" s="51"/>
      <c r="D136" s="19"/>
      <c r="E136" s="19"/>
      <c r="G136" s="19"/>
      <c r="H136" s="19"/>
      <c r="I136" s="19"/>
      <c r="J136" s="41"/>
      <c r="K136" s="19"/>
      <c r="L136" s="19"/>
      <c r="M136" s="19"/>
      <c r="P136" s="19"/>
      <c r="Q136" s="19"/>
      <c r="R136" s="41"/>
      <c r="S136" s="19"/>
      <c r="T136" s="19"/>
      <c r="U136" s="19"/>
      <c r="V136" s="41"/>
      <c r="W136" s="19"/>
      <c r="X136" s="19"/>
    </row>
    <row r="137" spans="1:26" ht="15" customHeight="1" x14ac:dyDescent="0.3">
      <c r="D137" s="19"/>
      <c r="E137" s="19"/>
      <c r="G137" s="19"/>
      <c r="H137" s="19"/>
      <c r="I137" s="19"/>
      <c r="J137" s="41"/>
      <c r="K137" s="19"/>
      <c r="L137" s="19"/>
      <c r="M137" s="19"/>
      <c r="P137" s="19"/>
      <c r="Q137" s="19"/>
      <c r="R137" s="41"/>
      <c r="S137" s="19"/>
      <c r="T137" s="19"/>
      <c r="U137" s="19"/>
      <c r="V137" s="41"/>
      <c r="W137" s="19"/>
      <c r="X137" s="19"/>
    </row>
  </sheetData>
  <pageMargins left="0.25" right="0.25" top="0.75" bottom="0.75" header="0.3" footer="0.3"/>
  <pageSetup scale="55" orientation="landscape" r:id="rId1"/>
  <headerFooter>
    <oddHeader>&amp;RPre-Audit</oddHeader>
    <oddFooter>&amp;L&amp;C&amp;R</oddFooter>
    <evenHeader>&amp;L&amp;C&amp;R</evenHeader>
    <evenFooter>&amp;L&amp;C&amp;R</even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740916-EFA2-BFE3-A3F2-3135C663168C}">
  <sheetPr>
    <tabColor rgb="FF92D050"/>
    <outlinePr summaryBelow="0" summaryRight="0"/>
  </sheetPr>
  <dimension ref="A2:Z125"/>
  <sheetViews>
    <sheetView showGridLines="0" defaultGridColor="0" colorId="8" zoomScale="80" workbookViewId="0">
      <pane xSplit="3" ySplit="10" topLeftCell="D11" activePane="bottomRight" state="frozen"/>
      <selection activeCell="D78" sqref="D78"/>
      <selection pane="topRight" activeCell="D78" sqref="D78"/>
      <selection pane="bottomLeft" activeCell="D78" sqref="D78"/>
      <selection pane="bottomRight" activeCell="D78" sqref="D78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3" t="s">
        <v>276</v>
      </c>
    </row>
    <row r="3" spans="1:26" ht="15" customHeight="1" x14ac:dyDescent="0.3">
      <c r="D3" s="53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3" t="str">
        <f>CONCATENATE("Period ",RIGHT(202212,2),", ",2022)</f>
        <v>Period 12,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5"/>
      <c r="D5" s="60">
        <v>44742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5"/>
      <c r="B6" s="47"/>
      <c r="C6" s="47"/>
      <c r="D6" s="25" t="str">
        <f>CONCATENATE("Department ","315"," - ","Bookstore Retail")</f>
        <v>Department 315 - Bookstore Retail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4"/>
    </row>
    <row r="8" spans="1:26" ht="15" customHeight="1" x14ac:dyDescent="0.3">
      <c r="B8" s="54"/>
    </row>
    <row r="9" spans="1:26" ht="15" customHeight="1" x14ac:dyDescent="0.3">
      <c r="B9" s="12"/>
      <c r="C9" s="12"/>
      <c r="D9" s="16" t="s">
        <v>279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280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ht="15" customHeight="1" x14ac:dyDescent="0.3">
      <c r="A10" s="13"/>
      <c r="B10" s="52"/>
      <c r="C10" s="13"/>
      <c r="D10" s="40" t="s">
        <v>281</v>
      </c>
      <c r="E10" s="32"/>
      <c r="F10" s="39" t="s">
        <v>282</v>
      </c>
      <c r="G10" s="32"/>
      <c r="H10" s="45" t="s">
        <v>283</v>
      </c>
      <c r="I10" s="32"/>
      <c r="J10" s="42" t="s">
        <v>284</v>
      </c>
      <c r="K10" s="13"/>
      <c r="L10" s="40" t="s">
        <v>285</v>
      </c>
      <c r="M10" s="13"/>
      <c r="N10" s="39" t="s">
        <v>286</v>
      </c>
      <c r="O10" s="13"/>
      <c r="P10" s="55" t="s">
        <v>281</v>
      </c>
      <c r="Q10" s="32"/>
      <c r="R10" s="39" t="s">
        <v>282</v>
      </c>
      <c r="S10" s="32"/>
      <c r="T10" s="45" t="s">
        <v>283</v>
      </c>
      <c r="U10" s="32"/>
      <c r="V10" s="42" t="s">
        <v>284</v>
      </c>
      <c r="W10" s="13"/>
      <c r="X10" s="40" t="s">
        <v>285</v>
      </c>
      <c r="Y10" s="13"/>
      <c r="Z10" s="39" t="s">
        <v>286</v>
      </c>
    </row>
    <row r="11" spans="1:26" ht="16.5" customHeight="1" x14ac:dyDescent="0.3">
      <c r="A11" s="12"/>
      <c r="B11" s="58"/>
      <c r="C11" s="12"/>
      <c r="D11" s="12"/>
      <c r="E11" s="12"/>
      <c r="F11" s="10"/>
      <c r="G11" s="12"/>
      <c r="H11" s="12"/>
      <c r="I11" s="12"/>
      <c r="J11" s="43"/>
      <c r="K11" s="12"/>
      <c r="L11" s="12"/>
      <c r="M11" s="12"/>
      <c r="N11" s="10"/>
      <c r="P11" s="12"/>
      <c r="Q11" s="12"/>
      <c r="R11" s="10"/>
      <c r="S11" s="12"/>
      <c r="T11" s="12"/>
      <c r="U11" s="12"/>
      <c r="V11" s="43"/>
      <c r="W11" s="12"/>
      <c r="X11" s="12"/>
      <c r="Y11" s="12"/>
      <c r="Z11" s="10"/>
    </row>
    <row r="12" spans="1:26" s="63" customFormat="1" ht="15" customHeight="1" collapsed="1" x14ac:dyDescent="0.3">
      <c r="A12" s="13"/>
      <c r="B12" s="28" t="s">
        <v>287</v>
      </c>
      <c r="C12" s="13"/>
      <c r="D12" s="8">
        <f>SUM(OSRRefD13x_0)</f>
        <v>244240.03</v>
      </c>
      <c r="E12" s="8"/>
      <c r="F12" s="14"/>
      <c r="G12" s="8"/>
      <c r="H12" s="8">
        <f>SUM(OSRRefH13x_0)</f>
        <v>194754</v>
      </c>
      <c r="I12" s="8"/>
      <c r="J12" s="14"/>
      <c r="K12" s="8"/>
      <c r="L12" s="8">
        <f t="shared" ref="L12:L17" si="0">+D12-H12</f>
        <v>49486.03</v>
      </c>
      <c r="M12" s="8"/>
      <c r="N12" s="14">
        <f t="shared" ref="N12:N17" si="1">IF(H12=0,0,L12/H12)</f>
        <v>0.25409506351602534</v>
      </c>
      <c r="O12" s="13"/>
      <c r="P12" s="8">
        <f>SUM(OSRRefP13x_0)</f>
        <v>4685974.8699999992</v>
      </c>
      <c r="Q12" s="8"/>
      <c r="R12" s="14"/>
      <c r="S12" s="8"/>
      <c r="T12" s="8">
        <f>SUM(OSRRefT13x_0)</f>
        <v>2792423</v>
      </c>
      <c r="U12" s="8"/>
      <c r="V12" s="14"/>
      <c r="W12" s="8"/>
      <c r="X12" s="8">
        <f t="shared" ref="X12:X17" si="2">+P12-T12</f>
        <v>1893551.8699999992</v>
      </c>
      <c r="Y12" s="8"/>
      <c r="Z12" s="14">
        <f t="shared" ref="Z12:Z17" si="3">IF(T12=0,0,X12/T12)</f>
        <v>0.67810352156532128</v>
      </c>
    </row>
    <row r="13" spans="1:26" s="70" customFormat="1" ht="15" hidden="1" customHeight="1" outlineLevel="1" x14ac:dyDescent="0.3">
      <c r="A13" s="48"/>
      <c r="B13" s="9" t="str">
        <f>CONCATENATE("          ","4000"," - ","TAXABLE SALES")</f>
        <v xml:space="preserve">          4000 - TAXABLE SALES</v>
      </c>
      <c r="C13" s="9"/>
      <c r="D13" s="3">
        <f>--237159.83</f>
        <v>237159.83</v>
      </c>
      <c r="E13" s="3"/>
      <c r="F13" s="26"/>
      <c r="G13" s="3"/>
      <c r="H13" s="3">
        <v>194754</v>
      </c>
      <c r="I13" s="3"/>
      <c r="J13" s="26"/>
      <c r="K13" s="3"/>
      <c r="L13" s="3">
        <f t="shared" si="0"/>
        <v>42405.829999999987</v>
      </c>
      <c r="M13" s="3"/>
      <c r="N13" s="26">
        <f t="shared" si="1"/>
        <v>0.21774048286556366</v>
      </c>
      <c r="O13" s="9"/>
      <c r="P13" s="3">
        <f>--4377922.71</f>
        <v>4377922.71</v>
      </c>
      <c r="Q13" s="3"/>
      <c r="R13" s="26"/>
      <c r="S13" s="3"/>
      <c r="T13" s="3">
        <v>2792423</v>
      </c>
      <c r="U13" s="3"/>
      <c r="V13" s="26"/>
      <c r="W13" s="3"/>
      <c r="X13" s="3">
        <f t="shared" si="2"/>
        <v>1585499.71</v>
      </c>
      <c r="Y13" s="3"/>
      <c r="Z13" s="26">
        <f t="shared" si="3"/>
        <v>0.56778636689355444</v>
      </c>
    </row>
    <row r="14" spans="1:26" s="70" customFormat="1" ht="15" hidden="1" customHeight="1" outlineLevel="1" x14ac:dyDescent="0.3">
      <c r="A14" s="48"/>
      <c r="B14" s="9" t="str">
        <f>CONCATENATE("          ","4100"," - ","NON-TAXABLE SALES")</f>
        <v xml:space="preserve">          4100 - NON-TAXABLE SALES</v>
      </c>
      <c r="C14" s="9"/>
      <c r="D14" s="3">
        <f>--30696.55</f>
        <v>30696.55</v>
      </c>
      <c r="E14" s="3"/>
      <c r="F14" s="26"/>
      <c r="G14" s="3"/>
      <c r="H14" s="3"/>
      <c r="I14" s="3"/>
      <c r="J14" s="26"/>
      <c r="K14" s="3"/>
      <c r="L14" s="3">
        <f t="shared" si="0"/>
        <v>30696.55</v>
      </c>
      <c r="M14" s="3"/>
      <c r="N14" s="26">
        <f t="shared" si="1"/>
        <v>0</v>
      </c>
      <c r="O14" s="9"/>
      <c r="P14" s="3">
        <f>--582514.14</f>
        <v>582514.14</v>
      </c>
      <c r="Q14" s="3"/>
      <c r="R14" s="26"/>
      <c r="S14" s="3"/>
      <c r="T14" s="3"/>
      <c r="U14" s="3"/>
      <c r="V14" s="26"/>
      <c r="W14" s="3"/>
      <c r="X14" s="3">
        <f t="shared" si="2"/>
        <v>582514.14</v>
      </c>
      <c r="Y14" s="3"/>
      <c r="Z14" s="26">
        <f t="shared" si="3"/>
        <v>0</v>
      </c>
    </row>
    <row r="15" spans="1:26" s="70" customFormat="1" ht="15" hidden="1" customHeight="1" outlineLevel="1" x14ac:dyDescent="0.3">
      <c r="A15" s="48"/>
      <c r="B15" s="9" t="str">
        <f>CONCATENATE("          ","4200"," - ","TAXABLE RETURNS")</f>
        <v xml:space="preserve">          4200 - TAXABLE RETURNS</v>
      </c>
      <c r="C15" s="9"/>
      <c r="D15" s="3">
        <f>-17375.83</f>
        <v>-17375.830000000002</v>
      </c>
      <c r="E15" s="3"/>
      <c r="F15" s="26"/>
      <c r="G15" s="3"/>
      <c r="H15" s="3"/>
      <c r="I15" s="3"/>
      <c r="J15" s="26"/>
      <c r="K15" s="3"/>
      <c r="L15" s="3">
        <f t="shared" si="0"/>
        <v>-17375.830000000002</v>
      </c>
      <c r="M15" s="3"/>
      <c r="N15" s="26">
        <f t="shared" si="1"/>
        <v>0</v>
      </c>
      <c r="O15" s="9"/>
      <c r="P15" s="3">
        <f>-154842.23</f>
        <v>-154842.23000000001</v>
      </c>
      <c r="Q15" s="3"/>
      <c r="R15" s="26"/>
      <c r="S15" s="3"/>
      <c r="T15" s="3"/>
      <c r="U15" s="3"/>
      <c r="V15" s="26"/>
      <c r="W15" s="3"/>
      <c r="X15" s="3">
        <f t="shared" si="2"/>
        <v>-154842.23000000001</v>
      </c>
      <c r="Y15" s="3"/>
      <c r="Z15" s="26">
        <f t="shared" si="3"/>
        <v>0</v>
      </c>
    </row>
    <row r="16" spans="1:26" s="70" customFormat="1" ht="15" hidden="1" customHeight="1" outlineLevel="1" x14ac:dyDescent="0.3">
      <c r="A16" s="48"/>
      <c r="B16" s="9" t="str">
        <f>CONCATENATE("          ","4300"," - ","NON-TAX RETURNS")</f>
        <v xml:space="preserve">          4300 - NON-TAX RETURNS</v>
      </c>
      <c r="C16" s="9"/>
      <c r="D16" s="3">
        <f>-364.5</f>
        <v>-364.5</v>
      </c>
      <c r="E16" s="3"/>
      <c r="F16" s="26"/>
      <c r="G16" s="3"/>
      <c r="H16" s="3"/>
      <c r="I16" s="3"/>
      <c r="J16" s="26"/>
      <c r="K16" s="3"/>
      <c r="L16" s="3">
        <f t="shared" si="0"/>
        <v>-364.5</v>
      </c>
      <c r="M16" s="3"/>
      <c r="N16" s="26">
        <f t="shared" si="1"/>
        <v>0</v>
      </c>
      <c r="O16" s="9"/>
      <c r="P16" s="3">
        <f>-3861.19</f>
        <v>-3861.19</v>
      </c>
      <c r="Q16" s="3"/>
      <c r="R16" s="26"/>
      <c r="S16" s="3"/>
      <c r="T16" s="3"/>
      <c r="U16" s="3"/>
      <c r="V16" s="26"/>
      <c r="W16" s="3"/>
      <c r="X16" s="3">
        <f t="shared" si="2"/>
        <v>-3861.19</v>
      </c>
      <c r="Y16" s="3"/>
      <c r="Z16" s="26">
        <f t="shared" si="3"/>
        <v>0</v>
      </c>
    </row>
    <row r="17" spans="1:26" s="70" customFormat="1" ht="15" hidden="1" customHeight="1" outlineLevel="1" x14ac:dyDescent="0.3">
      <c r="A17" s="48"/>
      <c r="B17" s="9" t="str">
        <f>CONCATENATE("          ","4500"," - ","SALES DISCOUNT")</f>
        <v xml:space="preserve">          4500 - SALES DISCOUNT</v>
      </c>
      <c r="C17" s="9"/>
      <c r="D17" s="3">
        <f>-5876.02</f>
        <v>-5876.02</v>
      </c>
      <c r="E17" s="3"/>
      <c r="F17" s="26"/>
      <c r="G17" s="3"/>
      <c r="H17" s="3"/>
      <c r="I17" s="3"/>
      <c r="J17" s="26"/>
      <c r="K17" s="3"/>
      <c r="L17" s="3">
        <f t="shared" si="0"/>
        <v>-5876.02</v>
      </c>
      <c r="M17" s="3"/>
      <c r="N17" s="26">
        <f t="shared" si="1"/>
        <v>0</v>
      </c>
      <c r="O17" s="9"/>
      <c r="P17" s="3">
        <f>-115758.56</f>
        <v>-115758.56</v>
      </c>
      <c r="Q17" s="3"/>
      <c r="R17" s="26"/>
      <c r="S17" s="3"/>
      <c r="T17" s="3"/>
      <c r="U17" s="3"/>
      <c r="V17" s="26"/>
      <c r="W17" s="3"/>
      <c r="X17" s="3">
        <f t="shared" si="2"/>
        <v>-115758.56</v>
      </c>
      <c r="Y17" s="3"/>
      <c r="Z17" s="26">
        <f t="shared" si="3"/>
        <v>0</v>
      </c>
    </row>
    <row r="18" spans="1:26" ht="15" customHeight="1" x14ac:dyDescent="0.3">
      <c r="A18" s="12"/>
      <c r="B18" s="13"/>
      <c r="C18" s="12"/>
      <c r="D18" s="4"/>
      <c r="E18" s="4"/>
      <c r="F18" s="10"/>
      <c r="G18" s="4"/>
      <c r="H18" s="4"/>
      <c r="I18" s="4"/>
      <c r="J18" s="10"/>
      <c r="K18" s="4"/>
      <c r="L18" s="4"/>
      <c r="M18" s="4"/>
      <c r="N18" s="10"/>
      <c r="P18" s="4"/>
      <c r="Q18" s="4"/>
      <c r="R18" s="10"/>
      <c r="S18" s="4"/>
      <c r="T18" s="4"/>
      <c r="U18" s="4"/>
      <c r="V18" s="10"/>
      <c r="W18" s="4"/>
      <c r="X18" s="4"/>
      <c r="Y18" s="4"/>
      <c r="Z18" s="10"/>
    </row>
    <row r="19" spans="1:26" s="63" customFormat="1" ht="15" customHeight="1" collapsed="1" x14ac:dyDescent="0.3">
      <c r="A19" s="13"/>
      <c r="B19" s="28" t="s">
        <v>288</v>
      </c>
      <c r="C19" s="13"/>
      <c r="D19" s="8">
        <f>SUM(OSRRefD16x_0)</f>
        <v>509582.38000000006</v>
      </c>
      <c r="E19" s="8"/>
      <c r="F19" s="14">
        <f t="shared" ref="F19:F38" si="4">IF(D$12=0,0,D19/D$12)</f>
        <v>2.0863999238781621</v>
      </c>
      <c r="G19" s="8"/>
      <c r="H19" s="8">
        <f>SUM(OSRRefH16x_0)</f>
        <v>107948</v>
      </c>
      <c r="I19" s="8"/>
      <c r="J19" s="14">
        <f t="shared" ref="J19:J38" si="5">IF(H$12=0,0,H19/H$12)</f>
        <v>0.55427873111720427</v>
      </c>
      <c r="K19" s="8"/>
      <c r="L19" s="8">
        <f t="shared" ref="L19:L38" si="6">+D19-H19</f>
        <v>401634.38000000006</v>
      </c>
      <c r="M19" s="8"/>
      <c r="N19" s="14">
        <f t="shared" ref="N19:N38" si="7">IF(H19=0,0,L19/H19)</f>
        <v>3.7206282654611487</v>
      </c>
      <c r="O19" s="13"/>
      <c r="P19" s="8">
        <f>SUM(OSRRefP16x_0)</f>
        <v>2571317.2500000005</v>
      </c>
      <c r="Q19" s="8"/>
      <c r="R19" s="14">
        <f t="shared" ref="R19:R38" si="8">IF(P$12=0,0,P19/P$12)</f>
        <v>0.54872621414634282</v>
      </c>
      <c r="S19" s="8"/>
      <c r="T19" s="8">
        <f>SUM(OSRRefT16x_0)</f>
        <v>1442639</v>
      </c>
      <c r="U19" s="8"/>
      <c r="V19" s="14">
        <f t="shared" ref="V19:V38" si="9">IF(T$12=0,0,T19/T$12)</f>
        <v>0.51662624179789385</v>
      </c>
      <c r="W19" s="8"/>
      <c r="X19" s="8">
        <f t="shared" ref="X19:X38" si="10">+P19-T19</f>
        <v>1128678.2500000005</v>
      </c>
      <c r="Y19" s="8"/>
      <c r="Z19" s="14">
        <f t="shared" ref="Z19:Z38" si="11">IF(T19=0,0,X19/T19)</f>
        <v>0.78237053760504216</v>
      </c>
    </row>
    <row r="20" spans="1:26" s="70" customFormat="1" ht="15" hidden="1" customHeight="1" outlineLevel="1" x14ac:dyDescent="0.3">
      <c r="A20" s="48"/>
      <c r="B20" s="9" t="str">
        <f>CONCATENATE("          ","5000"," - ","PURCHASES @ COST")</f>
        <v xml:space="preserve">          5000 - PURCHASES @ COST</v>
      </c>
      <c r="C20" s="9"/>
      <c r="D20" s="3">
        <v>617152.14</v>
      </c>
      <c r="E20" s="3"/>
      <c r="F20" s="26">
        <f t="shared" si="4"/>
        <v>2.5268263355519567</v>
      </c>
      <c r="G20" s="3"/>
      <c r="H20" s="3">
        <v>107948</v>
      </c>
      <c r="I20" s="3"/>
      <c r="J20" s="26">
        <f t="shared" si="5"/>
        <v>0.55427873111720427</v>
      </c>
      <c r="K20" s="3"/>
      <c r="L20" s="3">
        <f t="shared" si="6"/>
        <v>509204.14</v>
      </c>
      <c r="M20" s="3"/>
      <c r="N20" s="26">
        <f t="shared" si="7"/>
        <v>4.7171243561714897</v>
      </c>
      <c r="O20" s="9"/>
      <c r="P20" s="3">
        <v>2967586.24</v>
      </c>
      <c r="Q20" s="3"/>
      <c r="R20" s="26">
        <f t="shared" si="8"/>
        <v>0.63329111280530637</v>
      </c>
      <c r="S20" s="3"/>
      <c r="T20" s="3">
        <v>1442639</v>
      </c>
      <c r="U20" s="3"/>
      <c r="V20" s="26">
        <f t="shared" si="9"/>
        <v>0.51662624179789385</v>
      </c>
      <c r="W20" s="3"/>
      <c r="X20" s="3">
        <f t="shared" si="10"/>
        <v>1524947.2400000002</v>
      </c>
      <c r="Y20" s="3"/>
      <c r="Z20" s="26">
        <f t="shared" si="11"/>
        <v>1.057053940729455</v>
      </c>
    </row>
    <row r="21" spans="1:26" s="70" customFormat="1" ht="15" hidden="1" customHeight="1" outlineLevel="1" x14ac:dyDescent="0.3">
      <c r="A21" s="48"/>
      <c r="B21" s="9" t="str">
        <f>CONCATENATE("          ","5027"," - ","PURCHASES @ COST-SCHOOL SUPPLI")</f>
        <v xml:space="preserve">          5027 - PURCHASES @ COST-SCHOOL SUPPLI</v>
      </c>
      <c r="C21" s="9"/>
      <c r="D21" s="3"/>
      <c r="E21" s="3"/>
      <c r="F21" s="26">
        <f t="shared" si="4"/>
        <v>0</v>
      </c>
      <c r="G21" s="3"/>
      <c r="H21" s="3"/>
      <c r="I21" s="3"/>
      <c r="J21" s="26">
        <f t="shared" si="5"/>
        <v>0</v>
      </c>
      <c r="K21" s="3"/>
      <c r="L21" s="3">
        <f t="shared" si="6"/>
        <v>0</v>
      </c>
      <c r="M21" s="3"/>
      <c r="N21" s="26">
        <f t="shared" si="7"/>
        <v>0</v>
      </c>
      <c r="O21" s="9"/>
      <c r="P21" s="3">
        <v>0</v>
      </c>
      <c r="Q21" s="3"/>
      <c r="R21" s="26">
        <f t="shared" si="8"/>
        <v>0</v>
      </c>
      <c r="S21" s="3"/>
      <c r="T21" s="3"/>
      <c r="U21" s="3"/>
      <c r="V21" s="26">
        <f t="shared" si="9"/>
        <v>0</v>
      </c>
      <c r="W21" s="3"/>
      <c r="X21" s="3">
        <f t="shared" si="10"/>
        <v>0</v>
      </c>
      <c r="Y21" s="3"/>
      <c r="Z21" s="26">
        <f t="shared" si="11"/>
        <v>0</v>
      </c>
    </row>
    <row r="22" spans="1:26" s="70" customFormat="1" ht="15" hidden="1" customHeight="1" outlineLevel="1" x14ac:dyDescent="0.3">
      <c r="A22" s="48"/>
      <c r="B22" s="9" t="str">
        <f>CONCATENATE("          ","5028"," - ","PURCHASES @ COST-ART/TECH")</f>
        <v xml:space="preserve">          5028 - PURCHASES @ COST-ART/TECH</v>
      </c>
      <c r="C22" s="9"/>
      <c r="D22" s="3"/>
      <c r="E22" s="3"/>
      <c r="F22" s="26">
        <f t="shared" si="4"/>
        <v>0</v>
      </c>
      <c r="G22" s="3"/>
      <c r="H22" s="3"/>
      <c r="I22" s="3"/>
      <c r="J22" s="26">
        <f t="shared" si="5"/>
        <v>0</v>
      </c>
      <c r="K22" s="3"/>
      <c r="L22" s="3">
        <f t="shared" si="6"/>
        <v>0</v>
      </c>
      <c r="M22" s="3"/>
      <c r="N22" s="26">
        <f t="shared" si="7"/>
        <v>0</v>
      </c>
      <c r="O22" s="9"/>
      <c r="P22" s="3">
        <v>0</v>
      </c>
      <c r="Q22" s="3"/>
      <c r="R22" s="26">
        <f t="shared" si="8"/>
        <v>0</v>
      </c>
      <c r="S22" s="3"/>
      <c r="T22" s="3"/>
      <c r="U22" s="3"/>
      <c r="V22" s="26">
        <f t="shared" si="9"/>
        <v>0</v>
      </c>
      <c r="W22" s="3"/>
      <c r="X22" s="3">
        <f t="shared" si="10"/>
        <v>0</v>
      </c>
      <c r="Y22" s="3"/>
      <c r="Z22" s="26">
        <f t="shared" si="11"/>
        <v>0</v>
      </c>
    </row>
    <row r="23" spans="1:26" s="70" customFormat="1" ht="15" hidden="1" customHeight="1" outlineLevel="1" x14ac:dyDescent="0.3">
      <c r="A23" s="48"/>
      <c r="B23" s="9" t="str">
        <f>CONCATENATE("          ","5031"," - ","PURCHASES @ COST-FOOD")</f>
        <v xml:space="preserve">          5031 - PURCHASES @ COST-FOOD</v>
      </c>
      <c r="C23" s="9"/>
      <c r="D23" s="3"/>
      <c r="E23" s="3"/>
      <c r="F23" s="26">
        <f t="shared" si="4"/>
        <v>0</v>
      </c>
      <c r="G23" s="3"/>
      <c r="H23" s="3"/>
      <c r="I23" s="3"/>
      <c r="J23" s="26">
        <f t="shared" si="5"/>
        <v>0</v>
      </c>
      <c r="K23" s="3"/>
      <c r="L23" s="3">
        <f t="shared" si="6"/>
        <v>0</v>
      </c>
      <c r="M23" s="3"/>
      <c r="N23" s="26">
        <f t="shared" si="7"/>
        <v>0</v>
      </c>
      <c r="O23" s="9"/>
      <c r="P23" s="3">
        <v>0</v>
      </c>
      <c r="Q23" s="3"/>
      <c r="R23" s="26">
        <f t="shared" si="8"/>
        <v>0</v>
      </c>
      <c r="S23" s="3"/>
      <c r="T23" s="3"/>
      <c r="U23" s="3"/>
      <c r="V23" s="26">
        <f t="shared" si="9"/>
        <v>0</v>
      </c>
      <c r="W23" s="3"/>
      <c r="X23" s="3">
        <f t="shared" si="10"/>
        <v>0</v>
      </c>
      <c r="Y23" s="3"/>
      <c r="Z23" s="26">
        <f t="shared" si="11"/>
        <v>0</v>
      </c>
    </row>
    <row r="24" spans="1:26" s="70" customFormat="1" ht="15" hidden="1" customHeight="1" outlineLevel="1" x14ac:dyDescent="0.3">
      <c r="A24" s="48"/>
      <c r="B24" s="9" t="str">
        <f>CONCATENATE("          ","5040"," - ","PURCHASES @ COST-LOGO CLOTHING")</f>
        <v xml:space="preserve">          5040 - PURCHASES @ COST-LOGO CLOTHING</v>
      </c>
      <c r="C24" s="9"/>
      <c r="D24" s="3"/>
      <c r="E24" s="3"/>
      <c r="F24" s="26">
        <f t="shared" si="4"/>
        <v>0</v>
      </c>
      <c r="G24" s="3"/>
      <c r="H24" s="3"/>
      <c r="I24" s="3"/>
      <c r="J24" s="26">
        <f t="shared" si="5"/>
        <v>0</v>
      </c>
      <c r="K24" s="3"/>
      <c r="L24" s="3">
        <f t="shared" si="6"/>
        <v>0</v>
      </c>
      <c r="M24" s="3"/>
      <c r="N24" s="26">
        <f t="shared" si="7"/>
        <v>0</v>
      </c>
      <c r="O24" s="9"/>
      <c r="P24" s="3">
        <v>0</v>
      </c>
      <c r="Q24" s="3"/>
      <c r="R24" s="26">
        <f t="shared" si="8"/>
        <v>0</v>
      </c>
      <c r="S24" s="3"/>
      <c r="T24" s="3"/>
      <c r="U24" s="3"/>
      <c r="V24" s="26">
        <f t="shared" si="9"/>
        <v>0</v>
      </c>
      <c r="W24" s="3"/>
      <c r="X24" s="3">
        <f t="shared" si="10"/>
        <v>0</v>
      </c>
      <c r="Y24" s="3"/>
      <c r="Z24" s="26">
        <f t="shared" si="11"/>
        <v>0</v>
      </c>
    </row>
    <row r="25" spans="1:26" s="70" customFormat="1" ht="15" hidden="1" customHeight="1" outlineLevel="1" x14ac:dyDescent="0.3">
      <c r="A25" s="48"/>
      <c r="B25" s="9" t="str">
        <f>CONCATENATE("          ","5041"," - ","PURCHASES @ COST-LOGO GIFTS")</f>
        <v xml:space="preserve">          5041 - PURCHASES @ COST-LOGO GIFTS</v>
      </c>
      <c r="C25" s="9"/>
      <c r="D25" s="3"/>
      <c r="E25" s="3"/>
      <c r="F25" s="26">
        <f t="shared" si="4"/>
        <v>0</v>
      </c>
      <c r="G25" s="3"/>
      <c r="H25" s="3"/>
      <c r="I25" s="3"/>
      <c r="J25" s="26">
        <f t="shared" si="5"/>
        <v>0</v>
      </c>
      <c r="K25" s="3"/>
      <c r="L25" s="3">
        <f t="shared" si="6"/>
        <v>0</v>
      </c>
      <c r="M25" s="3"/>
      <c r="N25" s="26">
        <f t="shared" si="7"/>
        <v>0</v>
      </c>
      <c r="O25" s="9"/>
      <c r="P25" s="3">
        <v>0</v>
      </c>
      <c r="Q25" s="3"/>
      <c r="R25" s="26">
        <f t="shared" si="8"/>
        <v>0</v>
      </c>
      <c r="S25" s="3"/>
      <c r="T25" s="3"/>
      <c r="U25" s="3"/>
      <c r="V25" s="26">
        <f t="shared" si="9"/>
        <v>0</v>
      </c>
      <c r="W25" s="3"/>
      <c r="X25" s="3">
        <f t="shared" si="10"/>
        <v>0</v>
      </c>
      <c r="Y25" s="3"/>
      <c r="Z25" s="26">
        <f t="shared" si="11"/>
        <v>0</v>
      </c>
    </row>
    <row r="26" spans="1:26" s="70" customFormat="1" ht="15" hidden="1" customHeight="1" outlineLevel="1" x14ac:dyDescent="0.3">
      <c r="A26" s="48"/>
      <c r="B26" s="9" t="str">
        <f>CONCATENATE("          ","5042"," - ","PURCHASES @ COST-EVERYDAY GIFT")</f>
        <v xml:space="preserve">          5042 - PURCHASES @ COST-EVERYDAY GIFT</v>
      </c>
      <c r="C26" s="9"/>
      <c r="D26" s="3"/>
      <c r="E26" s="3"/>
      <c r="F26" s="26">
        <f t="shared" si="4"/>
        <v>0</v>
      </c>
      <c r="G26" s="3"/>
      <c r="H26" s="3"/>
      <c r="I26" s="3"/>
      <c r="J26" s="26">
        <f t="shared" si="5"/>
        <v>0</v>
      </c>
      <c r="K26" s="3"/>
      <c r="L26" s="3">
        <f t="shared" si="6"/>
        <v>0</v>
      </c>
      <c r="M26" s="3"/>
      <c r="N26" s="26">
        <f t="shared" si="7"/>
        <v>0</v>
      </c>
      <c r="O26" s="9"/>
      <c r="P26" s="3">
        <v>0</v>
      </c>
      <c r="Q26" s="3"/>
      <c r="R26" s="26">
        <f t="shared" si="8"/>
        <v>0</v>
      </c>
      <c r="S26" s="3"/>
      <c r="T26" s="3"/>
      <c r="U26" s="3"/>
      <c r="V26" s="26">
        <f t="shared" si="9"/>
        <v>0</v>
      </c>
      <c r="W26" s="3"/>
      <c r="X26" s="3">
        <f t="shared" si="10"/>
        <v>0</v>
      </c>
      <c r="Y26" s="3"/>
      <c r="Z26" s="26">
        <f t="shared" si="11"/>
        <v>0</v>
      </c>
    </row>
    <row r="27" spans="1:26" s="70" customFormat="1" ht="15" hidden="1" customHeight="1" outlineLevel="1" x14ac:dyDescent="0.3">
      <c r="A27" s="48"/>
      <c r="B27" s="9" t="str">
        <f>CONCATENATE("          ","5043"," - ","PURCHASES @ COST-CARDS")</f>
        <v xml:space="preserve">          5043 - PURCHASES @ COST-CARDS</v>
      </c>
      <c r="C27" s="9"/>
      <c r="D27" s="3"/>
      <c r="E27" s="3"/>
      <c r="F27" s="26">
        <f t="shared" si="4"/>
        <v>0</v>
      </c>
      <c r="G27" s="3"/>
      <c r="H27" s="3"/>
      <c r="I27" s="3"/>
      <c r="J27" s="26">
        <f t="shared" si="5"/>
        <v>0</v>
      </c>
      <c r="K27" s="3"/>
      <c r="L27" s="3">
        <f t="shared" si="6"/>
        <v>0</v>
      </c>
      <c r="M27" s="3"/>
      <c r="N27" s="26">
        <f t="shared" si="7"/>
        <v>0</v>
      </c>
      <c r="O27" s="9"/>
      <c r="P27" s="3">
        <v>0</v>
      </c>
      <c r="Q27" s="3"/>
      <c r="R27" s="26">
        <f t="shared" si="8"/>
        <v>0</v>
      </c>
      <c r="S27" s="3"/>
      <c r="T27" s="3"/>
      <c r="U27" s="3"/>
      <c r="V27" s="26">
        <f t="shared" si="9"/>
        <v>0</v>
      </c>
      <c r="W27" s="3"/>
      <c r="X27" s="3">
        <f t="shared" si="10"/>
        <v>0</v>
      </c>
      <c r="Y27" s="3"/>
      <c r="Z27" s="26">
        <f t="shared" si="11"/>
        <v>0</v>
      </c>
    </row>
    <row r="28" spans="1:26" s="70" customFormat="1" ht="15" hidden="1" customHeight="1" outlineLevel="1" x14ac:dyDescent="0.3">
      <c r="A28" s="48"/>
      <c r="B28" s="9" t="str">
        <f>CONCATENATE("          ","5044"," - ","PURCHASES @ COST-ACCESSORIES")</f>
        <v xml:space="preserve">          5044 - PURCHASES @ COST-ACCESSORIES</v>
      </c>
      <c r="C28" s="9"/>
      <c r="D28" s="3"/>
      <c r="E28" s="3"/>
      <c r="F28" s="26">
        <f t="shared" si="4"/>
        <v>0</v>
      </c>
      <c r="G28" s="3"/>
      <c r="H28" s="3"/>
      <c r="I28" s="3"/>
      <c r="J28" s="26">
        <f t="shared" si="5"/>
        <v>0</v>
      </c>
      <c r="K28" s="3"/>
      <c r="L28" s="3">
        <f t="shared" si="6"/>
        <v>0</v>
      </c>
      <c r="M28" s="3"/>
      <c r="N28" s="26">
        <f t="shared" si="7"/>
        <v>0</v>
      </c>
      <c r="O28" s="9"/>
      <c r="P28" s="3">
        <v>0</v>
      </c>
      <c r="Q28" s="3"/>
      <c r="R28" s="26">
        <f t="shared" si="8"/>
        <v>0</v>
      </c>
      <c r="S28" s="3"/>
      <c r="T28" s="3"/>
      <c r="U28" s="3"/>
      <c r="V28" s="26">
        <f t="shared" si="9"/>
        <v>0</v>
      </c>
      <c r="W28" s="3"/>
      <c r="X28" s="3">
        <f t="shared" si="10"/>
        <v>0</v>
      </c>
      <c r="Y28" s="3"/>
      <c r="Z28" s="26">
        <f t="shared" si="11"/>
        <v>0</v>
      </c>
    </row>
    <row r="29" spans="1:26" s="70" customFormat="1" ht="15" hidden="1" customHeight="1" outlineLevel="1" x14ac:dyDescent="0.3">
      <c r="A29" s="48"/>
      <c r="B29" s="9" t="str">
        <f>CONCATENATE("          ","5045"," - ","PURCHASES @ COST-SPECIAL ORDER")</f>
        <v xml:space="preserve">          5045 - PURCHASES @ COST-SPECIAL ORDER</v>
      </c>
      <c r="C29" s="9"/>
      <c r="D29" s="3"/>
      <c r="E29" s="3"/>
      <c r="F29" s="26">
        <f t="shared" si="4"/>
        <v>0</v>
      </c>
      <c r="G29" s="3"/>
      <c r="H29" s="3"/>
      <c r="I29" s="3"/>
      <c r="J29" s="26">
        <f t="shared" si="5"/>
        <v>0</v>
      </c>
      <c r="K29" s="3"/>
      <c r="L29" s="3">
        <f t="shared" si="6"/>
        <v>0</v>
      </c>
      <c r="M29" s="3"/>
      <c r="N29" s="26">
        <f t="shared" si="7"/>
        <v>0</v>
      </c>
      <c r="O29" s="9"/>
      <c r="P29" s="3">
        <v>0</v>
      </c>
      <c r="Q29" s="3"/>
      <c r="R29" s="26">
        <f t="shared" si="8"/>
        <v>0</v>
      </c>
      <c r="S29" s="3"/>
      <c r="T29" s="3"/>
      <c r="U29" s="3"/>
      <c r="V29" s="26">
        <f t="shared" si="9"/>
        <v>0</v>
      </c>
      <c r="W29" s="3"/>
      <c r="X29" s="3">
        <f t="shared" si="10"/>
        <v>0</v>
      </c>
      <c r="Y29" s="3"/>
      <c r="Z29" s="26">
        <f t="shared" si="11"/>
        <v>0</v>
      </c>
    </row>
    <row r="30" spans="1:26" s="70" customFormat="1" ht="15" hidden="1" customHeight="1" outlineLevel="1" x14ac:dyDescent="0.3">
      <c r="A30" s="48"/>
      <c r="B30" s="9" t="str">
        <f>CONCATENATE("          ","5200"," - ","PURCHASES OFFSET")</f>
        <v xml:space="preserve">          5200 - PURCHASES OFFSET</v>
      </c>
      <c r="C30" s="9"/>
      <c r="D30" s="3">
        <v>-232978.06</v>
      </c>
      <c r="E30" s="3"/>
      <c r="F30" s="26">
        <f t="shared" si="4"/>
        <v>-0.95388974526411574</v>
      </c>
      <c r="G30" s="3"/>
      <c r="H30" s="3"/>
      <c r="I30" s="3"/>
      <c r="J30" s="26">
        <f t="shared" si="5"/>
        <v>0</v>
      </c>
      <c r="K30" s="3"/>
      <c r="L30" s="3">
        <f t="shared" si="6"/>
        <v>-232978.06</v>
      </c>
      <c r="M30" s="3"/>
      <c r="N30" s="26">
        <f t="shared" si="7"/>
        <v>0</v>
      </c>
      <c r="O30" s="9"/>
      <c r="P30" s="3">
        <v>-2698990.94</v>
      </c>
      <c r="Q30" s="3"/>
      <c r="R30" s="26">
        <f t="shared" si="8"/>
        <v>-0.57597213277415638</v>
      </c>
      <c r="S30" s="3"/>
      <c r="T30" s="3"/>
      <c r="U30" s="3"/>
      <c r="V30" s="26">
        <f t="shared" si="9"/>
        <v>0</v>
      </c>
      <c r="W30" s="3"/>
      <c r="X30" s="3">
        <f t="shared" si="10"/>
        <v>-2698990.94</v>
      </c>
      <c r="Y30" s="3"/>
      <c r="Z30" s="26">
        <f t="shared" si="11"/>
        <v>0</v>
      </c>
    </row>
    <row r="31" spans="1:26" s="70" customFormat="1" ht="15" hidden="1" customHeight="1" outlineLevel="1" x14ac:dyDescent="0.3">
      <c r="A31" s="48"/>
      <c r="B31" s="9" t="str">
        <f>CONCATENATE("          ","5300"," - ","COG$ OFFSET")</f>
        <v xml:space="preserve">          5300 - COG$ OFFSET</v>
      </c>
      <c r="C31" s="9"/>
      <c r="D31" s="3">
        <v>117212.71</v>
      </c>
      <c r="E31" s="3"/>
      <c r="F31" s="26">
        <f t="shared" si="4"/>
        <v>0.47990785949379389</v>
      </c>
      <c r="G31" s="3"/>
      <c r="H31" s="3"/>
      <c r="I31" s="3"/>
      <c r="J31" s="26">
        <f t="shared" si="5"/>
        <v>0</v>
      </c>
      <c r="K31" s="3"/>
      <c r="L31" s="3">
        <f t="shared" si="6"/>
        <v>117212.71</v>
      </c>
      <c r="M31" s="3"/>
      <c r="N31" s="26">
        <f t="shared" si="7"/>
        <v>0</v>
      </c>
      <c r="O31" s="9"/>
      <c r="P31" s="3">
        <v>2181947.58</v>
      </c>
      <c r="Q31" s="3"/>
      <c r="R31" s="26">
        <f t="shared" si="8"/>
        <v>0.46563364946086455</v>
      </c>
      <c r="S31" s="3"/>
      <c r="T31" s="3"/>
      <c r="U31" s="3"/>
      <c r="V31" s="26">
        <f t="shared" si="9"/>
        <v>0</v>
      </c>
      <c r="W31" s="3"/>
      <c r="X31" s="3">
        <f t="shared" si="10"/>
        <v>2181947.58</v>
      </c>
      <c r="Y31" s="3"/>
      <c r="Z31" s="26">
        <f t="shared" si="11"/>
        <v>0</v>
      </c>
    </row>
    <row r="32" spans="1:26" s="70" customFormat="1" ht="15" hidden="1" customHeight="1" outlineLevel="1" x14ac:dyDescent="0.3">
      <c r="A32" s="48"/>
      <c r="B32" s="9" t="str">
        <f>CONCATENATE("          ","5500"," - ","FREIGHT-IN")</f>
        <v xml:space="preserve">          5500 - FREIGHT-IN</v>
      </c>
      <c r="C32" s="9"/>
      <c r="D32" s="3">
        <v>8195.59</v>
      </c>
      <c r="E32" s="3"/>
      <c r="F32" s="26">
        <f t="shared" si="4"/>
        <v>3.3555474096527094E-2</v>
      </c>
      <c r="G32" s="3"/>
      <c r="H32" s="3"/>
      <c r="I32" s="3"/>
      <c r="J32" s="26">
        <f t="shared" si="5"/>
        <v>0</v>
      </c>
      <c r="K32" s="3"/>
      <c r="L32" s="3">
        <f t="shared" si="6"/>
        <v>8195.59</v>
      </c>
      <c r="M32" s="3"/>
      <c r="N32" s="26">
        <f t="shared" si="7"/>
        <v>0</v>
      </c>
      <c r="O32" s="9"/>
      <c r="P32" s="3">
        <v>120774.37</v>
      </c>
      <c r="Q32" s="3"/>
      <c r="R32" s="26">
        <f t="shared" si="8"/>
        <v>2.5773584654328292E-2</v>
      </c>
      <c r="S32" s="3"/>
      <c r="T32" s="3"/>
      <c r="U32" s="3"/>
      <c r="V32" s="26">
        <f t="shared" si="9"/>
        <v>0</v>
      </c>
      <c r="W32" s="3"/>
      <c r="X32" s="3">
        <f t="shared" si="10"/>
        <v>120774.37</v>
      </c>
      <c r="Y32" s="3"/>
      <c r="Z32" s="26">
        <f t="shared" si="11"/>
        <v>0</v>
      </c>
    </row>
    <row r="33" spans="1:26" s="70" customFormat="1" ht="15" hidden="1" customHeight="1" outlineLevel="1" x14ac:dyDescent="0.3">
      <c r="A33" s="48"/>
      <c r="B33" s="9" t="str">
        <f>CONCATENATE("          ","5527"," - ","FREIGHT-IN-SCHOOL SUPPLIES")</f>
        <v xml:space="preserve">          5527 - FREIGHT-IN-SCHOOL SUPPLIES</v>
      </c>
      <c r="C33" s="9"/>
      <c r="D33" s="3"/>
      <c r="E33" s="3"/>
      <c r="F33" s="26">
        <f t="shared" si="4"/>
        <v>0</v>
      </c>
      <c r="G33" s="3"/>
      <c r="H33" s="3"/>
      <c r="I33" s="3"/>
      <c r="J33" s="26">
        <f t="shared" si="5"/>
        <v>0</v>
      </c>
      <c r="K33" s="3"/>
      <c r="L33" s="3">
        <f t="shared" si="6"/>
        <v>0</v>
      </c>
      <c r="M33" s="3"/>
      <c r="N33" s="26">
        <f t="shared" si="7"/>
        <v>0</v>
      </c>
      <c r="O33" s="9"/>
      <c r="P33" s="3">
        <v>0</v>
      </c>
      <c r="Q33" s="3"/>
      <c r="R33" s="26">
        <f t="shared" si="8"/>
        <v>0</v>
      </c>
      <c r="S33" s="3"/>
      <c r="T33" s="3"/>
      <c r="U33" s="3"/>
      <c r="V33" s="26">
        <f t="shared" si="9"/>
        <v>0</v>
      </c>
      <c r="W33" s="3"/>
      <c r="X33" s="3">
        <f t="shared" si="10"/>
        <v>0</v>
      </c>
      <c r="Y33" s="3"/>
      <c r="Z33" s="26">
        <f t="shared" si="11"/>
        <v>0</v>
      </c>
    </row>
    <row r="34" spans="1:26" s="70" customFormat="1" ht="15" hidden="1" customHeight="1" outlineLevel="1" x14ac:dyDescent="0.3">
      <c r="A34" s="48"/>
      <c r="B34" s="9" t="str">
        <f>CONCATENATE("          ","5540"," - ","FREIGHT-IN-LOGO CLOTHING")</f>
        <v xml:space="preserve">          5540 - FREIGHT-IN-LOGO CLOTHING</v>
      </c>
      <c r="C34" s="9"/>
      <c r="D34" s="3"/>
      <c r="E34" s="3"/>
      <c r="F34" s="26">
        <f t="shared" si="4"/>
        <v>0</v>
      </c>
      <c r="G34" s="3"/>
      <c r="H34" s="3"/>
      <c r="I34" s="3"/>
      <c r="J34" s="26">
        <f t="shared" si="5"/>
        <v>0</v>
      </c>
      <c r="K34" s="3"/>
      <c r="L34" s="3">
        <f t="shared" si="6"/>
        <v>0</v>
      </c>
      <c r="M34" s="3"/>
      <c r="N34" s="26">
        <f t="shared" si="7"/>
        <v>0</v>
      </c>
      <c r="O34" s="9"/>
      <c r="P34" s="3">
        <v>0</v>
      </c>
      <c r="Q34" s="3"/>
      <c r="R34" s="26">
        <f t="shared" si="8"/>
        <v>0</v>
      </c>
      <c r="S34" s="3"/>
      <c r="T34" s="3"/>
      <c r="U34" s="3"/>
      <c r="V34" s="26">
        <f t="shared" si="9"/>
        <v>0</v>
      </c>
      <c r="W34" s="3"/>
      <c r="X34" s="3">
        <f t="shared" si="10"/>
        <v>0</v>
      </c>
      <c r="Y34" s="3"/>
      <c r="Z34" s="26">
        <f t="shared" si="11"/>
        <v>0</v>
      </c>
    </row>
    <row r="35" spans="1:26" s="70" customFormat="1" ht="15" hidden="1" customHeight="1" outlineLevel="1" x14ac:dyDescent="0.3">
      <c r="A35" s="48"/>
      <c r="B35" s="9" t="str">
        <f>CONCATENATE("          ","5541"," - ","FREIGHT-IN-LOGO GIFTS")</f>
        <v xml:space="preserve">          5541 - FREIGHT-IN-LOGO GIFTS</v>
      </c>
      <c r="C35" s="9"/>
      <c r="D35" s="3"/>
      <c r="E35" s="3"/>
      <c r="F35" s="26">
        <f t="shared" si="4"/>
        <v>0</v>
      </c>
      <c r="G35" s="3"/>
      <c r="H35" s="3"/>
      <c r="I35" s="3"/>
      <c r="J35" s="26">
        <f t="shared" si="5"/>
        <v>0</v>
      </c>
      <c r="K35" s="3"/>
      <c r="L35" s="3">
        <f t="shared" si="6"/>
        <v>0</v>
      </c>
      <c r="M35" s="3"/>
      <c r="N35" s="26">
        <f t="shared" si="7"/>
        <v>0</v>
      </c>
      <c r="O35" s="9"/>
      <c r="P35" s="3">
        <v>0</v>
      </c>
      <c r="Q35" s="3"/>
      <c r="R35" s="26">
        <f t="shared" si="8"/>
        <v>0</v>
      </c>
      <c r="S35" s="3"/>
      <c r="T35" s="3"/>
      <c r="U35" s="3"/>
      <c r="V35" s="26">
        <f t="shared" si="9"/>
        <v>0</v>
      </c>
      <c r="W35" s="3"/>
      <c r="X35" s="3">
        <f t="shared" si="10"/>
        <v>0</v>
      </c>
      <c r="Y35" s="3"/>
      <c r="Z35" s="26">
        <f t="shared" si="11"/>
        <v>0</v>
      </c>
    </row>
    <row r="36" spans="1:26" s="70" customFormat="1" ht="15" hidden="1" customHeight="1" outlineLevel="1" x14ac:dyDescent="0.3">
      <c r="A36" s="48"/>
      <c r="B36" s="9" t="str">
        <f>CONCATENATE("          ","5542"," - ","FREIGHT-IN-EVERYDAY GIFTS")</f>
        <v xml:space="preserve">          5542 - FREIGHT-IN-EVERYDAY GIFTS</v>
      </c>
      <c r="C36" s="9"/>
      <c r="D36" s="3"/>
      <c r="E36" s="3"/>
      <c r="F36" s="26">
        <f t="shared" si="4"/>
        <v>0</v>
      </c>
      <c r="G36" s="3"/>
      <c r="H36" s="3"/>
      <c r="I36" s="3"/>
      <c r="J36" s="26">
        <f t="shared" si="5"/>
        <v>0</v>
      </c>
      <c r="K36" s="3"/>
      <c r="L36" s="3">
        <f t="shared" si="6"/>
        <v>0</v>
      </c>
      <c r="M36" s="3"/>
      <c r="N36" s="26">
        <f t="shared" si="7"/>
        <v>0</v>
      </c>
      <c r="O36" s="9"/>
      <c r="P36" s="3">
        <v>0</v>
      </c>
      <c r="Q36" s="3"/>
      <c r="R36" s="26">
        <f t="shared" si="8"/>
        <v>0</v>
      </c>
      <c r="S36" s="3"/>
      <c r="T36" s="3"/>
      <c r="U36" s="3"/>
      <c r="V36" s="26">
        <f t="shared" si="9"/>
        <v>0</v>
      </c>
      <c r="W36" s="3"/>
      <c r="X36" s="3">
        <f t="shared" si="10"/>
        <v>0</v>
      </c>
      <c r="Y36" s="3"/>
      <c r="Z36" s="26">
        <f t="shared" si="11"/>
        <v>0</v>
      </c>
    </row>
    <row r="37" spans="1:26" s="70" customFormat="1" ht="15" hidden="1" customHeight="1" outlineLevel="1" x14ac:dyDescent="0.3">
      <c r="A37" s="48"/>
      <c r="B37" s="9" t="str">
        <f>CONCATENATE("          ","5544"," - ","FREIGHT-IN-ACCESSORIES")</f>
        <v xml:space="preserve">          5544 - FREIGHT-IN-ACCESSORIES</v>
      </c>
      <c r="C37" s="9"/>
      <c r="D37" s="3"/>
      <c r="E37" s="3"/>
      <c r="F37" s="26">
        <f t="shared" si="4"/>
        <v>0</v>
      </c>
      <c r="G37" s="3"/>
      <c r="H37" s="3"/>
      <c r="I37" s="3"/>
      <c r="J37" s="26">
        <f t="shared" si="5"/>
        <v>0</v>
      </c>
      <c r="K37" s="3"/>
      <c r="L37" s="3">
        <f t="shared" si="6"/>
        <v>0</v>
      </c>
      <c r="M37" s="3"/>
      <c r="N37" s="26">
        <f t="shared" si="7"/>
        <v>0</v>
      </c>
      <c r="O37" s="9"/>
      <c r="P37" s="3">
        <v>0</v>
      </c>
      <c r="Q37" s="3"/>
      <c r="R37" s="26">
        <f t="shared" si="8"/>
        <v>0</v>
      </c>
      <c r="S37" s="3"/>
      <c r="T37" s="3"/>
      <c r="U37" s="3"/>
      <c r="V37" s="26">
        <f t="shared" si="9"/>
        <v>0</v>
      </c>
      <c r="W37" s="3"/>
      <c r="X37" s="3">
        <f t="shared" si="10"/>
        <v>0</v>
      </c>
      <c r="Y37" s="3"/>
      <c r="Z37" s="26">
        <f t="shared" si="11"/>
        <v>0</v>
      </c>
    </row>
    <row r="38" spans="1:26" s="70" customFormat="1" ht="15" hidden="1" customHeight="1" outlineLevel="1" x14ac:dyDescent="0.3">
      <c r="A38" s="48"/>
      <c r="B38" s="9" t="str">
        <f>CONCATENATE("          ","5545"," - ","FREIGHT-IN-SPECIAL ORDERS")</f>
        <v xml:space="preserve">          5545 - FREIGHT-IN-SPECIAL ORDERS</v>
      </c>
      <c r="C38" s="9"/>
      <c r="D38" s="3"/>
      <c r="E38" s="3"/>
      <c r="F38" s="26">
        <f t="shared" si="4"/>
        <v>0</v>
      </c>
      <c r="G38" s="3"/>
      <c r="H38" s="3"/>
      <c r="I38" s="3"/>
      <c r="J38" s="26">
        <f t="shared" si="5"/>
        <v>0</v>
      </c>
      <c r="K38" s="3"/>
      <c r="L38" s="3">
        <f t="shared" si="6"/>
        <v>0</v>
      </c>
      <c r="M38" s="3"/>
      <c r="N38" s="26">
        <f t="shared" si="7"/>
        <v>0</v>
      </c>
      <c r="O38" s="9"/>
      <c r="P38" s="3">
        <v>0</v>
      </c>
      <c r="Q38" s="3"/>
      <c r="R38" s="26">
        <f t="shared" si="8"/>
        <v>0</v>
      </c>
      <c r="S38" s="3"/>
      <c r="T38" s="3"/>
      <c r="U38" s="3"/>
      <c r="V38" s="26">
        <f t="shared" si="9"/>
        <v>0</v>
      </c>
      <c r="W38" s="3"/>
      <c r="X38" s="3">
        <f t="shared" si="10"/>
        <v>0</v>
      </c>
      <c r="Y38" s="3"/>
      <c r="Z38" s="26">
        <f t="shared" si="11"/>
        <v>0</v>
      </c>
    </row>
    <row r="39" spans="1:26" ht="15" customHeight="1" x14ac:dyDescent="0.3">
      <c r="A39" s="12"/>
      <c r="B39" s="13"/>
      <c r="C39" s="13"/>
      <c r="D39" s="4"/>
      <c r="E39" s="4"/>
      <c r="F39" s="10"/>
      <c r="G39" s="4"/>
      <c r="H39" s="4"/>
      <c r="I39" s="4"/>
      <c r="J39" s="10"/>
      <c r="K39" s="4"/>
      <c r="L39" s="4"/>
      <c r="M39" s="4"/>
      <c r="N39" s="10"/>
      <c r="O39" s="13"/>
      <c r="P39" s="4"/>
      <c r="Q39" s="4"/>
      <c r="R39" s="10"/>
      <c r="S39" s="4"/>
      <c r="T39" s="4"/>
      <c r="U39" s="4"/>
      <c r="V39" s="10"/>
      <c r="W39" s="4"/>
      <c r="X39" s="4"/>
      <c r="Y39" s="4"/>
      <c r="Z39" s="10"/>
    </row>
    <row r="40" spans="1:26" s="63" customFormat="1" ht="15" customHeight="1" x14ac:dyDescent="0.3">
      <c r="A40" s="13"/>
      <c r="B40" s="27" t="s">
        <v>289</v>
      </c>
      <c r="C40" s="27"/>
      <c r="D40" s="23">
        <f>D12-D19</f>
        <v>-265342.35000000009</v>
      </c>
      <c r="E40" s="15"/>
      <c r="F40" s="22">
        <f>IF(D$12=0,0,D40/D$12)</f>
        <v>-1.0863999238781623</v>
      </c>
      <c r="G40" s="15"/>
      <c r="H40" s="23">
        <f>H12-H19</f>
        <v>86806</v>
      </c>
      <c r="I40" s="15"/>
      <c r="J40" s="22">
        <f>IF(H$12=0,0,H40/H$12)</f>
        <v>0.44572126888279573</v>
      </c>
      <c r="K40" s="17"/>
      <c r="L40" s="23">
        <f>+D40-H40</f>
        <v>-352148.35000000009</v>
      </c>
      <c r="M40" s="17"/>
      <c r="N40" s="22">
        <f>IF(H40=0,0,L40/H40)</f>
        <v>-4.0567282215515066</v>
      </c>
      <c r="O40" s="28"/>
      <c r="P40" s="23">
        <f>P12-P19</f>
        <v>2114657.6199999987</v>
      </c>
      <c r="Q40" s="15"/>
      <c r="R40" s="22">
        <f>IF(P$12=0,0,P40/P$12)</f>
        <v>0.45127378585365718</v>
      </c>
      <c r="S40" s="15"/>
      <c r="T40" s="23">
        <f>T12-T19</f>
        <v>1349784</v>
      </c>
      <c r="U40" s="15"/>
      <c r="V40" s="22">
        <f>IF(T$12=0,0,T40/T$12)</f>
        <v>0.48337375820210621</v>
      </c>
      <c r="W40" s="17"/>
      <c r="X40" s="23">
        <f>+P40-T40</f>
        <v>764873.61999999871</v>
      </c>
      <c r="Y40" s="17"/>
      <c r="Z40" s="22">
        <f>IF(T40=0,0,X40/T40)</f>
        <v>0.56666371804673843</v>
      </c>
    </row>
    <row r="41" spans="1:26" ht="15" customHeight="1" x14ac:dyDescent="0.3">
      <c r="A41" s="12"/>
      <c r="B41" s="13"/>
      <c r="C41" s="12"/>
      <c r="D41" s="2"/>
      <c r="E41" s="2"/>
      <c r="F41" s="5"/>
      <c r="G41" s="2"/>
      <c r="H41" s="2"/>
      <c r="I41" s="2"/>
      <c r="J41" s="5"/>
      <c r="K41" s="2"/>
      <c r="L41" s="2"/>
      <c r="M41" s="2"/>
      <c r="N41" s="5"/>
      <c r="O41" s="36"/>
      <c r="P41" s="2"/>
      <c r="Q41" s="2"/>
      <c r="R41" s="5"/>
      <c r="S41" s="2"/>
      <c r="T41" s="2"/>
      <c r="U41" s="2"/>
      <c r="V41" s="5"/>
      <c r="W41" s="2"/>
      <c r="X41" s="2"/>
      <c r="Y41" s="2"/>
      <c r="Z41" s="5"/>
    </row>
    <row r="42" spans="1:26" s="63" customFormat="1" ht="15" customHeight="1" x14ac:dyDescent="0.3">
      <c r="A42" s="13"/>
      <c r="B42" s="28" t="s">
        <v>290</v>
      </c>
      <c r="C42" s="13"/>
      <c r="D42" s="24" cm="1">
        <f t="array" ref="D42">SUM(OSRRefD22x_0)</f>
        <v>32782.76</v>
      </c>
      <c r="E42" s="24"/>
      <c r="F42" s="34">
        <f t="shared" ref="F42:F73" si="12">IF(D$12=0,0,D42/D$12)</f>
        <v>0.13422353411928423</v>
      </c>
      <c r="G42" s="24"/>
      <c r="H42" s="24" cm="1">
        <f t="array" ref="H42">SUM(OSRRefH22x_0)</f>
        <v>79249.991637923085</v>
      </c>
      <c r="I42" s="24"/>
      <c r="J42" s="34">
        <f t="shared" ref="J42:J73" si="13">IF(H$12=0,0,H42/H$12)</f>
        <v>0.40692356325376161</v>
      </c>
      <c r="K42" s="8"/>
      <c r="L42" s="24">
        <f t="shared" ref="L42:L73" si="14">+D42-H42</f>
        <v>-46467.231637923083</v>
      </c>
      <c r="M42" s="8"/>
      <c r="N42" s="34">
        <f t="shared" ref="N42:N73" si="15">IF(H42=0,0,L42/H42)</f>
        <v>-0.58633736960153016</v>
      </c>
      <c r="O42" s="13"/>
      <c r="P42" s="24" cm="1">
        <f t="array" ref="P42">SUM(OSRRefP22x_0)</f>
        <v>986694.11000000022</v>
      </c>
      <c r="Q42" s="24"/>
      <c r="R42" s="34">
        <f t="shared" ref="R42:R73" si="16">IF(P$12=0,0,P42/P$12)</f>
        <v>0.21056325255111757</v>
      </c>
      <c r="S42" s="24"/>
      <c r="T42" s="24" cm="1">
        <f t="array" ref="T42">SUM(OSRRefT22x_0)</f>
        <v>1036034.047489</v>
      </c>
      <c r="U42" s="24"/>
      <c r="V42" s="34">
        <f t="shared" ref="V42:V73" si="17">IF(T$12=0,0,T42/T$12)</f>
        <v>0.37101615603688981</v>
      </c>
      <c r="W42" s="8"/>
      <c r="X42" s="24">
        <f t="shared" ref="X42:X73" si="18">+P42-T42</f>
        <v>-49339.9374889998</v>
      </c>
      <c r="Y42" s="8"/>
      <c r="Z42" s="34">
        <f t="shared" ref="Z42:Z73" si="19">IF(T42=0,0,X42/T42)</f>
        <v>-4.7623857158539631E-2</v>
      </c>
    </row>
    <row r="43" spans="1:26" s="69" customFormat="1" ht="15" customHeight="1" outlineLevel="1" collapsed="1" x14ac:dyDescent="0.3">
      <c r="A43" s="20"/>
      <c r="B43" s="11" t="str">
        <f>CONCATENATE("     ","*Benefits                                         ")</f>
        <v xml:space="preserve">     *Benefits                                         </v>
      </c>
      <c r="C43" s="11"/>
      <c r="D43" s="2">
        <f>SUM(OSRRefD22_0x_0)</f>
        <v>5379.8899999999994</v>
      </c>
      <c r="E43" s="2"/>
      <c r="F43" s="5">
        <f t="shared" si="12"/>
        <v>2.2027060838471071E-2</v>
      </c>
      <c r="G43" s="2"/>
      <c r="H43" s="2">
        <f>SUM(OSRRefH22_0x_0)</f>
        <v>15491.201637923081</v>
      </c>
      <c r="I43" s="2"/>
      <c r="J43" s="5">
        <f t="shared" si="13"/>
        <v>7.9542405485500067E-2</v>
      </c>
      <c r="K43" s="2"/>
      <c r="L43" s="2">
        <f t="shared" si="14"/>
        <v>-10111.311637923081</v>
      </c>
      <c r="M43" s="2"/>
      <c r="N43" s="5">
        <f t="shared" si="15"/>
        <v>-0.65271318999361461</v>
      </c>
      <c r="O43" s="11"/>
      <c r="P43" s="2">
        <f>SUM(OSRRefP22_0x_0)</f>
        <v>150778.91</v>
      </c>
      <c r="Q43" s="2"/>
      <c r="R43" s="5">
        <f t="shared" si="16"/>
        <v>3.2176636491437274E-2</v>
      </c>
      <c r="S43" s="2"/>
      <c r="T43" s="2">
        <f>SUM(OSRRefT22_0x_0)</f>
        <v>216593.53748899998</v>
      </c>
      <c r="U43" s="2"/>
      <c r="V43" s="5">
        <f t="shared" si="17"/>
        <v>7.7564730518621283E-2</v>
      </c>
      <c r="W43" s="2"/>
      <c r="X43" s="2">
        <f t="shared" si="18"/>
        <v>-65814.627488999977</v>
      </c>
      <c r="Y43" s="2"/>
      <c r="Z43" s="5">
        <f t="shared" si="19"/>
        <v>-0.30386237859170878</v>
      </c>
    </row>
    <row r="44" spans="1:26" s="70" customFormat="1" ht="15" hidden="1" customHeight="1" outlineLevel="2" x14ac:dyDescent="0.3">
      <c r="A44" s="21"/>
      <c r="B44" s="9" t="str">
        <f>CONCATENATE("          ","6111"," - ","F.I.C.A.")</f>
        <v xml:space="preserve">          6111 - F.I.C.A.</v>
      </c>
      <c r="C44" s="9"/>
      <c r="D44" s="6">
        <v>3972.99</v>
      </c>
      <c r="E44" s="3"/>
      <c r="F44" s="7">
        <f t="shared" si="12"/>
        <v>1.6266743825735692E-2</v>
      </c>
      <c r="G44" s="3"/>
      <c r="H44" s="6">
        <v>2176.5667709999998</v>
      </c>
      <c r="I44" s="3"/>
      <c r="J44" s="7">
        <f t="shared" si="13"/>
        <v>1.117597980529283E-2</v>
      </c>
      <c r="K44" s="3"/>
      <c r="L44" s="6">
        <f t="shared" si="14"/>
        <v>1796.423229</v>
      </c>
      <c r="M44" s="3"/>
      <c r="N44" s="7">
        <f t="shared" si="15"/>
        <v>0.82534717194761409</v>
      </c>
      <c r="O44" s="9"/>
      <c r="P44" s="6">
        <v>31663.77</v>
      </c>
      <c r="Q44" s="3"/>
      <c r="R44" s="7">
        <f t="shared" si="16"/>
        <v>6.7571361090120411E-3</v>
      </c>
      <c r="S44" s="3"/>
      <c r="T44" s="6">
        <v>49502.228979</v>
      </c>
      <c r="U44" s="3"/>
      <c r="V44" s="7">
        <f t="shared" si="17"/>
        <v>1.7727338937904465E-2</v>
      </c>
      <c r="W44" s="3"/>
      <c r="X44" s="6">
        <f t="shared" si="18"/>
        <v>-17838.458978999999</v>
      </c>
      <c r="Y44" s="3"/>
      <c r="Z44" s="7">
        <f t="shared" si="19"/>
        <v>-0.36035668184896258</v>
      </c>
    </row>
    <row r="45" spans="1:26" s="70" customFormat="1" ht="15" hidden="1" customHeight="1" outlineLevel="2" x14ac:dyDescent="0.3">
      <c r="A45" s="21"/>
      <c r="B45" s="9" t="str">
        <f>CONCATENATE("          ","6112"," - ","COMPENSATION INSURANCE")</f>
        <v xml:space="preserve">          6112 - COMPENSATION INSURANCE</v>
      </c>
      <c r="C45" s="9"/>
      <c r="D45" s="6">
        <v>-6295.43</v>
      </c>
      <c r="E45" s="3"/>
      <c r="F45" s="7">
        <f t="shared" si="12"/>
        <v>-2.577558641800036E-2</v>
      </c>
      <c r="G45" s="3"/>
      <c r="H45" s="6">
        <v>904.37411999999995</v>
      </c>
      <c r="I45" s="3"/>
      <c r="J45" s="7">
        <f t="shared" si="13"/>
        <v>4.6436741735728145E-3</v>
      </c>
      <c r="K45" s="3"/>
      <c r="L45" s="6">
        <f t="shared" si="14"/>
        <v>-7199.8041200000007</v>
      </c>
      <c r="M45" s="3"/>
      <c r="N45" s="7">
        <f t="shared" si="15"/>
        <v>-7.9610903947583118</v>
      </c>
      <c r="O45" s="9"/>
      <c r="P45" s="6">
        <v>4052.51</v>
      </c>
      <c r="Q45" s="3"/>
      <c r="R45" s="7">
        <f t="shared" si="16"/>
        <v>8.6481684439763137E-4</v>
      </c>
      <c r="S45" s="3"/>
      <c r="T45" s="6">
        <v>11520.074280000001</v>
      </c>
      <c r="U45" s="3"/>
      <c r="V45" s="7">
        <f t="shared" si="17"/>
        <v>4.1254760757951075E-3</v>
      </c>
      <c r="W45" s="3"/>
      <c r="X45" s="6">
        <f t="shared" si="18"/>
        <v>-7467.5642800000005</v>
      </c>
      <c r="Y45" s="3"/>
      <c r="Z45" s="7">
        <f t="shared" si="19"/>
        <v>-0.64822188629151789</v>
      </c>
    </row>
    <row r="46" spans="1:26" s="70" customFormat="1" ht="15" hidden="1" customHeight="1" outlineLevel="2" x14ac:dyDescent="0.3">
      <c r="A46" s="21"/>
      <c r="B46" s="9" t="str">
        <f>CONCATENATE("          ","6113"," - ","GROUP INSURANCE")</f>
        <v xml:space="preserve">          6113 - GROUP INSURANCE</v>
      </c>
      <c r="C46" s="9"/>
      <c r="D46" s="6">
        <v>3347.46</v>
      </c>
      <c r="E46" s="3"/>
      <c r="F46" s="7">
        <f t="shared" si="12"/>
        <v>1.3705615742022306E-2</v>
      </c>
      <c r="G46" s="3"/>
      <c r="H46" s="6">
        <v>6784.4230769230799</v>
      </c>
      <c r="I46" s="3"/>
      <c r="J46" s="7">
        <f t="shared" si="13"/>
        <v>3.4835859992211095E-2</v>
      </c>
      <c r="K46" s="3"/>
      <c r="L46" s="6">
        <f t="shared" si="14"/>
        <v>-3436.9630769230798</v>
      </c>
      <c r="M46" s="3"/>
      <c r="N46" s="7">
        <f t="shared" si="15"/>
        <v>-0.50659621871368254</v>
      </c>
      <c r="O46" s="9"/>
      <c r="P46" s="6">
        <v>47565.760000000002</v>
      </c>
      <c r="Q46" s="3"/>
      <c r="R46" s="7">
        <f t="shared" si="16"/>
        <v>1.0150664764448472E-2</v>
      </c>
      <c r="S46" s="3"/>
      <c r="T46" s="6">
        <v>83850</v>
      </c>
      <c r="U46" s="3"/>
      <c r="V46" s="7">
        <f t="shared" si="17"/>
        <v>3.0027685633587747E-2</v>
      </c>
      <c r="W46" s="3"/>
      <c r="X46" s="6">
        <f t="shared" si="18"/>
        <v>-36284.239999999998</v>
      </c>
      <c r="Y46" s="3"/>
      <c r="Z46" s="7">
        <f t="shared" si="19"/>
        <v>-0.43272796660703633</v>
      </c>
    </row>
    <row r="47" spans="1:26" s="70" customFormat="1" ht="15" hidden="1" customHeight="1" outlineLevel="2" x14ac:dyDescent="0.3">
      <c r="A47" s="21"/>
      <c r="B47" s="9" t="str">
        <f>CONCATENATE("          ","6114"," - ","STATE UNEMPLOYMENT INSURANCE")</f>
        <v xml:space="preserve">          6114 - STATE UNEMPLOYMENT INSURANCE</v>
      </c>
      <c r="C47" s="9"/>
      <c r="D47" s="6"/>
      <c r="E47" s="3"/>
      <c r="F47" s="7">
        <f t="shared" si="12"/>
        <v>0</v>
      </c>
      <c r="G47" s="3"/>
      <c r="H47" s="6">
        <v>121.74267</v>
      </c>
      <c r="I47" s="3"/>
      <c r="J47" s="7">
        <f t="shared" si="13"/>
        <v>6.2510998490403278E-4</v>
      </c>
      <c r="K47" s="3"/>
      <c r="L47" s="6">
        <f t="shared" si="14"/>
        <v>-121.74267</v>
      </c>
      <c r="M47" s="3"/>
      <c r="N47" s="7">
        <f t="shared" si="15"/>
        <v>-1</v>
      </c>
      <c r="O47" s="9"/>
      <c r="P47" s="6">
        <v>1819.04</v>
      </c>
      <c r="Q47" s="3"/>
      <c r="R47" s="7">
        <f t="shared" si="16"/>
        <v>3.8818816798306906E-4</v>
      </c>
      <c r="S47" s="3"/>
      <c r="T47" s="6">
        <v>1550.7792300000001</v>
      </c>
      <c r="U47" s="3"/>
      <c r="V47" s="7">
        <f t="shared" si="17"/>
        <v>5.5535254866472602E-4</v>
      </c>
      <c r="W47" s="3"/>
      <c r="X47" s="6">
        <f t="shared" si="18"/>
        <v>268.26076999999987</v>
      </c>
      <c r="Y47" s="3"/>
      <c r="Z47" s="7">
        <f t="shared" si="19"/>
        <v>0.1729845001857549</v>
      </c>
    </row>
    <row r="48" spans="1:26" s="70" customFormat="1" ht="15" hidden="1" customHeight="1" outlineLevel="2" x14ac:dyDescent="0.3">
      <c r="A48" s="21"/>
      <c r="B48" s="9" t="str">
        <f>CONCATENATE("          ","6115"," - ","P.E.R.S.")</f>
        <v xml:space="preserve">          6115 - P.E.R.S.</v>
      </c>
      <c r="C48" s="9"/>
      <c r="D48" s="6">
        <v>1143.78</v>
      </c>
      <c r="E48" s="3"/>
      <c r="F48" s="7">
        <f t="shared" si="12"/>
        <v>4.6830161296655586E-3</v>
      </c>
      <c r="G48" s="3"/>
      <c r="H48" s="6">
        <v>1207.2249999999999</v>
      </c>
      <c r="I48" s="3"/>
      <c r="J48" s="7">
        <f t="shared" si="13"/>
        <v>6.1987173562545565E-3</v>
      </c>
      <c r="K48" s="3"/>
      <c r="L48" s="6">
        <f t="shared" si="14"/>
        <v>-63.444999999999936</v>
      </c>
      <c r="M48" s="3"/>
      <c r="N48" s="7">
        <f t="shared" si="15"/>
        <v>-5.255441197788311E-2</v>
      </c>
      <c r="O48" s="9"/>
      <c r="P48" s="6">
        <v>17289.39</v>
      </c>
      <c r="Q48" s="3"/>
      <c r="R48" s="7">
        <f t="shared" si="16"/>
        <v>3.6896036533802415E-3</v>
      </c>
      <c r="S48" s="3"/>
      <c r="T48" s="6">
        <v>15693.924999999999</v>
      </c>
      <c r="U48" s="3"/>
      <c r="V48" s="7">
        <f t="shared" si="17"/>
        <v>5.6201818277531734E-3</v>
      </c>
      <c r="W48" s="3"/>
      <c r="X48" s="6">
        <f t="shared" si="18"/>
        <v>1595.4650000000001</v>
      </c>
      <c r="Y48" s="3"/>
      <c r="Z48" s="7">
        <f t="shared" si="19"/>
        <v>0.10166131162217229</v>
      </c>
    </row>
    <row r="49" spans="1:26" s="70" customFormat="1" ht="15" hidden="1" customHeight="1" outlineLevel="2" x14ac:dyDescent="0.3">
      <c r="A49" s="21"/>
      <c r="B49" s="9" t="str">
        <f>CONCATENATE("          ","6116"," - ","EDUCATIONAL BENEFITS")</f>
        <v xml:space="preserve">          6116 - EDUCATIONAL BENEFITS</v>
      </c>
      <c r="C49" s="9"/>
      <c r="D49" s="6"/>
      <c r="E49" s="3"/>
      <c r="F49" s="7">
        <f t="shared" si="12"/>
        <v>0</v>
      </c>
      <c r="G49" s="3"/>
      <c r="H49" s="6">
        <v>0</v>
      </c>
      <c r="I49" s="3"/>
      <c r="J49" s="7">
        <f t="shared" si="13"/>
        <v>0</v>
      </c>
      <c r="K49" s="3"/>
      <c r="L49" s="6">
        <f t="shared" si="14"/>
        <v>0</v>
      </c>
      <c r="M49" s="3"/>
      <c r="N49" s="7">
        <f t="shared" si="15"/>
        <v>0</v>
      </c>
      <c r="O49" s="9"/>
      <c r="P49" s="6"/>
      <c r="Q49" s="3"/>
      <c r="R49" s="7">
        <f t="shared" si="16"/>
        <v>0</v>
      </c>
      <c r="S49" s="3"/>
      <c r="T49" s="6">
        <v>0</v>
      </c>
      <c r="U49" s="3"/>
      <c r="V49" s="7">
        <f t="shared" si="17"/>
        <v>0</v>
      </c>
      <c r="W49" s="3"/>
      <c r="X49" s="6">
        <f t="shared" si="18"/>
        <v>0</v>
      </c>
      <c r="Y49" s="3"/>
      <c r="Z49" s="7">
        <f t="shared" si="19"/>
        <v>0</v>
      </c>
    </row>
    <row r="50" spans="1:26" s="70" customFormat="1" ht="15" hidden="1" customHeight="1" outlineLevel="2" x14ac:dyDescent="0.3">
      <c r="A50" s="21"/>
      <c r="B50" s="9" t="str">
        <f>CONCATENATE("          ","6118"," - ","VACATION")</f>
        <v xml:space="preserve">          6118 - VACATION</v>
      </c>
      <c r="C50" s="9"/>
      <c r="D50" s="6">
        <v>1483.91</v>
      </c>
      <c r="E50" s="3"/>
      <c r="F50" s="7">
        <f t="shared" si="12"/>
        <v>6.0756215924146423E-3</v>
      </c>
      <c r="G50" s="3"/>
      <c r="H50" s="6">
        <v>1113.875</v>
      </c>
      <c r="I50" s="3"/>
      <c r="J50" s="7">
        <f t="shared" si="13"/>
        <v>5.7193947236000289E-3</v>
      </c>
      <c r="K50" s="3"/>
      <c r="L50" s="6">
        <f t="shared" si="14"/>
        <v>370.03500000000008</v>
      </c>
      <c r="M50" s="3"/>
      <c r="N50" s="7">
        <f t="shared" si="15"/>
        <v>0.33220513971495913</v>
      </c>
      <c r="O50" s="9"/>
      <c r="P50" s="6">
        <v>21560.46</v>
      </c>
      <c r="Q50" s="3"/>
      <c r="R50" s="7">
        <f t="shared" si="16"/>
        <v>4.6010618063771231E-3</v>
      </c>
      <c r="S50" s="3"/>
      <c r="T50" s="6">
        <v>14480.375</v>
      </c>
      <c r="U50" s="3"/>
      <c r="V50" s="7">
        <f t="shared" si="17"/>
        <v>5.1855950907151241E-3</v>
      </c>
      <c r="W50" s="3"/>
      <c r="X50" s="6">
        <f t="shared" si="18"/>
        <v>7080.0849999999991</v>
      </c>
      <c r="Y50" s="3"/>
      <c r="Z50" s="7">
        <f t="shared" si="19"/>
        <v>0.48894348385314601</v>
      </c>
    </row>
    <row r="51" spans="1:26" s="70" customFormat="1" ht="15" hidden="1" customHeight="1" outlineLevel="2" x14ac:dyDescent="0.3">
      <c r="A51" s="21"/>
      <c r="B51" s="9" t="str">
        <f>CONCATENATE("          ","6119"," - ","SICK LEAVE")</f>
        <v xml:space="preserve">          6119 - SICK LEAVE</v>
      </c>
      <c r="C51" s="9"/>
      <c r="D51" s="6">
        <v>1084.74</v>
      </c>
      <c r="E51" s="3"/>
      <c r="F51" s="7">
        <f t="shared" si="12"/>
        <v>4.4412867129110653E-3</v>
      </c>
      <c r="G51" s="3"/>
      <c r="H51" s="6">
        <v>2307.9949999999999</v>
      </c>
      <c r="I51" s="3"/>
      <c r="J51" s="7">
        <f t="shared" si="13"/>
        <v>1.1850822062704745E-2</v>
      </c>
      <c r="K51" s="3"/>
      <c r="L51" s="6">
        <f t="shared" si="14"/>
        <v>-1223.2549999999999</v>
      </c>
      <c r="M51" s="3"/>
      <c r="N51" s="7">
        <f t="shared" si="15"/>
        <v>-0.53000764733025851</v>
      </c>
      <c r="O51" s="9"/>
      <c r="P51" s="6">
        <v>18880.95</v>
      </c>
      <c r="Q51" s="3"/>
      <c r="R51" s="7">
        <f t="shared" si="16"/>
        <v>4.0292469600887986E-3</v>
      </c>
      <c r="S51" s="3"/>
      <c r="T51" s="6">
        <v>29496.154999999999</v>
      </c>
      <c r="U51" s="3"/>
      <c r="V51" s="7">
        <f t="shared" si="17"/>
        <v>1.0562925101247195E-2</v>
      </c>
      <c r="W51" s="3"/>
      <c r="X51" s="6">
        <f t="shared" si="18"/>
        <v>-10615.204999999998</v>
      </c>
      <c r="Y51" s="3"/>
      <c r="Z51" s="7">
        <f t="shared" si="19"/>
        <v>-0.35988436458921508</v>
      </c>
    </row>
    <row r="52" spans="1:26" s="70" customFormat="1" ht="15" hidden="1" customHeight="1" outlineLevel="2" x14ac:dyDescent="0.3">
      <c r="A52" s="21"/>
      <c r="B52" s="9" t="str">
        <f>CONCATENATE("          ","6156"," - ","EMPLOYEE MEALS")</f>
        <v xml:space="preserve">          6156 - EMPLOYEE MEALS</v>
      </c>
      <c r="C52" s="9"/>
      <c r="D52" s="6">
        <v>642.44000000000005</v>
      </c>
      <c r="E52" s="3"/>
      <c r="F52" s="7">
        <f t="shared" si="12"/>
        <v>2.6303632537221684E-3</v>
      </c>
      <c r="G52" s="3"/>
      <c r="H52" s="6">
        <v>875</v>
      </c>
      <c r="I52" s="3"/>
      <c r="J52" s="7">
        <f t="shared" si="13"/>
        <v>4.4928473869599601E-3</v>
      </c>
      <c r="K52" s="3"/>
      <c r="L52" s="6">
        <f t="shared" si="14"/>
        <v>-232.55999999999995</v>
      </c>
      <c r="M52" s="3"/>
      <c r="N52" s="7">
        <f t="shared" si="15"/>
        <v>-0.2657828571428571</v>
      </c>
      <c r="O52" s="9"/>
      <c r="P52" s="6">
        <v>7947.03</v>
      </c>
      <c r="Q52" s="3"/>
      <c r="R52" s="7">
        <f t="shared" si="16"/>
        <v>1.6959181857498953E-3</v>
      </c>
      <c r="S52" s="3"/>
      <c r="T52" s="6">
        <v>10500</v>
      </c>
      <c r="U52" s="3"/>
      <c r="V52" s="7">
        <f t="shared" si="17"/>
        <v>3.760175302953743E-3</v>
      </c>
      <c r="W52" s="3"/>
      <c r="X52" s="6">
        <f t="shared" si="18"/>
        <v>-2552.9700000000003</v>
      </c>
      <c r="Y52" s="3"/>
      <c r="Z52" s="7">
        <f t="shared" si="19"/>
        <v>-0.24314000000000002</v>
      </c>
    </row>
    <row r="53" spans="1:26" s="69" customFormat="1" ht="15" customHeight="1" outlineLevel="1" collapsed="1" x14ac:dyDescent="0.3">
      <c r="A53" s="20"/>
      <c r="B53" s="11" t="str">
        <f>CONCATENATE("     ","*Payroll                                          ")</f>
        <v xml:space="preserve">     *Payroll                                          </v>
      </c>
      <c r="C53" s="11"/>
      <c r="D53" s="2">
        <f>SUM(OSRRefD22_1x_0)</f>
        <v>53373.48</v>
      </c>
      <c r="E53" s="2"/>
      <c r="F53" s="5">
        <f t="shared" si="12"/>
        <v>0.21852879726554245</v>
      </c>
      <c r="G53" s="2"/>
      <c r="H53" s="2">
        <f>SUM(OSRRefH22_1x_0)</f>
        <v>55436.79</v>
      </c>
      <c r="I53" s="2"/>
      <c r="J53" s="5">
        <f t="shared" si="13"/>
        <v>0.28465032810622631</v>
      </c>
      <c r="K53" s="2"/>
      <c r="L53" s="2">
        <f t="shared" si="14"/>
        <v>-2063.3099999999977</v>
      </c>
      <c r="M53" s="2"/>
      <c r="N53" s="5">
        <f t="shared" si="15"/>
        <v>-3.721914634667696E-2</v>
      </c>
      <c r="O53" s="11"/>
      <c r="P53" s="2">
        <f>SUM(OSRRefP22_1x_0)</f>
        <v>721970.83</v>
      </c>
      <c r="Q53" s="2"/>
      <c r="R53" s="5">
        <f t="shared" si="16"/>
        <v>0.15407057229907853</v>
      </c>
      <c r="S53" s="2"/>
      <c r="T53" s="2">
        <f>SUM(OSRRefT22_1x_0)</f>
        <v>705630.51</v>
      </c>
      <c r="U53" s="2"/>
      <c r="V53" s="5">
        <f t="shared" si="17"/>
        <v>0.2526947063535861</v>
      </c>
      <c r="W53" s="2"/>
      <c r="X53" s="2">
        <f t="shared" si="18"/>
        <v>16340.319999999949</v>
      </c>
      <c r="Y53" s="2"/>
      <c r="Z53" s="5">
        <f t="shared" si="19"/>
        <v>2.3157048580566546E-2</v>
      </c>
    </row>
    <row r="54" spans="1:26" s="70" customFormat="1" ht="15" hidden="1" customHeight="1" outlineLevel="2" x14ac:dyDescent="0.3">
      <c r="A54" s="21"/>
      <c r="B54" s="9" t="str">
        <f>CONCATENATE("          ","6001"," - ","ADMINISTRATIVE SALARIES")</f>
        <v xml:space="preserve">          6001 - ADMINISTRATIVE SALARIES</v>
      </c>
      <c r="C54" s="9"/>
      <c r="D54" s="6"/>
      <c r="E54" s="3"/>
      <c r="F54" s="7">
        <f t="shared" si="12"/>
        <v>0</v>
      </c>
      <c r="G54" s="3"/>
      <c r="H54" s="6">
        <v>0</v>
      </c>
      <c r="I54" s="3"/>
      <c r="J54" s="7">
        <f t="shared" si="13"/>
        <v>0</v>
      </c>
      <c r="K54" s="3"/>
      <c r="L54" s="6">
        <f t="shared" si="14"/>
        <v>0</v>
      </c>
      <c r="M54" s="3"/>
      <c r="N54" s="7">
        <f t="shared" si="15"/>
        <v>0</v>
      </c>
      <c r="O54" s="9"/>
      <c r="P54" s="6"/>
      <c r="Q54" s="3"/>
      <c r="R54" s="7">
        <f t="shared" si="16"/>
        <v>0</v>
      </c>
      <c r="S54" s="3"/>
      <c r="T54" s="6">
        <v>0</v>
      </c>
      <c r="U54" s="3"/>
      <c r="V54" s="7">
        <f t="shared" si="17"/>
        <v>0</v>
      </c>
      <c r="W54" s="3"/>
      <c r="X54" s="6">
        <f t="shared" si="18"/>
        <v>0</v>
      </c>
      <c r="Y54" s="3"/>
      <c r="Z54" s="7">
        <f t="shared" si="19"/>
        <v>0</v>
      </c>
    </row>
    <row r="55" spans="1:26" s="70" customFormat="1" ht="15" hidden="1" customHeight="1" outlineLevel="2" x14ac:dyDescent="0.3">
      <c r="A55" s="21"/>
      <c r="B55" s="9" t="str">
        <f>CONCATENATE("          ","6002"," - ","STAFF SALARIES")</f>
        <v xml:space="preserve">          6002 - STAFF SALARIES</v>
      </c>
      <c r="C55" s="9"/>
      <c r="D55" s="6">
        <v>8085.06</v>
      </c>
      <c r="E55" s="3"/>
      <c r="F55" s="7">
        <f t="shared" si="12"/>
        <v>3.3102927476712153E-2</v>
      </c>
      <c r="G55" s="3"/>
      <c r="H55" s="6">
        <v>12633.75</v>
      </c>
      <c r="I55" s="3"/>
      <c r="J55" s="7">
        <f t="shared" si="13"/>
        <v>6.4870297914291872E-2</v>
      </c>
      <c r="K55" s="3"/>
      <c r="L55" s="6">
        <f t="shared" si="14"/>
        <v>-4548.6899999999996</v>
      </c>
      <c r="M55" s="3"/>
      <c r="N55" s="7">
        <f t="shared" si="15"/>
        <v>-0.36004274265360636</v>
      </c>
      <c r="O55" s="9"/>
      <c r="P55" s="6">
        <v>161905.53</v>
      </c>
      <c r="Q55" s="3"/>
      <c r="R55" s="7">
        <f t="shared" si="16"/>
        <v>3.4551087978839296E-2</v>
      </c>
      <c r="S55" s="3"/>
      <c r="T55" s="6">
        <v>164238.75</v>
      </c>
      <c r="U55" s="3"/>
      <c r="V55" s="7">
        <f t="shared" si="17"/>
        <v>5.8815856336951813E-2</v>
      </c>
      <c r="W55" s="3"/>
      <c r="X55" s="6">
        <f t="shared" si="18"/>
        <v>-2333.2200000000012</v>
      </c>
      <c r="Y55" s="3"/>
      <c r="Z55" s="7">
        <f t="shared" si="19"/>
        <v>-1.4206269835833512E-2</v>
      </c>
    </row>
    <row r="56" spans="1:26" s="70" customFormat="1" ht="15" hidden="1" customHeight="1" outlineLevel="2" x14ac:dyDescent="0.3">
      <c r="A56" s="21"/>
      <c r="B56" s="9" t="str">
        <f>CONCATENATE("          ","6003"," - ","STAFF HOURLY-9 MONTH")</f>
        <v xml:space="preserve">          6003 - STAFF HOURLY-9 MONTH</v>
      </c>
      <c r="C56" s="9"/>
      <c r="D56" s="6"/>
      <c r="E56" s="3"/>
      <c r="F56" s="7">
        <f t="shared" si="12"/>
        <v>0</v>
      </c>
      <c r="G56" s="3"/>
      <c r="H56" s="6">
        <v>0</v>
      </c>
      <c r="I56" s="3"/>
      <c r="J56" s="7">
        <f t="shared" si="13"/>
        <v>0</v>
      </c>
      <c r="K56" s="3"/>
      <c r="L56" s="6">
        <f t="shared" si="14"/>
        <v>0</v>
      </c>
      <c r="M56" s="3"/>
      <c r="N56" s="7">
        <f t="shared" si="15"/>
        <v>0</v>
      </c>
      <c r="O56" s="9"/>
      <c r="P56" s="6"/>
      <c r="Q56" s="3"/>
      <c r="R56" s="7">
        <f t="shared" si="16"/>
        <v>0</v>
      </c>
      <c r="S56" s="3"/>
      <c r="T56" s="6">
        <v>0</v>
      </c>
      <c r="U56" s="3"/>
      <c r="V56" s="7">
        <f t="shared" si="17"/>
        <v>0</v>
      </c>
      <c r="W56" s="3"/>
      <c r="X56" s="6">
        <f t="shared" si="18"/>
        <v>0</v>
      </c>
      <c r="Y56" s="3"/>
      <c r="Z56" s="7">
        <f t="shared" si="19"/>
        <v>0</v>
      </c>
    </row>
    <row r="57" spans="1:26" s="70" customFormat="1" ht="15" hidden="1" customHeight="1" outlineLevel="2" x14ac:dyDescent="0.3">
      <c r="A57" s="21"/>
      <c r="B57" s="9" t="str">
        <f>CONCATENATE("          ","6004"," - ","STAFF HOURLY")</f>
        <v xml:space="preserve">          6004 - STAFF HOURLY</v>
      </c>
      <c r="C57" s="9"/>
      <c r="D57" s="6">
        <v>12067.44</v>
      </c>
      <c r="E57" s="3"/>
      <c r="F57" s="7">
        <f t="shared" si="12"/>
        <v>4.9408117088750772E-2</v>
      </c>
      <c r="G57" s="3"/>
      <c r="H57" s="6">
        <v>13271.04</v>
      </c>
      <c r="I57" s="3"/>
      <c r="J57" s="7">
        <f t="shared" si="13"/>
        <v>6.8142579869989839E-2</v>
      </c>
      <c r="K57" s="3"/>
      <c r="L57" s="6">
        <f t="shared" si="14"/>
        <v>-1203.6000000000004</v>
      </c>
      <c r="M57" s="3"/>
      <c r="N57" s="7">
        <f t="shared" si="15"/>
        <v>-9.0693721064814839E-2</v>
      </c>
      <c r="O57" s="9"/>
      <c r="P57" s="6">
        <v>123913.35</v>
      </c>
      <c r="Q57" s="3"/>
      <c r="R57" s="7">
        <f t="shared" si="16"/>
        <v>2.6443451669641588E-2</v>
      </c>
      <c r="S57" s="3"/>
      <c r="T57" s="6">
        <v>170033.76</v>
      </c>
      <c r="U57" s="3"/>
      <c r="V57" s="7">
        <f t="shared" si="17"/>
        <v>6.0891118573368007E-2</v>
      </c>
      <c r="W57" s="3"/>
      <c r="X57" s="6">
        <f t="shared" si="18"/>
        <v>-46120.41</v>
      </c>
      <c r="Y57" s="3"/>
      <c r="Z57" s="7">
        <f t="shared" si="19"/>
        <v>-0.27124266380982226</v>
      </c>
    </row>
    <row r="58" spans="1:26" s="70" customFormat="1" ht="15" hidden="1" customHeight="1" outlineLevel="2" x14ac:dyDescent="0.3">
      <c r="A58" s="21"/>
      <c r="B58" s="9" t="str">
        <f>CONCATENATE("          ","6005"," - ","TEMPORARY WAGES-HOURLY")</f>
        <v xml:space="preserve">          6005 - TEMPORARY WAGES-HOURLY</v>
      </c>
      <c r="C58" s="9"/>
      <c r="D58" s="6"/>
      <c r="E58" s="3"/>
      <c r="F58" s="7">
        <f t="shared" si="12"/>
        <v>0</v>
      </c>
      <c r="G58" s="3"/>
      <c r="H58" s="6">
        <v>0</v>
      </c>
      <c r="I58" s="3"/>
      <c r="J58" s="7">
        <f t="shared" si="13"/>
        <v>0</v>
      </c>
      <c r="K58" s="3"/>
      <c r="L58" s="6">
        <f t="shared" si="14"/>
        <v>0</v>
      </c>
      <c r="M58" s="3"/>
      <c r="N58" s="7">
        <f t="shared" si="15"/>
        <v>0</v>
      </c>
      <c r="O58" s="9"/>
      <c r="P58" s="6">
        <v>22430.91</v>
      </c>
      <c r="Q58" s="3"/>
      <c r="R58" s="7">
        <f t="shared" si="16"/>
        <v>4.7868182442899025E-3</v>
      </c>
      <c r="S58" s="3"/>
      <c r="T58" s="6">
        <v>0</v>
      </c>
      <c r="U58" s="3"/>
      <c r="V58" s="7">
        <f t="shared" si="17"/>
        <v>0</v>
      </c>
      <c r="W58" s="3"/>
      <c r="X58" s="6">
        <f t="shared" si="18"/>
        <v>22430.91</v>
      </c>
      <c r="Y58" s="3"/>
      <c r="Z58" s="7">
        <f t="shared" si="19"/>
        <v>0</v>
      </c>
    </row>
    <row r="59" spans="1:26" s="70" customFormat="1" ht="15" hidden="1" customHeight="1" outlineLevel="2" x14ac:dyDescent="0.3">
      <c r="A59" s="21"/>
      <c r="B59" s="9" t="str">
        <f>CONCATENATE("          ","6006"," - ","TEMPORARY PART TIME")</f>
        <v xml:space="preserve">          6006 - TEMPORARY PART TIME</v>
      </c>
      <c r="C59" s="9"/>
      <c r="D59" s="6"/>
      <c r="E59" s="3"/>
      <c r="F59" s="7">
        <f t="shared" si="12"/>
        <v>0</v>
      </c>
      <c r="G59" s="3"/>
      <c r="H59" s="6">
        <v>0</v>
      </c>
      <c r="I59" s="3"/>
      <c r="J59" s="7">
        <f t="shared" si="13"/>
        <v>0</v>
      </c>
      <c r="K59" s="3"/>
      <c r="L59" s="6">
        <f t="shared" si="14"/>
        <v>0</v>
      </c>
      <c r="M59" s="3"/>
      <c r="N59" s="7">
        <f t="shared" si="15"/>
        <v>0</v>
      </c>
      <c r="O59" s="9"/>
      <c r="P59" s="6"/>
      <c r="Q59" s="3"/>
      <c r="R59" s="7">
        <f t="shared" si="16"/>
        <v>0</v>
      </c>
      <c r="S59" s="3"/>
      <c r="T59" s="6">
        <v>0</v>
      </c>
      <c r="U59" s="3"/>
      <c r="V59" s="7">
        <f t="shared" si="17"/>
        <v>0</v>
      </c>
      <c r="W59" s="3"/>
      <c r="X59" s="6">
        <f t="shared" si="18"/>
        <v>0</v>
      </c>
      <c r="Y59" s="3"/>
      <c r="Z59" s="7">
        <f t="shared" si="19"/>
        <v>0</v>
      </c>
    </row>
    <row r="60" spans="1:26" s="70" customFormat="1" ht="15" hidden="1" customHeight="1" outlineLevel="2" x14ac:dyDescent="0.3">
      <c r="A60" s="21"/>
      <c r="B60" s="9" t="str">
        <f>CONCATENATE("          ","6007"," - ","STUDENT HOURLY")</f>
        <v xml:space="preserve">          6007 - STUDENT HOURLY</v>
      </c>
      <c r="C60" s="9"/>
      <c r="D60" s="6">
        <v>26316.11</v>
      </c>
      <c r="E60" s="3"/>
      <c r="F60" s="7">
        <f t="shared" si="12"/>
        <v>0.10774691601536407</v>
      </c>
      <c r="G60" s="3"/>
      <c r="H60" s="6">
        <v>0</v>
      </c>
      <c r="I60" s="3"/>
      <c r="J60" s="7">
        <f t="shared" si="13"/>
        <v>0</v>
      </c>
      <c r="K60" s="3"/>
      <c r="L60" s="6">
        <f t="shared" si="14"/>
        <v>26316.11</v>
      </c>
      <c r="M60" s="3"/>
      <c r="N60" s="7">
        <f t="shared" si="15"/>
        <v>0</v>
      </c>
      <c r="O60" s="9"/>
      <c r="P60" s="6">
        <v>321801.33</v>
      </c>
      <c r="Q60" s="3"/>
      <c r="R60" s="7">
        <f t="shared" si="16"/>
        <v>6.867329401619264E-2</v>
      </c>
      <c r="S60" s="3"/>
      <c r="T60" s="6">
        <v>279726</v>
      </c>
      <c r="U60" s="3"/>
      <c r="V60" s="7">
        <f t="shared" si="17"/>
        <v>0.1001732187422894</v>
      </c>
      <c r="W60" s="3"/>
      <c r="X60" s="6">
        <f t="shared" si="18"/>
        <v>42075.330000000016</v>
      </c>
      <c r="Y60" s="3"/>
      <c r="Z60" s="7">
        <f t="shared" si="19"/>
        <v>0.15041622873812235</v>
      </c>
    </row>
    <row r="61" spans="1:26" s="70" customFormat="1" ht="15" hidden="1" customHeight="1" outlineLevel="2" x14ac:dyDescent="0.3">
      <c r="A61" s="21"/>
      <c r="B61" s="9" t="str">
        <f>CONCATENATE("          ","6008"," - ","STUDENT HOURLY-FICA EXEMPT")</f>
        <v xml:space="preserve">          6008 - STUDENT HOURLY-FICA EXEMPT</v>
      </c>
      <c r="C61" s="9"/>
      <c r="D61" s="6">
        <v>6904.87</v>
      </c>
      <c r="E61" s="3"/>
      <c r="F61" s="7">
        <f t="shared" si="12"/>
        <v>2.8270836684715441E-2</v>
      </c>
      <c r="G61" s="3"/>
      <c r="H61" s="6">
        <v>29532</v>
      </c>
      <c r="I61" s="3"/>
      <c r="J61" s="7">
        <f t="shared" si="13"/>
        <v>0.15163745032194462</v>
      </c>
      <c r="K61" s="3"/>
      <c r="L61" s="6">
        <f t="shared" si="14"/>
        <v>-22627.13</v>
      </c>
      <c r="M61" s="3"/>
      <c r="N61" s="7">
        <f t="shared" si="15"/>
        <v>-0.76619023432209132</v>
      </c>
      <c r="O61" s="9"/>
      <c r="P61" s="6">
        <v>91919.71</v>
      </c>
      <c r="Q61" s="3"/>
      <c r="R61" s="7">
        <f t="shared" si="16"/>
        <v>1.9615920390115116E-2</v>
      </c>
      <c r="S61" s="3"/>
      <c r="T61" s="6">
        <v>91632</v>
      </c>
      <c r="U61" s="3"/>
      <c r="V61" s="7">
        <f t="shared" si="17"/>
        <v>3.2814512700976892E-2</v>
      </c>
      <c r="W61" s="3"/>
      <c r="X61" s="6">
        <f t="shared" si="18"/>
        <v>287.7100000000064</v>
      </c>
      <c r="Y61" s="3"/>
      <c r="Z61" s="7">
        <f t="shared" si="19"/>
        <v>3.1398419766021303E-3</v>
      </c>
    </row>
    <row r="62" spans="1:26" s="70" customFormat="1" ht="15" hidden="1" customHeight="1" outlineLevel="2" x14ac:dyDescent="0.3">
      <c r="A62" s="21"/>
      <c r="B62" s="9" t="str">
        <f>CONCATENATE("          ","6009"," - ","TEMPORARY-SEASONAL")</f>
        <v xml:space="preserve">          6009 - TEMPORARY-SEASONAL</v>
      </c>
      <c r="C62" s="9"/>
      <c r="D62" s="6"/>
      <c r="E62" s="3"/>
      <c r="F62" s="7">
        <f t="shared" si="12"/>
        <v>0</v>
      </c>
      <c r="G62" s="3"/>
      <c r="H62" s="6">
        <v>0</v>
      </c>
      <c r="I62" s="3"/>
      <c r="J62" s="7">
        <f t="shared" si="13"/>
        <v>0</v>
      </c>
      <c r="K62" s="3"/>
      <c r="L62" s="6">
        <f t="shared" si="14"/>
        <v>0</v>
      </c>
      <c r="M62" s="3"/>
      <c r="N62" s="7">
        <f t="shared" si="15"/>
        <v>0</v>
      </c>
      <c r="O62" s="9"/>
      <c r="P62" s="6"/>
      <c r="Q62" s="3"/>
      <c r="R62" s="7">
        <f t="shared" si="16"/>
        <v>0</v>
      </c>
      <c r="S62" s="3"/>
      <c r="T62" s="6">
        <v>0</v>
      </c>
      <c r="U62" s="3"/>
      <c r="V62" s="7">
        <f t="shared" si="17"/>
        <v>0</v>
      </c>
      <c r="W62" s="3"/>
      <c r="X62" s="6">
        <f t="shared" si="18"/>
        <v>0</v>
      </c>
      <c r="Y62" s="3"/>
      <c r="Z62" s="7">
        <f t="shared" si="19"/>
        <v>0</v>
      </c>
    </row>
    <row r="63" spans="1:26" s="70" customFormat="1" ht="15" hidden="1" customHeight="1" outlineLevel="2" x14ac:dyDescent="0.3">
      <c r="A63" s="21"/>
      <c r="B63" s="9" t="str">
        <f>CONCATENATE("          ","6010"," - ","GRATUITY")</f>
        <v xml:space="preserve">          6010 - GRATUITY</v>
      </c>
      <c r="C63" s="9"/>
      <c r="D63" s="6"/>
      <c r="E63" s="3"/>
      <c r="F63" s="7">
        <f t="shared" si="12"/>
        <v>0</v>
      </c>
      <c r="G63" s="3"/>
      <c r="H63" s="6">
        <v>0</v>
      </c>
      <c r="I63" s="3"/>
      <c r="J63" s="7">
        <f t="shared" si="13"/>
        <v>0</v>
      </c>
      <c r="K63" s="3"/>
      <c r="L63" s="6">
        <f t="shared" si="14"/>
        <v>0</v>
      </c>
      <c r="M63" s="3"/>
      <c r="N63" s="7">
        <f t="shared" si="15"/>
        <v>0</v>
      </c>
      <c r="O63" s="9"/>
      <c r="P63" s="6"/>
      <c r="Q63" s="3"/>
      <c r="R63" s="7">
        <f t="shared" si="16"/>
        <v>0</v>
      </c>
      <c r="S63" s="3"/>
      <c r="T63" s="6">
        <v>0</v>
      </c>
      <c r="U63" s="3"/>
      <c r="V63" s="7">
        <f t="shared" si="17"/>
        <v>0</v>
      </c>
      <c r="W63" s="3"/>
      <c r="X63" s="6">
        <f t="shared" si="18"/>
        <v>0</v>
      </c>
      <c r="Y63" s="3"/>
      <c r="Z63" s="7">
        <f t="shared" si="19"/>
        <v>0</v>
      </c>
    </row>
    <row r="64" spans="1:26" s="69" customFormat="1" ht="15" customHeight="1" outlineLevel="1" collapsed="1" x14ac:dyDescent="0.3">
      <c r="A64" s="20"/>
      <c r="B64" s="11" t="str">
        <f>CONCATENATE("     ","Advertising/Promo                                 ")</f>
        <v xml:space="preserve">     Advertising/Promo                                 </v>
      </c>
      <c r="C64" s="11"/>
      <c r="D64" s="2">
        <f>SUM(OSRRefD22_2x_0)</f>
        <v>5741.31</v>
      </c>
      <c r="E64" s="2"/>
      <c r="F64" s="5">
        <f t="shared" si="12"/>
        <v>2.3506834649504427E-2</v>
      </c>
      <c r="G64" s="2"/>
      <c r="H64" s="2">
        <f>SUM(OSRRefH22_2x_0)</f>
        <v>50</v>
      </c>
      <c r="I64" s="2"/>
      <c r="J64" s="5">
        <f t="shared" si="13"/>
        <v>2.5673413639771197E-4</v>
      </c>
      <c r="K64" s="2"/>
      <c r="L64" s="2">
        <f t="shared" si="14"/>
        <v>5691.31</v>
      </c>
      <c r="M64" s="2"/>
      <c r="N64" s="5">
        <f t="shared" si="15"/>
        <v>113.82620000000001</v>
      </c>
      <c r="O64" s="11"/>
      <c r="P64" s="2">
        <f>SUM(OSRRefP22_2x_0)</f>
        <v>13831.97</v>
      </c>
      <c r="Q64" s="2"/>
      <c r="R64" s="5">
        <f t="shared" si="16"/>
        <v>2.9517806611711519E-3</v>
      </c>
      <c r="S64" s="2"/>
      <c r="T64" s="2">
        <f>SUM(OSRRefT22_2x_0)</f>
        <v>2000</v>
      </c>
      <c r="U64" s="2"/>
      <c r="V64" s="5">
        <f t="shared" si="17"/>
        <v>7.1622386722928436E-4</v>
      </c>
      <c r="W64" s="2"/>
      <c r="X64" s="2">
        <f t="shared" si="18"/>
        <v>11831.97</v>
      </c>
      <c r="Y64" s="2"/>
      <c r="Z64" s="5">
        <f t="shared" si="19"/>
        <v>5.915985</v>
      </c>
    </row>
    <row r="65" spans="1:26" s="70" customFormat="1" ht="15" hidden="1" customHeight="1" outlineLevel="2" x14ac:dyDescent="0.3">
      <c r="A65" s="21"/>
      <c r="B65" s="9" t="str">
        <f>CONCATENATE("          ","6362"," - ","ADVERTISING EXPENSE")</f>
        <v xml:space="preserve">          6362 - ADVERTISING EXPENSE</v>
      </c>
      <c r="C65" s="9"/>
      <c r="D65" s="6">
        <v>5741.31</v>
      </c>
      <c r="E65" s="3"/>
      <c r="F65" s="7">
        <f t="shared" si="12"/>
        <v>2.3506834649504427E-2</v>
      </c>
      <c r="G65" s="3"/>
      <c r="H65" s="6">
        <v>50</v>
      </c>
      <c r="I65" s="3"/>
      <c r="J65" s="7">
        <f t="shared" si="13"/>
        <v>2.5673413639771197E-4</v>
      </c>
      <c r="K65" s="3"/>
      <c r="L65" s="6">
        <f t="shared" si="14"/>
        <v>5691.31</v>
      </c>
      <c r="M65" s="3"/>
      <c r="N65" s="7">
        <f t="shared" si="15"/>
        <v>113.82620000000001</v>
      </c>
      <c r="O65" s="9"/>
      <c r="P65" s="6">
        <v>13831.97</v>
      </c>
      <c r="Q65" s="3"/>
      <c r="R65" s="7">
        <f t="shared" si="16"/>
        <v>2.9517806611711519E-3</v>
      </c>
      <c r="S65" s="3"/>
      <c r="T65" s="6">
        <v>2000</v>
      </c>
      <c r="U65" s="3"/>
      <c r="V65" s="7">
        <f t="shared" si="17"/>
        <v>7.1622386722928436E-4</v>
      </c>
      <c r="W65" s="3"/>
      <c r="X65" s="6">
        <f t="shared" si="18"/>
        <v>11831.97</v>
      </c>
      <c r="Y65" s="3"/>
      <c r="Z65" s="7">
        <f t="shared" si="19"/>
        <v>5.915985</v>
      </c>
    </row>
    <row r="66" spans="1:26" s="69" customFormat="1" ht="15" customHeight="1" outlineLevel="1" collapsed="1" x14ac:dyDescent="0.3">
      <c r="A66" s="20"/>
      <c r="B66" s="11" t="str">
        <f>CONCATENATE("     ","Bad Debts/Over/Short                              ")</f>
        <v xml:space="preserve">     Bad Debts/Over/Short                              </v>
      </c>
      <c r="C66" s="11"/>
      <c r="D66" s="2">
        <f>SUM(OSRRefD22_3x_0)</f>
        <v>0</v>
      </c>
      <c r="E66" s="2"/>
      <c r="F66" s="5">
        <f t="shared" si="12"/>
        <v>0</v>
      </c>
      <c r="G66" s="2"/>
      <c r="H66" s="2">
        <f>SUM(OSRRefH22_3x_0)</f>
        <v>0</v>
      </c>
      <c r="I66" s="2"/>
      <c r="J66" s="5">
        <f t="shared" si="13"/>
        <v>0</v>
      </c>
      <c r="K66" s="2"/>
      <c r="L66" s="2">
        <f t="shared" si="14"/>
        <v>0</v>
      </c>
      <c r="M66" s="2"/>
      <c r="N66" s="5">
        <f t="shared" si="15"/>
        <v>0</v>
      </c>
      <c r="O66" s="11"/>
      <c r="P66" s="2">
        <f>SUM(OSRRefP22_3x_0)</f>
        <v>0</v>
      </c>
      <c r="Q66" s="2"/>
      <c r="R66" s="5">
        <f t="shared" si="16"/>
        <v>0</v>
      </c>
      <c r="S66" s="2"/>
      <c r="T66" s="2">
        <f>SUM(OSRRefT22_3x_0)</f>
        <v>0</v>
      </c>
      <c r="U66" s="2"/>
      <c r="V66" s="5">
        <f t="shared" si="17"/>
        <v>0</v>
      </c>
      <c r="W66" s="2"/>
      <c r="X66" s="2">
        <f t="shared" si="18"/>
        <v>0</v>
      </c>
      <c r="Y66" s="2"/>
      <c r="Z66" s="5">
        <f t="shared" si="19"/>
        <v>0</v>
      </c>
    </row>
    <row r="67" spans="1:26" s="70" customFormat="1" ht="15" hidden="1" customHeight="1" outlineLevel="2" x14ac:dyDescent="0.3">
      <c r="A67" s="21"/>
      <c r="B67" s="9" t="str">
        <f>CONCATENATE("          ","6272"," - ","CASH (OVER/SHORT)")</f>
        <v xml:space="preserve">          6272 - CASH (OVER/SHORT)</v>
      </c>
      <c r="C67" s="9"/>
      <c r="D67" s="6"/>
      <c r="E67" s="3"/>
      <c r="F67" s="7">
        <f t="shared" si="12"/>
        <v>0</v>
      </c>
      <c r="G67" s="3"/>
      <c r="H67" s="6">
        <v>0</v>
      </c>
      <c r="I67" s="3"/>
      <c r="J67" s="7">
        <f t="shared" si="13"/>
        <v>0</v>
      </c>
      <c r="K67" s="3"/>
      <c r="L67" s="6">
        <f t="shared" si="14"/>
        <v>0</v>
      </c>
      <c r="M67" s="3"/>
      <c r="N67" s="7">
        <f t="shared" si="15"/>
        <v>0</v>
      </c>
      <c r="O67" s="9"/>
      <c r="P67" s="6"/>
      <c r="Q67" s="3"/>
      <c r="R67" s="7">
        <f t="shared" si="16"/>
        <v>0</v>
      </c>
      <c r="S67" s="3"/>
      <c r="T67" s="6">
        <v>0</v>
      </c>
      <c r="U67" s="3"/>
      <c r="V67" s="7">
        <f t="shared" si="17"/>
        <v>0</v>
      </c>
      <c r="W67" s="3"/>
      <c r="X67" s="6">
        <f t="shared" si="18"/>
        <v>0</v>
      </c>
      <c r="Y67" s="3"/>
      <c r="Z67" s="7">
        <f t="shared" si="19"/>
        <v>0</v>
      </c>
    </row>
    <row r="68" spans="1:26" s="69" customFormat="1" ht="15" customHeight="1" outlineLevel="1" collapsed="1" x14ac:dyDescent="0.3">
      <c r="A68" s="20"/>
      <c r="B68" s="11" t="str">
        <f>CONCATENATE("     ","Bank/card Fees                                    ")</f>
        <v xml:space="preserve">     Bank/card Fees                                    </v>
      </c>
      <c r="C68" s="11"/>
      <c r="D68" s="2">
        <f>SUM(OSRRefD22_4x_0)</f>
        <v>0</v>
      </c>
      <c r="E68" s="2"/>
      <c r="F68" s="5">
        <f t="shared" si="12"/>
        <v>0</v>
      </c>
      <c r="G68" s="2"/>
      <c r="H68" s="2">
        <f>SUM(OSRRefH22_4x_0)</f>
        <v>0</v>
      </c>
      <c r="I68" s="2"/>
      <c r="J68" s="5">
        <f t="shared" si="13"/>
        <v>0</v>
      </c>
      <c r="K68" s="2"/>
      <c r="L68" s="2">
        <f t="shared" si="14"/>
        <v>0</v>
      </c>
      <c r="M68" s="2"/>
      <c r="N68" s="5">
        <f t="shared" si="15"/>
        <v>0</v>
      </c>
      <c r="O68" s="11"/>
      <c r="P68" s="2">
        <f>SUM(OSRRefP22_4x_0)</f>
        <v>0</v>
      </c>
      <c r="Q68" s="2"/>
      <c r="R68" s="5">
        <f t="shared" si="16"/>
        <v>0</v>
      </c>
      <c r="S68" s="2"/>
      <c r="T68" s="2">
        <f>SUM(OSRRefT22_4x_0)</f>
        <v>0</v>
      </c>
      <c r="U68" s="2"/>
      <c r="V68" s="5">
        <f t="shared" si="17"/>
        <v>0</v>
      </c>
      <c r="W68" s="2"/>
      <c r="X68" s="2">
        <f t="shared" si="18"/>
        <v>0</v>
      </c>
      <c r="Y68" s="2"/>
      <c r="Z68" s="5">
        <f t="shared" si="19"/>
        <v>0</v>
      </c>
    </row>
    <row r="69" spans="1:26" s="70" customFormat="1" ht="15" hidden="1" customHeight="1" outlineLevel="2" x14ac:dyDescent="0.3">
      <c r="A69" s="21"/>
      <c r="B69" s="9" t="str">
        <f>CONCATENATE("          ","6381"," - ","BANK/CREDIT CARD FEES")</f>
        <v xml:space="preserve">          6381 - BANK/CREDIT CARD FEES</v>
      </c>
      <c r="C69" s="9"/>
      <c r="D69" s="6"/>
      <c r="E69" s="3"/>
      <c r="F69" s="7">
        <f t="shared" si="12"/>
        <v>0</v>
      </c>
      <c r="G69" s="3"/>
      <c r="H69" s="6">
        <v>0</v>
      </c>
      <c r="I69" s="3"/>
      <c r="J69" s="7">
        <f t="shared" si="13"/>
        <v>0</v>
      </c>
      <c r="K69" s="3"/>
      <c r="L69" s="6">
        <f t="shared" si="14"/>
        <v>0</v>
      </c>
      <c r="M69" s="3"/>
      <c r="N69" s="7">
        <f t="shared" si="15"/>
        <v>0</v>
      </c>
      <c r="O69" s="9"/>
      <c r="P69" s="6"/>
      <c r="Q69" s="3"/>
      <c r="R69" s="7">
        <f t="shared" si="16"/>
        <v>0</v>
      </c>
      <c r="S69" s="3"/>
      <c r="T69" s="6">
        <v>0</v>
      </c>
      <c r="U69" s="3"/>
      <c r="V69" s="7">
        <f t="shared" si="17"/>
        <v>0</v>
      </c>
      <c r="W69" s="3"/>
      <c r="X69" s="6">
        <f t="shared" si="18"/>
        <v>0</v>
      </c>
      <c r="Y69" s="3"/>
      <c r="Z69" s="7">
        <f t="shared" si="19"/>
        <v>0</v>
      </c>
    </row>
    <row r="70" spans="1:26" s="69" customFormat="1" ht="15" customHeight="1" outlineLevel="1" collapsed="1" x14ac:dyDescent="0.3">
      <c r="A70" s="20"/>
      <c r="B70" s="11" t="str">
        <f>CONCATENATE("     ","Discounts and Markdowns                           ")</f>
        <v xml:space="preserve">     Discounts and Markdowns                           </v>
      </c>
      <c r="C70" s="11"/>
      <c r="D70" s="2">
        <f>SUM(OSRRefD22_5x_0)</f>
        <v>0</v>
      </c>
      <c r="E70" s="2"/>
      <c r="F70" s="5">
        <f t="shared" si="12"/>
        <v>0</v>
      </c>
      <c r="G70" s="2"/>
      <c r="H70" s="2">
        <f>SUM(OSRRefH22_5x_0)</f>
        <v>0</v>
      </c>
      <c r="I70" s="2"/>
      <c r="J70" s="5">
        <f t="shared" si="13"/>
        <v>0</v>
      </c>
      <c r="K70" s="2"/>
      <c r="L70" s="2">
        <f t="shared" si="14"/>
        <v>0</v>
      </c>
      <c r="M70" s="2"/>
      <c r="N70" s="5">
        <f t="shared" si="15"/>
        <v>0</v>
      </c>
      <c r="O70" s="11"/>
      <c r="P70" s="2">
        <f>SUM(OSRRefP22_5x_0)</f>
        <v>0</v>
      </c>
      <c r="Q70" s="2"/>
      <c r="R70" s="5">
        <f t="shared" si="16"/>
        <v>0</v>
      </c>
      <c r="S70" s="2"/>
      <c r="T70" s="2">
        <f>SUM(OSRRefT22_5x_0)</f>
        <v>0</v>
      </c>
      <c r="U70" s="2"/>
      <c r="V70" s="5">
        <f t="shared" si="17"/>
        <v>0</v>
      </c>
      <c r="W70" s="2"/>
      <c r="X70" s="2">
        <f t="shared" si="18"/>
        <v>0</v>
      </c>
      <c r="Y70" s="2"/>
      <c r="Z70" s="5">
        <f t="shared" si="19"/>
        <v>0</v>
      </c>
    </row>
    <row r="71" spans="1:26" s="70" customFormat="1" ht="15" hidden="1" customHeight="1" outlineLevel="2" x14ac:dyDescent="0.3">
      <c r="A71" s="21"/>
      <c r="B71" s="9" t="str">
        <f>CONCATENATE("          ","9175"," - ","EARNED DISCOUNTS")</f>
        <v xml:space="preserve">          9175 - EARNED DISCOUNTS</v>
      </c>
      <c r="C71" s="9"/>
      <c r="D71" s="6"/>
      <c r="E71" s="3"/>
      <c r="F71" s="7">
        <f t="shared" si="12"/>
        <v>0</v>
      </c>
      <c r="G71" s="3"/>
      <c r="H71" s="6"/>
      <c r="I71" s="3"/>
      <c r="J71" s="7">
        <f t="shared" si="13"/>
        <v>0</v>
      </c>
      <c r="K71" s="3"/>
      <c r="L71" s="6">
        <f t="shared" si="14"/>
        <v>0</v>
      </c>
      <c r="M71" s="3"/>
      <c r="N71" s="7">
        <f t="shared" si="15"/>
        <v>0</v>
      </c>
      <c r="O71" s="9"/>
      <c r="P71" s="6">
        <v>0</v>
      </c>
      <c r="Q71" s="3"/>
      <c r="R71" s="7">
        <f t="shared" si="16"/>
        <v>0</v>
      </c>
      <c r="S71" s="3"/>
      <c r="T71" s="6"/>
      <c r="U71" s="3"/>
      <c r="V71" s="7">
        <f t="shared" si="17"/>
        <v>0</v>
      </c>
      <c r="W71" s="3"/>
      <c r="X71" s="6">
        <f t="shared" si="18"/>
        <v>0</v>
      </c>
      <c r="Y71" s="3"/>
      <c r="Z71" s="7">
        <f t="shared" si="19"/>
        <v>0</v>
      </c>
    </row>
    <row r="72" spans="1:26" s="69" customFormat="1" ht="15" customHeight="1" outlineLevel="1" collapsed="1" x14ac:dyDescent="0.3">
      <c r="A72" s="20"/>
      <c r="B72" s="11" t="str">
        <f>CONCATENATE("     ","Employees' Appreciation                           ")</f>
        <v xml:space="preserve">     Employees' Appreciation                           </v>
      </c>
      <c r="C72" s="11"/>
      <c r="D72" s="2">
        <f>SUM(OSRRefD22_6x_0)</f>
        <v>1068.18</v>
      </c>
      <c r="E72" s="2"/>
      <c r="F72" s="5">
        <f t="shared" si="12"/>
        <v>4.3734845594311468E-3</v>
      </c>
      <c r="G72" s="2"/>
      <c r="H72" s="2">
        <f>SUM(OSRRefH22_6x_0)</f>
        <v>50</v>
      </c>
      <c r="I72" s="2"/>
      <c r="J72" s="5">
        <f t="shared" si="13"/>
        <v>2.5673413639771197E-4</v>
      </c>
      <c r="K72" s="2"/>
      <c r="L72" s="2">
        <f t="shared" si="14"/>
        <v>1018.1800000000001</v>
      </c>
      <c r="M72" s="2"/>
      <c r="N72" s="5">
        <f t="shared" si="15"/>
        <v>20.363600000000002</v>
      </c>
      <c r="O72" s="11"/>
      <c r="P72" s="2">
        <f>SUM(OSRRefP22_6x_0)</f>
        <v>1359.31</v>
      </c>
      <c r="Q72" s="2"/>
      <c r="R72" s="5">
        <f t="shared" si="16"/>
        <v>2.9008051423886537E-4</v>
      </c>
      <c r="S72" s="2"/>
      <c r="T72" s="2">
        <f>SUM(OSRRefT22_6x_0)</f>
        <v>600</v>
      </c>
      <c r="U72" s="2"/>
      <c r="V72" s="5">
        <f t="shared" si="17"/>
        <v>2.1486716016878531E-4</v>
      </c>
      <c r="W72" s="2"/>
      <c r="X72" s="2">
        <f t="shared" si="18"/>
        <v>759.31</v>
      </c>
      <c r="Y72" s="2"/>
      <c r="Z72" s="5">
        <f t="shared" si="19"/>
        <v>1.2655166666666666</v>
      </c>
    </row>
    <row r="73" spans="1:26" s="70" customFormat="1" ht="15" hidden="1" customHeight="1" outlineLevel="2" x14ac:dyDescent="0.3">
      <c r="A73" s="21"/>
      <c r="B73" s="9" t="str">
        <f>CONCATENATE("          ","6277"," - ","EMPLOYEE APPRECIATION")</f>
        <v xml:space="preserve">          6277 - EMPLOYEE APPRECIATION</v>
      </c>
      <c r="C73" s="9"/>
      <c r="D73" s="6">
        <v>1068.18</v>
      </c>
      <c r="E73" s="3"/>
      <c r="F73" s="7">
        <f t="shared" si="12"/>
        <v>4.3734845594311468E-3</v>
      </c>
      <c r="G73" s="3"/>
      <c r="H73" s="6">
        <v>50</v>
      </c>
      <c r="I73" s="3"/>
      <c r="J73" s="7">
        <f t="shared" si="13"/>
        <v>2.5673413639771197E-4</v>
      </c>
      <c r="K73" s="3"/>
      <c r="L73" s="6">
        <f t="shared" si="14"/>
        <v>1018.1800000000001</v>
      </c>
      <c r="M73" s="3"/>
      <c r="N73" s="7">
        <f t="shared" si="15"/>
        <v>20.363600000000002</v>
      </c>
      <c r="O73" s="9"/>
      <c r="P73" s="6">
        <v>1359.31</v>
      </c>
      <c r="Q73" s="3"/>
      <c r="R73" s="7">
        <f t="shared" si="16"/>
        <v>2.9008051423886537E-4</v>
      </c>
      <c r="S73" s="3"/>
      <c r="T73" s="6">
        <v>600</v>
      </c>
      <c r="U73" s="3"/>
      <c r="V73" s="7">
        <f t="shared" si="17"/>
        <v>2.1486716016878531E-4</v>
      </c>
      <c r="W73" s="3"/>
      <c r="X73" s="6">
        <f t="shared" si="18"/>
        <v>759.31</v>
      </c>
      <c r="Y73" s="3"/>
      <c r="Z73" s="7">
        <f t="shared" si="19"/>
        <v>1.2655166666666666</v>
      </c>
    </row>
    <row r="74" spans="1:26" s="69" customFormat="1" ht="15" customHeight="1" outlineLevel="1" collapsed="1" x14ac:dyDescent="0.3">
      <c r="A74" s="20"/>
      <c r="B74" s="11" t="str">
        <f>CONCATENATE("     ","Equipment Rental                                  ")</f>
        <v xml:space="preserve">     Equipment Rental                                  </v>
      </c>
      <c r="C74" s="11"/>
      <c r="D74" s="2">
        <f>SUM(OSRRefD22_7x_0)</f>
        <v>96.22</v>
      </c>
      <c r="E74" s="2"/>
      <c r="F74" s="5">
        <f t="shared" ref="F74:F105" si="20">IF(D$12=0,0,D74/D$12)</f>
        <v>3.9395671544914236E-4</v>
      </c>
      <c r="G74" s="2"/>
      <c r="H74" s="2">
        <f>SUM(OSRRefH22_7x_0)</f>
        <v>0</v>
      </c>
      <c r="I74" s="2"/>
      <c r="J74" s="5">
        <f t="shared" ref="J74:J105" si="21">IF(H$12=0,0,H74/H$12)</f>
        <v>0</v>
      </c>
      <c r="K74" s="2"/>
      <c r="L74" s="2">
        <f t="shared" ref="L74:L105" si="22">+D74-H74</f>
        <v>96.22</v>
      </c>
      <c r="M74" s="2"/>
      <c r="N74" s="5">
        <f t="shared" ref="N74:N105" si="23">IF(H74=0,0,L74/H74)</f>
        <v>0</v>
      </c>
      <c r="O74" s="11"/>
      <c r="P74" s="2">
        <f>SUM(OSRRefP22_7x_0)</f>
        <v>215.13</v>
      </c>
      <c r="Q74" s="2"/>
      <c r="R74" s="5">
        <f t="shared" ref="R74:R105" si="24">IF(P$12=0,0,P74/P$12)</f>
        <v>4.5909337110892367E-5</v>
      </c>
      <c r="S74" s="2"/>
      <c r="T74" s="2">
        <f>SUM(OSRRefT22_7x_0)</f>
        <v>0</v>
      </c>
      <c r="U74" s="2"/>
      <c r="V74" s="5">
        <f t="shared" ref="V74:V105" si="25">IF(T$12=0,0,T74/T$12)</f>
        <v>0</v>
      </c>
      <c r="W74" s="2"/>
      <c r="X74" s="2">
        <f t="shared" ref="X74:X105" si="26">+P74-T74</f>
        <v>215.13</v>
      </c>
      <c r="Y74" s="2"/>
      <c r="Z74" s="5">
        <f t="shared" ref="Z74:Z105" si="27">IF(T74=0,0,X74/T74)</f>
        <v>0</v>
      </c>
    </row>
    <row r="75" spans="1:26" s="70" customFormat="1" ht="15" hidden="1" customHeight="1" outlineLevel="2" x14ac:dyDescent="0.3">
      <c r="A75" s="21"/>
      <c r="B75" s="9" t="str">
        <f>CONCATENATE("          ","6351"," - ","EQUIPMENT RENTAL")</f>
        <v xml:space="preserve">          6351 - EQUIPMENT RENTAL</v>
      </c>
      <c r="C75" s="9"/>
      <c r="D75" s="6">
        <v>96.22</v>
      </c>
      <c r="E75" s="3"/>
      <c r="F75" s="7">
        <f t="shared" si="20"/>
        <v>3.9395671544914236E-4</v>
      </c>
      <c r="G75" s="3"/>
      <c r="H75" s="6"/>
      <c r="I75" s="3"/>
      <c r="J75" s="7">
        <f t="shared" si="21"/>
        <v>0</v>
      </c>
      <c r="K75" s="3"/>
      <c r="L75" s="6">
        <f t="shared" si="22"/>
        <v>96.22</v>
      </c>
      <c r="M75" s="3"/>
      <c r="N75" s="7">
        <f t="shared" si="23"/>
        <v>0</v>
      </c>
      <c r="O75" s="9"/>
      <c r="P75" s="6">
        <v>215.13</v>
      </c>
      <c r="Q75" s="3"/>
      <c r="R75" s="7">
        <f t="shared" si="24"/>
        <v>4.5909337110892367E-5</v>
      </c>
      <c r="S75" s="3"/>
      <c r="T75" s="6"/>
      <c r="U75" s="3"/>
      <c r="V75" s="7">
        <f t="shared" si="25"/>
        <v>0</v>
      </c>
      <c r="W75" s="3"/>
      <c r="X75" s="6">
        <f t="shared" si="26"/>
        <v>215.13</v>
      </c>
      <c r="Y75" s="3"/>
      <c r="Z75" s="7">
        <f t="shared" si="27"/>
        <v>0</v>
      </c>
    </row>
    <row r="76" spans="1:26" s="69" customFormat="1" ht="15" customHeight="1" outlineLevel="1" collapsed="1" x14ac:dyDescent="0.3">
      <c r="A76" s="20"/>
      <c r="B76" s="11" t="str">
        <f>CONCATENATE("     ","Freight out/Postage                               ")</f>
        <v xml:space="preserve">     Freight out/Postage                               </v>
      </c>
      <c r="C76" s="11"/>
      <c r="D76" s="2">
        <f>SUM(OSRRefD22_8x_0)</f>
        <v>0</v>
      </c>
      <c r="E76" s="2"/>
      <c r="F76" s="5">
        <f t="shared" si="20"/>
        <v>0</v>
      </c>
      <c r="G76" s="2"/>
      <c r="H76" s="2">
        <f>SUM(OSRRefH22_8x_0)</f>
        <v>50</v>
      </c>
      <c r="I76" s="2"/>
      <c r="J76" s="5">
        <f t="shared" si="21"/>
        <v>2.5673413639771197E-4</v>
      </c>
      <c r="K76" s="2"/>
      <c r="L76" s="2">
        <f t="shared" si="22"/>
        <v>-50</v>
      </c>
      <c r="M76" s="2"/>
      <c r="N76" s="5">
        <f t="shared" si="23"/>
        <v>-1</v>
      </c>
      <c r="O76" s="11"/>
      <c r="P76" s="2">
        <f>SUM(OSRRefP22_8x_0)</f>
        <v>929.29</v>
      </c>
      <c r="Q76" s="2"/>
      <c r="R76" s="5">
        <f t="shared" si="24"/>
        <v>1.9831305668098901E-4</v>
      </c>
      <c r="S76" s="2"/>
      <c r="T76" s="2">
        <f>SUM(OSRRefT22_8x_0)</f>
        <v>600</v>
      </c>
      <c r="U76" s="2"/>
      <c r="V76" s="5">
        <f t="shared" si="25"/>
        <v>2.1486716016878531E-4</v>
      </c>
      <c r="W76" s="2"/>
      <c r="X76" s="2">
        <f t="shared" si="26"/>
        <v>329.28999999999996</v>
      </c>
      <c r="Y76" s="2"/>
      <c r="Z76" s="5">
        <f t="shared" si="27"/>
        <v>0.54881666666666662</v>
      </c>
    </row>
    <row r="77" spans="1:26" s="70" customFormat="1" ht="15" hidden="1" customHeight="1" outlineLevel="2" x14ac:dyDescent="0.3">
      <c r="A77" s="21"/>
      <c r="B77" s="9" t="str">
        <f>CONCATENATE("          ","6305"," - ","FREIGHT OUT")</f>
        <v xml:space="preserve">          6305 - FREIGHT OUT</v>
      </c>
      <c r="C77" s="9"/>
      <c r="D77" s="6"/>
      <c r="E77" s="3"/>
      <c r="F77" s="7">
        <f t="shared" si="20"/>
        <v>0</v>
      </c>
      <c r="G77" s="3"/>
      <c r="H77" s="6">
        <v>50</v>
      </c>
      <c r="I77" s="3"/>
      <c r="J77" s="7">
        <f t="shared" si="21"/>
        <v>2.5673413639771197E-4</v>
      </c>
      <c r="K77" s="3"/>
      <c r="L77" s="6">
        <f t="shared" si="22"/>
        <v>-50</v>
      </c>
      <c r="M77" s="3"/>
      <c r="N77" s="7">
        <f t="shared" si="23"/>
        <v>-1</v>
      </c>
      <c r="O77" s="9"/>
      <c r="P77" s="6">
        <v>893.87</v>
      </c>
      <c r="Q77" s="3"/>
      <c r="R77" s="7">
        <f t="shared" si="24"/>
        <v>1.9075433069917427E-4</v>
      </c>
      <c r="S77" s="3"/>
      <c r="T77" s="6">
        <v>600</v>
      </c>
      <c r="U77" s="3"/>
      <c r="V77" s="7">
        <f t="shared" si="25"/>
        <v>2.1486716016878531E-4</v>
      </c>
      <c r="W77" s="3"/>
      <c r="X77" s="6">
        <f t="shared" si="26"/>
        <v>293.87</v>
      </c>
      <c r="Y77" s="3"/>
      <c r="Z77" s="7">
        <f t="shared" si="27"/>
        <v>0.48978333333333335</v>
      </c>
    </row>
    <row r="78" spans="1:26" s="70" customFormat="1" ht="15" hidden="1" customHeight="1" outlineLevel="2" x14ac:dyDescent="0.3">
      <c r="A78" s="21"/>
      <c r="B78" s="9" t="str">
        <f>CONCATENATE("          ","6307"," - ","POSTAGE")</f>
        <v xml:space="preserve">          6307 - POSTAGE</v>
      </c>
      <c r="C78" s="9"/>
      <c r="D78" s="6"/>
      <c r="E78" s="3"/>
      <c r="F78" s="7">
        <f t="shared" si="20"/>
        <v>0</v>
      </c>
      <c r="G78" s="3"/>
      <c r="H78" s="6"/>
      <c r="I78" s="3"/>
      <c r="J78" s="7">
        <f t="shared" si="21"/>
        <v>0</v>
      </c>
      <c r="K78" s="3"/>
      <c r="L78" s="6">
        <f t="shared" si="22"/>
        <v>0</v>
      </c>
      <c r="M78" s="3"/>
      <c r="N78" s="7">
        <f t="shared" si="23"/>
        <v>0</v>
      </c>
      <c r="O78" s="9"/>
      <c r="P78" s="6">
        <v>35.42</v>
      </c>
      <c r="Q78" s="3"/>
      <c r="R78" s="7">
        <f t="shared" si="24"/>
        <v>7.5587259818147528E-6</v>
      </c>
      <c r="S78" s="3"/>
      <c r="T78" s="6"/>
      <c r="U78" s="3"/>
      <c r="V78" s="7">
        <f t="shared" si="25"/>
        <v>0</v>
      </c>
      <c r="W78" s="3"/>
      <c r="X78" s="6">
        <f t="shared" si="26"/>
        <v>35.42</v>
      </c>
      <c r="Y78" s="3"/>
      <c r="Z78" s="7">
        <f t="shared" si="27"/>
        <v>0</v>
      </c>
    </row>
    <row r="79" spans="1:26" s="69" customFormat="1" ht="15" customHeight="1" outlineLevel="1" collapsed="1" x14ac:dyDescent="0.3">
      <c r="A79" s="20"/>
      <c r="B79" s="11" t="str">
        <f>CONCATENATE("     ","General                                           ")</f>
        <v xml:space="preserve">     General                                           </v>
      </c>
      <c r="C79" s="11"/>
      <c r="D79" s="2">
        <f>SUM(OSRRefD22_9x_0)</f>
        <v>0</v>
      </c>
      <c r="E79" s="2"/>
      <c r="F79" s="5">
        <f t="shared" si="20"/>
        <v>0</v>
      </c>
      <c r="G79" s="2"/>
      <c r="H79" s="2">
        <f>SUM(OSRRefH22_9x_0)</f>
        <v>1000</v>
      </c>
      <c r="I79" s="2"/>
      <c r="J79" s="5">
        <f t="shared" si="21"/>
        <v>5.1346827279542401E-3</v>
      </c>
      <c r="K79" s="2"/>
      <c r="L79" s="2">
        <f t="shared" si="22"/>
        <v>-1000</v>
      </c>
      <c r="M79" s="2"/>
      <c r="N79" s="5">
        <f t="shared" si="23"/>
        <v>-1</v>
      </c>
      <c r="O79" s="11"/>
      <c r="P79" s="2">
        <f>SUM(OSRRefP22_9x_0)</f>
        <v>988.17</v>
      </c>
      <c r="Q79" s="2"/>
      <c r="R79" s="5">
        <f t="shared" si="24"/>
        <v>2.1087821155984989E-4</v>
      </c>
      <c r="S79" s="2"/>
      <c r="T79" s="2">
        <f>SUM(OSRRefT22_9x_0)</f>
        <v>1000</v>
      </c>
      <c r="U79" s="2"/>
      <c r="V79" s="5">
        <f t="shared" si="25"/>
        <v>3.5811193361464218E-4</v>
      </c>
      <c r="W79" s="2"/>
      <c r="X79" s="2">
        <f t="shared" si="26"/>
        <v>-11.830000000000041</v>
      </c>
      <c r="Y79" s="2"/>
      <c r="Z79" s="5">
        <f t="shared" si="27"/>
        <v>-1.183000000000004E-2</v>
      </c>
    </row>
    <row r="80" spans="1:26" s="70" customFormat="1" ht="15" hidden="1" customHeight="1" outlineLevel="2" x14ac:dyDescent="0.3">
      <c r="A80" s="21"/>
      <c r="B80" s="9" t="str">
        <f>CONCATENATE("          ","6279"," - ","GENERAL EXPENSE")</f>
        <v xml:space="preserve">          6279 - GENERAL EXPENSE</v>
      </c>
      <c r="C80" s="9"/>
      <c r="D80" s="6"/>
      <c r="E80" s="3"/>
      <c r="F80" s="7">
        <f t="shared" si="20"/>
        <v>0</v>
      </c>
      <c r="G80" s="3"/>
      <c r="H80" s="6">
        <v>1000</v>
      </c>
      <c r="I80" s="3"/>
      <c r="J80" s="7">
        <f t="shared" si="21"/>
        <v>5.1346827279542401E-3</v>
      </c>
      <c r="K80" s="3"/>
      <c r="L80" s="6">
        <f t="shared" si="22"/>
        <v>-1000</v>
      </c>
      <c r="M80" s="3"/>
      <c r="N80" s="7">
        <f t="shared" si="23"/>
        <v>-1</v>
      </c>
      <c r="O80" s="9"/>
      <c r="P80" s="6">
        <v>988.17</v>
      </c>
      <c r="Q80" s="3"/>
      <c r="R80" s="7">
        <f t="shared" si="24"/>
        <v>2.1087821155984989E-4</v>
      </c>
      <c r="S80" s="3"/>
      <c r="T80" s="6">
        <v>1000</v>
      </c>
      <c r="U80" s="3"/>
      <c r="V80" s="7">
        <f t="shared" si="25"/>
        <v>3.5811193361464218E-4</v>
      </c>
      <c r="W80" s="3"/>
      <c r="X80" s="6">
        <f t="shared" si="26"/>
        <v>-11.830000000000041</v>
      </c>
      <c r="Y80" s="3"/>
      <c r="Z80" s="7">
        <f t="shared" si="27"/>
        <v>-1.183000000000004E-2</v>
      </c>
    </row>
    <row r="81" spans="1:26" s="69" customFormat="1" ht="15" customHeight="1" outlineLevel="1" collapsed="1" x14ac:dyDescent="0.3">
      <c r="A81" s="20"/>
      <c r="B81" s="11" t="str">
        <f>CONCATENATE("     ","Inventory Adjustment                              ")</f>
        <v xml:space="preserve">     Inventory Adjustment                              </v>
      </c>
      <c r="C81" s="11"/>
      <c r="D81" s="2">
        <f>SUM(OSRRefD22_10x_0)</f>
        <v>-36850</v>
      </c>
      <c r="E81" s="2"/>
      <c r="F81" s="5">
        <f t="shared" si="20"/>
        <v>-0.15087616882457802</v>
      </c>
      <c r="G81" s="2"/>
      <c r="H81" s="2">
        <f>SUM(OSRRefH22_10x_0)</f>
        <v>3350</v>
      </c>
      <c r="I81" s="2"/>
      <c r="J81" s="5">
        <f t="shared" si="21"/>
        <v>1.7201187138646701E-2</v>
      </c>
      <c r="K81" s="2"/>
      <c r="L81" s="2">
        <f t="shared" si="22"/>
        <v>-40200</v>
      </c>
      <c r="M81" s="2"/>
      <c r="N81" s="5">
        <f t="shared" si="23"/>
        <v>-12</v>
      </c>
      <c r="O81" s="11"/>
      <c r="P81" s="2">
        <f>SUM(OSRRefP22_10x_0)</f>
        <v>0</v>
      </c>
      <c r="Q81" s="2"/>
      <c r="R81" s="5">
        <f t="shared" si="24"/>
        <v>0</v>
      </c>
      <c r="S81" s="2"/>
      <c r="T81" s="2">
        <f>SUM(OSRRefT22_10x_0)</f>
        <v>40200</v>
      </c>
      <c r="U81" s="2"/>
      <c r="V81" s="5">
        <f t="shared" si="25"/>
        <v>1.4396099731308617E-2</v>
      </c>
      <c r="W81" s="2"/>
      <c r="X81" s="2">
        <f t="shared" si="26"/>
        <v>-40200</v>
      </c>
      <c r="Y81" s="2"/>
      <c r="Z81" s="5">
        <f t="shared" si="27"/>
        <v>-1</v>
      </c>
    </row>
    <row r="82" spans="1:26" s="70" customFormat="1" ht="15" hidden="1" customHeight="1" outlineLevel="2" x14ac:dyDescent="0.3">
      <c r="A82" s="21"/>
      <c r="B82" s="9" t="str">
        <f>CONCATENATE("          ","6408"," - ","INVENTORY ADJUSTMENT")</f>
        <v xml:space="preserve">          6408 - INVENTORY ADJUSTMENT</v>
      </c>
      <c r="C82" s="9"/>
      <c r="D82" s="6">
        <v>-36850</v>
      </c>
      <c r="E82" s="3"/>
      <c r="F82" s="7">
        <f t="shared" si="20"/>
        <v>-0.15087616882457802</v>
      </c>
      <c r="G82" s="3"/>
      <c r="H82" s="6">
        <v>3350</v>
      </c>
      <c r="I82" s="3"/>
      <c r="J82" s="7">
        <f t="shared" si="21"/>
        <v>1.7201187138646701E-2</v>
      </c>
      <c r="K82" s="3"/>
      <c r="L82" s="6">
        <f t="shared" si="22"/>
        <v>-40200</v>
      </c>
      <c r="M82" s="3"/>
      <c r="N82" s="7">
        <f t="shared" si="23"/>
        <v>-12</v>
      </c>
      <c r="O82" s="9"/>
      <c r="P82" s="6">
        <v>0</v>
      </c>
      <c r="Q82" s="3"/>
      <c r="R82" s="7">
        <f t="shared" si="24"/>
        <v>0</v>
      </c>
      <c r="S82" s="3"/>
      <c r="T82" s="6">
        <v>40200</v>
      </c>
      <c r="U82" s="3"/>
      <c r="V82" s="7">
        <f t="shared" si="25"/>
        <v>1.4396099731308617E-2</v>
      </c>
      <c r="W82" s="3"/>
      <c r="X82" s="6">
        <f t="shared" si="26"/>
        <v>-40200</v>
      </c>
      <c r="Y82" s="3"/>
      <c r="Z82" s="7">
        <f t="shared" si="27"/>
        <v>-1</v>
      </c>
    </row>
    <row r="83" spans="1:26" s="69" customFormat="1" ht="15" customHeight="1" outlineLevel="1" collapsed="1" x14ac:dyDescent="0.3">
      <c r="A83" s="20"/>
      <c r="B83" s="11" t="str">
        <f>CONCATENATE("     ","Professional Services                             ")</f>
        <v xml:space="preserve">     Professional Services                             </v>
      </c>
      <c r="C83" s="11"/>
      <c r="D83" s="2">
        <f>SUM(OSRRefD22_11x_0)</f>
        <v>1401.33</v>
      </c>
      <c r="E83" s="2"/>
      <c r="F83" s="5">
        <f t="shared" si="20"/>
        <v>5.7375115782617612E-3</v>
      </c>
      <c r="G83" s="2"/>
      <c r="H83" s="2">
        <f>SUM(OSRRefH22_11x_0)</f>
        <v>0</v>
      </c>
      <c r="I83" s="2"/>
      <c r="J83" s="5">
        <f t="shared" si="21"/>
        <v>0</v>
      </c>
      <c r="K83" s="2"/>
      <c r="L83" s="2">
        <f t="shared" si="22"/>
        <v>1401.33</v>
      </c>
      <c r="M83" s="2"/>
      <c r="N83" s="5">
        <f t="shared" si="23"/>
        <v>0</v>
      </c>
      <c r="O83" s="11"/>
      <c r="P83" s="2">
        <f>SUM(OSRRefP22_11x_0)</f>
        <v>3348.97</v>
      </c>
      <c r="Q83" s="2"/>
      <c r="R83" s="5">
        <f t="shared" si="24"/>
        <v>7.1467946220548132E-4</v>
      </c>
      <c r="S83" s="2"/>
      <c r="T83" s="2">
        <f>SUM(OSRRefT22_11x_0)</f>
        <v>1000</v>
      </c>
      <c r="U83" s="2"/>
      <c r="V83" s="5">
        <f t="shared" si="25"/>
        <v>3.5811193361464218E-4</v>
      </c>
      <c r="W83" s="2"/>
      <c r="X83" s="2">
        <f t="shared" si="26"/>
        <v>2348.9699999999998</v>
      </c>
      <c r="Y83" s="2"/>
      <c r="Z83" s="5">
        <f t="shared" si="27"/>
        <v>2.34897</v>
      </c>
    </row>
    <row r="84" spans="1:26" s="70" customFormat="1" ht="15" hidden="1" customHeight="1" outlineLevel="2" x14ac:dyDescent="0.3">
      <c r="A84" s="21"/>
      <c r="B84" s="9" t="str">
        <f>CONCATENATE("          ","6336"," - ","PROFESSIONAL SERVICES")</f>
        <v xml:space="preserve">          6336 - PROFESSIONAL SERVICES</v>
      </c>
      <c r="C84" s="9"/>
      <c r="D84" s="6">
        <v>1401.33</v>
      </c>
      <c r="E84" s="3"/>
      <c r="F84" s="7">
        <f t="shared" si="20"/>
        <v>5.7375115782617612E-3</v>
      </c>
      <c r="G84" s="3"/>
      <c r="H84" s="6">
        <v>0</v>
      </c>
      <c r="I84" s="3"/>
      <c r="J84" s="7">
        <f t="shared" si="21"/>
        <v>0</v>
      </c>
      <c r="K84" s="3"/>
      <c r="L84" s="6">
        <f t="shared" si="22"/>
        <v>1401.33</v>
      </c>
      <c r="M84" s="3"/>
      <c r="N84" s="7">
        <f t="shared" si="23"/>
        <v>0</v>
      </c>
      <c r="O84" s="9"/>
      <c r="P84" s="6">
        <v>3348.97</v>
      </c>
      <c r="Q84" s="3"/>
      <c r="R84" s="7">
        <f t="shared" si="24"/>
        <v>7.1467946220548132E-4</v>
      </c>
      <c r="S84" s="3"/>
      <c r="T84" s="6">
        <v>1000</v>
      </c>
      <c r="U84" s="3"/>
      <c r="V84" s="7">
        <f t="shared" si="25"/>
        <v>3.5811193361464218E-4</v>
      </c>
      <c r="W84" s="3"/>
      <c r="X84" s="6">
        <f t="shared" si="26"/>
        <v>2348.9699999999998</v>
      </c>
      <c r="Y84" s="3"/>
      <c r="Z84" s="7">
        <f t="shared" si="27"/>
        <v>2.34897</v>
      </c>
    </row>
    <row r="85" spans="1:26" s="69" customFormat="1" ht="15" customHeight="1" outlineLevel="1" collapsed="1" x14ac:dyDescent="0.3">
      <c r="A85" s="20"/>
      <c r="B85" s="11" t="str">
        <f>CONCATENATE("     ","Repair and Maintenance                            ")</f>
        <v xml:space="preserve">     Repair and Maintenance                            </v>
      </c>
      <c r="C85" s="11"/>
      <c r="D85" s="2">
        <f>SUM(OSRRefD22_12x_0)</f>
        <v>0</v>
      </c>
      <c r="E85" s="2"/>
      <c r="F85" s="5">
        <f t="shared" si="20"/>
        <v>0</v>
      </c>
      <c r="G85" s="2"/>
      <c r="H85" s="2">
        <f>SUM(OSRRefH22_12x_0)</f>
        <v>0</v>
      </c>
      <c r="I85" s="2"/>
      <c r="J85" s="5">
        <f t="shared" si="21"/>
        <v>0</v>
      </c>
      <c r="K85" s="2"/>
      <c r="L85" s="2">
        <f t="shared" si="22"/>
        <v>0</v>
      </c>
      <c r="M85" s="2"/>
      <c r="N85" s="5">
        <f t="shared" si="23"/>
        <v>0</v>
      </c>
      <c r="O85" s="11"/>
      <c r="P85" s="2">
        <f>SUM(OSRRefP22_12x_0)</f>
        <v>3859.0499999999997</v>
      </c>
      <c r="Q85" s="2"/>
      <c r="R85" s="5">
        <f t="shared" si="24"/>
        <v>8.2353194523213493E-4</v>
      </c>
      <c r="S85" s="2"/>
      <c r="T85" s="2">
        <f>SUM(OSRRefT22_12x_0)</f>
        <v>0</v>
      </c>
      <c r="U85" s="2"/>
      <c r="V85" s="5">
        <f t="shared" si="25"/>
        <v>0</v>
      </c>
      <c r="W85" s="2"/>
      <c r="X85" s="2">
        <f t="shared" si="26"/>
        <v>3859.0499999999997</v>
      </c>
      <c r="Y85" s="2"/>
      <c r="Z85" s="5">
        <f t="shared" si="27"/>
        <v>0</v>
      </c>
    </row>
    <row r="86" spans="1:26" s="70" customFormat="1" ht="15" hidden="1" customHeight="1" outlineLevel="2" x14ac:dyDescent="0.3">
      <c r="A86" s="21"/>
      <c r="B86" s="9" t="str">
        <f>CONCATENATE("          ","6373"," - ","MAINTENANCE CONTRACTS")</f>
        <v xml:space="preserve">          6373 - MAINTENANCE CONTRACTS</v>
      </c>
      <c r="C86" s="9"/>
      <c r="D86" s="6"/>
      <c r="E86" s="3"/>
      <c r="F86" s="7">
        <f t="shared" si="20"/>
        <v>0</v>
      </c>
      <c r="G86" s="3"/>
      <c r="H86" s="6"/>
      <c r="I86" s="3"/>
      <c r="J86" s="7">
        <f t="shared" si="21"/>
        <v>0</v>
      </c>
      <c r="K86" s="3"/>
      <c r="L86" s="6">
        <f t="shared" si="22"/>
        <v>0</v>
      </c>
      <c r="M86" s="3"/>
      <c r="N86" s="7">
        <f t="shared" si="23"/>
        <v>0</v>
      </c>
      <c r="O86" s="9"/>
      <c r="P86" s="6">
        <v>17.739999999999998</v>
      </c>
      <c r="Q86" s="3"/>
      <c r="R86" s="7">
        <f t="shared" si="24"/>
        <v>3.7857650738959259E-6</v>
      </c>
      <c r="S86" s="3"/>
      <c r="T86" s="6"/>
      <c r="U86" s="3"/>
      <c r="V86" s="7">
        <f t="shared" si="25"/>
        <v>0</v>
      </c>
      <c r="W86" s="3"/>
      <c r="X86" s="6">
        <f t="shared" si="26"/>
        <v>17.739999999999998</v>
      </c>
      <c r="Y86" s="3"/>
      <c r="Z86" s="7">
        <f t="shared" si="27"/>
        <v>0</v>
      </c>
    </row>
    <row r="87" spans="1:26" s="70" customFormat="1" ht="15" hidden="1" customHeight="1" outlineLevel="2" x14ac:dyDescent="0.3">
      <c r="A87" s="21"/>
      <c r="B87" s="9" t="str">
        <f>CONCATENATE("          ","6375"," - ","OUTSIDE REPAIRS &amp; MAINTENANCE")</f>
        <v xml:space="preserve">          6375 - OUTSIDE REPAIRS &amp; MAINTENANCE</v>
      </c>
      <c r="C87" s="9"/>
      <c r="D87" s="6"/>
      <c r="E87" s="3"/>
      <c r="F87" s="7">
        <f t="shared" si="20"/>
        <v>0</v>
      </c>
      <c r="G87" s="3"/>
      <c r="H87" s="6">
        <v>0</v>
      </c>
      <c r="I87" s="3"/>
      <c r="J87" s="7">
        <f t="shared" si="21"/>
        <v>0</v>
      </c>
      <c r="K87" s="3"/>
      <c r="L87" s="6">
        <f t="shared" si="22"/>
        <v>0</v>
      </c>
      <c r="M87" s="3"/>
      <c r="N87" s="7">
        <f t="shared" si="23"/>
        <v>0</v>
      </c>
      <c r="O87" s="9"/>
      <c r="P87" s="6">
        <v>3841.31</v>
      </c>
      <c r="Q87" s="3"/>
      <c r="R87" s="7">
        <f t="shared" si="24"/>
        <v>8.1974618015823902E-4</v>
      </c>
      <c r="S87" s="3"/>
      <c r="T87" s="6">
        <v>0</v>
      </c>
      <c r="U87" s="3"/>
      <c r="V87" s="7">
        <f t="shared" si="25"/>
        <v>0</v>
      </c>
      <c r="W87" s="3"/>
      <c r="X87" s="6">
        <f t="shared" si="26"/>
        <v>3841.31</v>
      </c>
      <c r="Y87" s="3"/>
      <c r="Z87" s="7">
        <f t="shared" si="27"/>
        <v>0</v>
      </c>
    </row>
    <row r="88" spans="1:26" s="69" customFormat="1" ht="15" customHeight="1" outlineLevel="1" collapsed="1" x14ac:dyDescent="0.3">
      <c r="A88" s="20"/>
      <c r="B88" s="11" t="str">
        <f>CONCATENATE("     ","Royalty &amp; Commissions                             ")</f>
        <v xml:space="preserve">     Royalty &amp; Commissions                             </v>
      </c>
      <c r="C88" s="11"/>
      <c r="D88" s="2">
        <f>SUM(OSRRefD22_13x_0)</f>
        <v>108</v>
      </c>
      <c r="E88" s="2"/>
      <c r="F88" s="5">
        <f t="shared" si="20"/>
        <v>4.4218795747773206E-4</v>
      </c>
      <c r="G88" s="2"/>
      <c r="H88" s="2">
        <f>SUM(OSRRefH22_13x_0)</f>
        <v>3322</v>
      </c>
      <c r="I88" s="2"/>
      <c r="J88" s="5">
        <f t="shared" si="21"/>
        <v>1.7057416022263985E-2</v>
      </c>
      <c r="K88" s="2"/>
      <c r="L88" s="2">
        <f t="shared" si="22"/>
        <v>-3214</v>
      </c>
      <c r="M88" s="2"/>
      <c r="N88" s="5">
        <f t="shared" si="23"/>
        <v>-0.96748946417820592</v>
      </c>
      <c r="O88" s="11"/>
      <c r="P88" s="2">
        <f>SUM(OSRRefP22_13x_0)</f>
        <v>72264.009999999995</v>
      </c>
      <c r="Q88" s="2"/>
      <c r="R88" s="5">
        <f t="shared" si="24"/>
        <v>1.5421339636847008E-2</v>
      </c>
      <c r="S88" s="2"/>
      <c r="T88" s="2">
        <f>SUM(OSRRefT22_13x_0)</f>
        <v>62010</v>
      </c>
      <c r="U88" s="2"/>
      <c r="V88" s="5">
        <f t="shared" si="25"/>
        <v>2.2206521003443964E-2</v>
      </c>
      <c r="W88" s="2"/>
      <c r="X88" s="2">
        <f t="shared" si="26"/>
        <v>10254.009999999995</v>
      </c>
      <c r="Y88" s="2"/>
      <c r="Z88" s="5">
        <f t="shared" si="27"/>
        <v>0.16536058700209635</v>
      </c>
    </row>
    <row r="89" spans="1:26" s="70" customFormat="1" ht="15" hidden="1" customHeight="1" outlineLevel="2" x14ac:dyDescent="0.3">
      <c r="A89" s="21"/>
      <c r="B89" s="9" t="str">
        <f>CONCATENATE("          ","6252"," - ","ROYALTY DUE CSTV")</f>
        <v xml:space="preserve">          6252 - ROYALTY DUE CSTV</v>
      </c>
      <c r="C89" s="9"/>
      <c r="D89" s="6"/>
      <c r="E89" s="3"/>
      <c r="F89" s="7">
        <f t="shared" si="20"/>
        <v>0</v>
      </c>
      <c r="G89" s="3"/>
      <c r="H89" s="6">
        <v>3322</v>
      </c>
      <c r="I89" s="3"/>
      <c r="J89" s="7">
        <f t="shared" si="21"/>
        <v>1.7057416022263985E-2</v>
      </c>
      <c r="K89" s="3"/>
      <c r="L89" s="6">
        <f t="shared" si="22"/>
        <v>-3322</v>
      </c>
      <c r="M89" s="3"/>
      <c r="N89" s="7">
        <f t="shared" si="23"/>
        <v>-1</v>
      </c>
      <c r="O89" s="9"/>
      <c r="P89" s="6"/>
      <c r="Q89" s="3"/>
      <c r="R89" s="7">
        <f t="shared" si="24"/>
        <v>0</v>
      </c>
      <c r="S89" s="3"/>
      <c r="T89" s="6">
        <v>19008</v>
      </c>
      <c r="U89" s="3"/>
      <c r="V89" s="7">
        <f t="shared" si="25"/>
        <v>6.8069916341471186E-3</v>
      </c>
      <c r="W89" s="3"/>
      <c r="X89" s="6">
        <f t="shared" si="26"/>
        <v>-19008</v>
      </c>
      <c r="Y89" s="3"/>
      <c r="Z89" s="7">
        <f t="shared" si="27"/>
        <v>-1</v>
      </c>
    </row>
    <row r="90" spans="1:26" s="70" customFormat="1" ht="15" hidden="1" customHeight="1" outlineLevel="2" x14ac:dyDescent="0.3">
      <c r="A90" s="21"/>
      <c r="B90" s="9" t="str">
        <f>CONCATENATE("          ","6253"," - ","ROYALTY DUE ATHLETICS-LRG")</f>
        <v xml:space="preserve">          6253 - ROYALTY DUE ATHLETICS-LRG</v>
      </c>
      <c r="C90" s="9"/>
      <c r="D90" s="6"/>
      <c r="E90" s="3"/>
      <c r="F90" s="7">
        <f t="shared" si="20"/>
        <v>0</v>
      </c>
      <c r="G90" s="3"/>
      <c r="H90" s="6">
        <v>0</v>
      </c>
      <c r="I90" s="3"/>
      <c r="J90" s="7">
        <f t="shared" si="21"/>
        <v>0</v>
      </c>
      <c r="K90" s="3"/>
      <c r="L90" s="6">
        <f t="shared" si="22"/>
        <v>0</v>
      </c>
      <c r="M90" s="3"/>
      <c r="N90" s="7">
        <f t="shared" si="23"/>
        <v>0</v>
      </c>
      <c r="O90" s="9"/>
      <c r="P90" s="6">
        <v>51456.52</v>
      </c>
      <c r="Q90" s="3"/>
      <c r="R90" s="7">
        <f t="shared" si="24"/>
        <v>1.0980963711399503E-2</v>
      </c>
      <c r="S90" s="3"/>
      <c r="T90" s="6">
        <v>38502</v>
      </c>
      <c r="U90" s="3"/>
      <c r="V90" s="7">
        <f t="shared" si="25"/>
        <v>1.3788025668030954E-2</v>
      </c>
      <c r="W90" s="3"/>
      <c r="X90" s="6">
        <f t="shared" si="26"/>
        <v>12954.519999999997</v>
      </c>
      <c r="Y90" s="3"/>
      <c r="Z90" s="7">
        <f t="shared" si="27"/>
        <v>0.33646356033452801</v>
      </c>
    </row>
    <row r="91" spans="1:26" s="70" customFormat="1" ht="15" hidden="1" customHeight="1" outlineLevel="2" x14ac:dyDescent="0.3">
      <c r="A91" s="21"/>
      <c r="B91" s="9" t="str">
        <f>CONCATENATE("          ","6254"," - ","ROYALTY &amp; COMMISSIONS")</f>
        <v xml:space="preserve">          6254 - ROYALTY &amp; COMMISSIONS</v>
      </c>
      <c r="C91" s="9"/>
      <c r="D91" s="6">
        <v>108</v>
      </c>
      <c r="E91" s="3"/>
      <c r="F91" s="7">
        <f t="shared" si="20"/>
        <v>4.4218795747773206E-4</v>
      </c>
      <c r="G91" s="3"/>
      <c r="H91" s="6">
        <v>0</v>
      </c>
      <c r="I91" s="3"/>
      <c r="J91" s="7">
        <f t="shared" si="21"/>
        <v>0</v>
      </c>
      <c r="K91" s="3"/>
      <c r="L91" s="6">
        <f t="shared" si="22"/>
        <v>108</v>
      </c>
      <c r="M91" s="3"/>
      <c r="N91" s="7">
        <f t="shared" si="23"/>
        <v>0</v>
      </c>
      <c r="O91" s="9"/>
      <c r="P91" s="6">
        <v>20807.490000000002</v>
      </c>
      <c r="Q91" s="3"/>
      <c r="R91" s="7">
        <f t="shared" si="24"/>
        <v>4.4403759254475058E-3</v>
      </c>
      <c r="S91" s="3"/>
      <c r="T91" s="6">
        <v>4500</v>
      </c>
      <c r="U91" s="3"/>
      <c r="V91" s="7">
        <f t="shared" si="25"/>
        <v>1.6115037012658898E-3</v>
      </c>
      <c r="W91" s="3"/>
      <c r="X91" s="6">
        <f t="shared" si="26"/>
        <v>16307.490000000002</v>
      </c>
      <c r="Y91" s="3"/>
      <c r="Z91" s="7">
        <f t="shared" si="27"/>
        <v>3.6238866666666669</v>
      </c>
    </row>
    <row r="92" spans="1:26" s="69" customFormat="1" ht="15" customHeight="1" outlineLevel="1" collapsed="1" x14ac:dyDescent="0.3">
      <c r="A92" s="20"/>
      <c r="B92" s="11" t="str">
        <f>CONCATENATE("     ","Subscriptions &amp; Dues                              ")</f>
        <v xml:space="preserve">     Subscriptions &amp; Dues                              </v>
      </c>
      <c r="C92" s="11"/>
      <c r="D92" s="2">
        <f>SUM(OSRRefD22_14x_0)</f>
        <v>0</v>
      </c>
      <c r="E92" s="2"/>
      <c r="F92" s="5">
        <f t="shared" si="20"/>
        <v>0</v>
      </c>
      <c r="G92" s="2"/>
      <c r="H92" s="2">
        <f>SUM(OSRRefH22_14x_0)</f>
        <v>100</v>
      </c>
      <c r="I92" s="2"/>
      <c r="J92" s="5">
        <f t="shared" si="21"/>
        <v>5.1346827279542394E-4</v>
      </c>
      <c r="K92" s="2"/>
      <c r="L92" s="2">
        <f t="shared" si="22"/>
        <v>-100</v>
      </c>
      <c r="M92" s="2"/>
      <c r="N92" s="5">
        <f t="shared" si="23"/>
        <v>-1</v>
      </c>
      <c r="O92" s="11"/>
      <c r="P92" s="2">
        <f>SUM(OSRRefP22_14x_0)</f>
        <v>125</v>
      </c>
      <c r="Q92" s="2"/>
      <c r="R92" s="5">
        <f t="shared" si="24"/>
        <v>2.6675345785625185E-5</v>
      </c>
      <c r="S92" s="2"/>
      <c r="T92" s="2">
        <f>SUM(OSRRefT22_14x_0)</f>
        <v>1600</v>
      </c>
      <c r="U92" s="2"/>
      <c r="V92" s="5">
        <f t="shared" si="25"/>
        <v>5.7297909378342747E-4</v>
      </c>
      <c r="W92" s="2"/>
      <c r="X92" s="2">
        <f t="shared" si="26"/>
        <v>-1475</v>
      </c>
      <c r="Y92" s="2"/>
      <c r="Z92" s="5">
        <f t="shared" si="27"/>
        <v>-0.921875</v>
      </c>
    </row>
    <row r="93" spans="1:26" s="70" customFormat="1" ht="15" hidden="1" customHeight="1" outlineLevel="2" x14ac:dyDescent="0.3">
      <c r="A93" s="21"/>
      <c r="B93" s="9" t="str">
        <f>CONCATENATE("          ","6258"," - ","MEMBERSHIP DUES")</f>
        <v xml:space="preserve">          6258 - MEMBERSHIP DUES</v>
      </c>
      <c r="C93" s="9"/>
      <c r="D93" s="6"/>
      <c r="E93" s="3"/>
      <c r="F93" s="7">
        <f t="shared" si="20"/>
        <v>0</v>
      </c>
      <c r="G93" s="3"/>
      <c r="H93" s="6">
        <v>0</v>
      </c>
      <c r="I93" s="3"/>
      <c r="J93" s="7">
        <f t="shared" si="21"/>
        <v>0</v>
      </c>
      <c r="K93" s="3"/>
      <c r="L93" s="6">
        <f t="shared" si="22"/>
        <v>0</v>
      </c>
      <c r="M93" s="3"/>
      <c r="N93" s="7">
        <f t="shared" si="23"/>
        <v>0</v>
      </c>
      <c r="O93" s="9"/>
      <c r="P93" s="6">
        <v>125</v>
      </c>
      <c r="Q93" s="3"/>
      <c r="R93" s="7">
        <f t="shared" si="24"/>
        <v>2.6675345785625185E-5</v>
      </c>
      <c r="S93" s="3"/>
      <c r="T93" s="6">
        <v>1000</v>
      </c>
      <c r="U93" s="3"/>
      <c r="V93" s="7">
        <f t="shared" si="25"/>
        <v>3.5811193361464218E-4</v>
      </c>
      <c r="W93" s="3"/>
      <c r="X93" s="6">
        <f t="shared" si="26"/>
        <v>-875</v>
      </c>
      <c r="Y93" s="3"/>
      <c r="Z93" s="7">
        <f t="shared" si="27"/>
        <v>-0.875</v>
      </c>
    </row>
    <row r="94" spans="1:26" s="70" customFormat="1" ht="15" hidden="1" customHeight="1" outlineLevel="2" x14ac:dyDescent="0.3">
      <c r="A94" s="21"/>
      <c r="B94" s="9" t="str">
        <f>CONCATENATE("          ","6275"," - ","SUBSCRIPTIONS")</f>
        <v xml:space="preserve">          6275 - SUBSCRIPTIONS</v>
      </c>
      <c r="C94" s="9"/>
      <c r="D94" s="6"/>
      <c r="E94" s="3"/>
      <c r="F94" s="7">
        <f t="shared" si="20"/>
        <v>0</v>
      </c>
      <c r="G94" s="3"/>
      <c r="H94" s="6">
        <v>100</v>
      </c>
      <c r="I94" s="3"/>
      <c r="J94" s="7">
        <f t="shared" si="21"/>
        <v>5.1346827279542394E-4</v>
      </c>
      <c r="K94" s="3"/>
      <c r="L94" s="6">
        <f t="shared" si="22"/>
        <v>-100</v>
      </c>
      <c r="M94" s="3"/>
      <c r="N94" s="7">
        <f t="shared" si="23"/>
        <v>-1</v>
      </c>
      <c r="O94" s="9"/>
      <c r="P94" s="6"/>
      <c r="Q94" s="3"/>
      <c r="R94" s="7">
        <f t="shared" si="24"/>
        <v>0</v>
      </c>
      <c r="S94" s="3"/>
      <c r="T94" s="6">
        <v>600</v>
      </c>
      <c r="U94" s="3"/>
      <c r="V94" s="7">
        <f t="shared" si="25"/>
        <v>2.1486716016878531E-4</v>
      </c>
      <c r="W94" s="3"/>
      <c r="X94" s="6">
        <f t="shared" si="26"/>
        <v>-600</v>
      </c>
      <c r="Y94" s="3"/>
      <c r="Z94" s="7">
        <f t="shared" si="27"/>
        <v>-1</v>
      </c>
    </row>
    <row r="95" spans="1:26" s="69" customFormat="1" ht="15" customHeight="1" outlineLevel="1" collapsed="1" x14ac:dyDescent="0.3">
      <c r="A95" s="20"/>
      <c r="B95" s="11" t="str">
        <f>CONCATENATE("     ","Supplies                                          ")</f>
        <v xml:space="preserve">     Supplies                                          </v>
      </c>
      <c r="C95" s="11"/>
      <c r="D95" s="2">
        <f>SUM(OSRRefD22_15x_0)</f>
        <v>1250.27</v>
      </c>
      <c r="E95" s="2"/>
      <c r="F95" s="5">
        <f t="shared" si="20"/>
        <v>5.1190216444044817E-3</v>
      </c>
      <c r="G95" s="2"/>
      <c r="H95" s="2">
        <f>SUM(OSRRefH22_15x_0)</f>
        <v>75</v>
      </c>
      <c r="I95" s="2"/>
      <c r="J95" s="5">
        <f t="shared" si="21"/>
        <v>3.8510120459656798E-4</v>
      </c>
      <c r="K95" s="2"/>
      <c r="L95" s="2">
        <f t="shared" si="22"/>
        <v>1175.27</v>
      </c>
      <c r="M95" s="2"/>
      <c r="N95" s="5">
        <f t="shared" si="23"/>
        <v>15.670266666666667</v>
      </c>
      <c r="O95" s="11"/>
      <c r="P95" s="2">
        <f>SUM(OSRRefP22_15x_0)</f>
        <v>12696.410000000002</v>
      </c>
      <c r="Q95" s="2"/>
      <c r="R95" s="5">
        <f t="shared" si="24"/>
        <v>2.7094490158885562E-3</v>
      </c>
      <c r="S95" s="2"/>
      <c r="T95" s="2">
        <f>SUM(OSRRefT22_15x_0)</f>
        <v>900</v>
      </c>
      <c r="U95" s="2"/>
      <c r="V95" s="5">
        <f t="shared" si="25"/>
        <v>3.2230074025317796E-4</v>
      </c>
      <c r="W95" s="2"/>
      <c r="X95" s="2">
        <f t="shared" si="26"/>
        <v>11796.410000000002</v>
      </c>
      <c r="Y95" s="2"/>
      <c r="Z95" s="5">
        <f t="shared" si="27"/>
        <v>13.107122222222223</v>
      </c>
    </row>
    <row r="96" spans="1:26" s="70" customFormat="1" ht="15" hidden="1" customHeight="1" outlineLevel="2" x14ac:dyDescent="0.3">
      <c r="A96" s="21"/>
      <c r="B96" s="9" t="str">
        <f>CONCATENATE("          ","6235"," - ","COVID-19 EXPENSES")</f>
        <v xml:space="preserve">          6235 - COVID-19 EXPENSES</v>
      </c>
      <c r="C96" s="9"/>
      <c r="D96" s="6"/>
      <c r="E96" s="3"/>
      <c r="F96" s="7">
        <f t="shared" si="20"/>
        <v>0</v>
      </c>
      <c r="G96" s="3"/>
      <c r="H96" s="6">
        <v>0</v>
      </c>
      <c r="I96" s="3"/>
      <c r="J96" s="7">
        <f t="shared" si="21"/>
        <v>0</v>
      </c>
      <c r="K96" s="3"/>
      <c r="L96" s="6">
        <f t="shared" si="22"/>
        <v>0</v>
      </c>
      <c r="M96" s="3"/>
      <c r="N96" s="7">
        <f t="shared" si="23"/>
        <v>0</v>
      </c>
      <c r="O96" s="9"/>
      <c r="P96" s="6"/>
      <c r="Q96" s="3"/>
      <c r="R96" s="7">
        <f t="shared" si="24"/>
        <v>0</v>
      </c>
      <c r="S96" s="3"/>
      <c r="T96" s="6">
        <v>0</v>
      </c>
      <c r="U96" s="3"/>
      <c r="V96" s="7">
        <f t="shared" si="25"/>
        <v>0</v>
      </c>
      <c r="W96" s="3"/>
      <c r="X96" s="6">
        <f t="shared" si="26"/>
        <v>0</v>
      </c>
      <c r="Y96" s="3"/>
      <c r="Z96" s="7">
        <f t="shared" si="27"/>
        <v>0</v>
      </c>
    </row>
    <row r="97" spans="1:26" s="70" customFormat="1" ht="15" hidden="1" customHeight="1" outlineLevel="2" x14ac:dyDescent="0.3">
      <c r="A97" s="21"/>
      <c r="B97" s="9" t="str">
        <f>CONCATENATE("          ","6241"," - ","OFFICE EXPENSE")</f>
        <v xml:space="preserve">          6241 - OFFICE EXPENSE</v>
      </c>
      <c r="C97" s="9"/>
      <c r="D97" s="6">
        <v>360.24</v>
      </c>
      <c r="E97" s="3"/>
      <c r="F97" s="7">
        <f t="shared" si="20"/>
        <v>1.474942498164613E-3</v>
      </c>
      <c r="G97" s="3"/>
      <c r="H97" s="6">
        <v>25</v>
      </c>
      <c r="I97" s="3"/>
      <c r="J97" s="7">
        <f t="shared" si="21"/>
        <v>1.2836706819885599E-4</v>
      </c>
      <c r="K97" s="3"/>
      <c r="L97" s="6">
        <f t="shared" si="22"/>
        <v>335.24</v>
      </c>
      <c r="M97" s="3"/>
      <c r="N97" s="7">
        <f t="shared" si="23"/>
        <v>13.409600000000001</v>
      </c>
      <c r="O97" s="9"/>
      <c r="P97" s="6">
        <v>2442.3200000000002</v>
      </c>
      <c r="Q97" s="3"/>
      <c r="R97" s="7">
        <f t="shared" si="24"/>
        <v>5.2119784415318479E-4</v>
      </c>
      <c r="S97" s="3"/>
      <c r="T97" s="6">
        <v>300</v>
      </c>
      <c r="U97" s="3"/>
      <c r="V97" s="7">
        <f t="shared" si="25"/>
        <v>1.0743358008439266E-4</v>
      </c>
      <c r="W97" s="3"/>
      <c r="X97" s="6">
        <f t="shared" si="26"/>
        <v>2142.3200000000002</v>
      </c>
      <c r="Y97" s="3"/>
      <c r="Z97" s="7">
        <f t="shared" si="27"/>
        <v>7.1410666666666671</v>
      </c>
    </row>
    <row r="98" spans="1:26" s="70" customFormat="1" ht="15" hidden="1" customHeight="1" outlineLevel="2" x14ac:dyDescent="0.3">
      <c r="A98" s="21"/>
      <c r="B98" s="9" t="str">
        <f>CONCATENATE("          ","6245"," - ","PRINTING")</f>
        <v xml:space="preserve">          6245 - PRINTING</v>
      </c>
      <c r="C98" s="9"/>
      <c r="D98" s="6"/>
      <c r="E98" s="3"/>
      <c r="F98" s="7">
        <f t="shared" si="20"/>
        <v>0</v>
      </c>
      <c r="G98" s="3"/>
      <c r="H98" s="6"/>
      <c r="I98" s="3"/>
      <c r="J98" s="7">
        <f t="shared" si="21"/>
        <v>0</v>
      </c>
      <c r="K98" s="3"/>
      <c r="L98" s="6">
        <f t="shared" si="22"/>
        <v>0</v>
      </c>
      <c r="M98" s="3"/>
      <c r="N98" s="7">
        <f t="shared" si="23"/>
        <v>0</v>
      </c>
      <c r="O98" s="9"/>
      <c r="P98" s="6">
        <v>35.549999999999997</v>
      </c>
      <c r="Q98" s="3"/>
      <c r="R98" s="7">
        <f t="shared" si="24"/>
        <v>7.5864683414318017E-6</v>
      </c>
      <c r="S98" s="3"/>
      <c r="T98" s="6"/>
      <c r="U98" s="3"/>
      <c r="V98" s="7">
        <f t="shared" si="25"/>
        <v>0</v>
      </c>
      <c r="W98" s="3"/>
      <c r="X98" s="6">
        <f t="shared" si="26"/>
        <v>35.549999999999997</v>
      </c>
      <c r="Y98" s="3"/>
      <c r="Z98" s="7">
        <f t="shared" si="27"/>
        <v>0</v>
      </c>
    </row>
    <row r="99" spans="1:26" s="70" customFormat="1" ht="15" hidden="1" customHeight="1" outlineLevel="2" x14ac:dyDescent="0.3">
      <c r="A99" s="21"/>
      <c r="B99" s="9" t="str">
        <f>CONCATENATE("          ","6247"," - ","STORE SUPPLIES")</f>
        <v xml:space="preserve">          6247 - STORE SUPPLIES</v>
      </c>
      <c r="C99" s="9"/>
      <c r="D99" s="6">
        <v>890.03</v>
      </c>
      <c r="E99" s="3"/>
      <c r="F99" s="7">
        <f t="shared" si="20"/>
        <v>3.6440791462398689E-3</v>
      </c>
      <c r="G99" s="3"/>
      <c r="H99" s="6">
        <v>50</v>
      </c>
      <c r="I99" s="3"/>
      <c r="J99" s="7">
        <f t="shared" si="21"/>
        <v>2.5673413639771197E-4</v>
      </c>
      <c r="K99" s="3"/>
      <c r="L99" s="6">
        <f t="shared" si="22"/>
        <v>840.03</v>
      </c>
      <c r="M99" s="3"/>
      <c r="N99" s="7">
        <f t="shared" si="23"/>
        <v>16.800599999999999</v>
      </c>
      <c r="O99" s="9"/>
      <c r="P99" s="6">
        <v>10218.540000000001</v>
      </c>
      <c r="Q99" s="3"/>
      <c r="R99" s="7">
        <f t="shared" si="24"/>
        <v>2.1806647033939391E-3</v>
      </c>
      <c r="S99" s="3"/>
      <c r="T99" s="6">
        <v>600</v>
      </c>
      <c r="U99" s="3"/>
      <c r="V99" s="7">
        <f t="shared" si="25"/>
        <v>2.1486716016878531E-4</v>
      </c>
      <c r="W99" s="3"/>
      <c r="X99" s="6">
        <f t="shared" si="26"/>
        <v>9618.5400000000009</v>
      </c>
      <c r="Y99" s="3"/>
      <c r="Z99" s="7">
        <f t="shared" si="27"/>
        <v>16.030900000000003</v>
      </c>
    </row>
    <row r="100" spans="1:26" s="69" customFormat="1" ht="15" customHeight="1" outlineLevel="1" collapsed="1" x14ac:dyDescent="0.3">
      <c r="A100" s="20"/>
      <c r="B100" s="11" t="str">
        <f>CONCATENATE("     ","Telephone/Data Lines                              ")</f>
        <v xml:space="preserve">     Telephone/Data Lines                              </v>
      </c>
      <c r="C100" s="11"/>
      <c r="D100" s="2">
        <f>SUM(OSRRefD22_16x_0)</f>
        <v>228.25</v>
      </c>
      <c r="E100" s="2"/>
      <c r="F100" s="5">
        <f t="shared" si="20"/>
        <v>9.3453149346566986E-4</v>
      </c>
      <c r="G100" s="2"/>
      <c r="H100" s="2">
        <f>SUM(OSRRefH22_16x_0)</f>
        <v>300</v>
      </c>
      <c r="I100" s="2"/>
      <c r="J100" s="5">
        <f t="shared" si="21"/>
        <v>1.5404048183862719E-3</v>
      </c>
      <c r="K100" s="2"/>
      <c r="L100" s="2">
        <f t="shared" si="22"/>
        <v>-71.75</v>
      </c>
      <c r="M100" s="2"/>
      <c r="N100" s="5">
        <f t="shared" si="23"/>
        <v>-0.23916666666666667</v>
      </c>
      <c r="O100" s="11"/>
      <c r="P100" s="2">
        <f>SUM(OSRRefP22_16x_0)</f>
        <v>2795.4</v>
      </c>
      <c r="Q100" s="2"/>
      <c r="R100" s="5">
        <f t="shared" si="24"/>
        <v>5.965460928730931E-4</v>
      </c>
      <c r="S100" s="2"/>
      <c r="T100" s="2">
        <f>SUM(OSRRefT22_16x_0)</f>
        <v>3600</v>
      </c>
      <c r="U100" s="2"/>
      <c r="V100" s="5">
        <f t="shared" si="25"/>
        <v>1.2892029610127118E-3</v>
      </c>
      <c r="W100" s="2"/>
      <c r="X100" s="2">
        <f t="shared" si="26"/>
        <v>-804.59999999999991</v>
      </c>
      <c r="Y100" s="2"/>
      <c r="Z100" s="5">
        <f t="shared" si="27"/>
        <v>-0.22349999999999998</v>
      </c>
    </row>
    <row r="101" spans="1:26" s="70" customFormat="1" ht="15" hidden="1" customHeight="1" outlineLevel="2" x14ac:dyDescent="0.3">
      <c r="A101" s="21"/>
      <c r="B101" s="9" t="str">
        <f>CONCATENATE("          ","6309"," - ","TELEPHONE")</f>
        <v xml:space="preserve">          6309 - TELEPHONE</v>
      </c>
      <c r="C101" s="9"/>
      <c r="D101" s="6">
        <v>228.25</v>
      </c>
      <c r="E101" s="3"/>
      <c r="F101" s="7">
        <f t="shared" si="20"/>
        <v>9.3453149346566986E-4</v>
      </c>
      <c r="G101" s="3"/>
      <c r="H101" s="6">
        <v>300</v>
      </c>
      <c r="I101" s="3"/>
      <c r="J101" s="7">
        <f t="shared" si="21"/>
        <v>1.5404048183862719E-3</v>
      </c>
      <c r="K101" s="3"/>
      <c r="L101" s="6">
        <f t="shared" si="22"/>
        <v>-71.75</v>
      </c>
      <c r="M101" s="3"/>
      <c r="N101" s="7">
        <f t="shared" si="23"/>
        <v>-0.23916666666666667</v>
      </c>
      <c r="O101" s="9"/>
      <c r="P101" s="6">
        <v>2795.4</v>
      </c>
      <c r="Q101" s="3"/>
      <c r="R101" s="7">
        <f t="shared" si="24"/>
        <v>5.965460928730931E-4</v>
      </c>
      <c r="S101" s="3"/>
      <c r="T101" s="6">
        <v>3600</v>
      </c>
      <c r="U101" s="3"/>
      <c r="V101" s="7">
        <f t="shared" si="25"/>
        <v>1.2892029610127118E-3</v>
      </c>
      <c r="W101" s="3"/>
      <c r="X101" s="6">
        <f t="shared" si="26"/>
        <v>-804.59999999999991</v>
      </c>
      <c r="Y101" s="3"/>
      <c r="Z101" s="7">
        <f t="shared" si="27"/>
        <v>-0.22349999999999998</v>
      </c>
    </row>
    <row r="102" spans="1:26" s="69" customFormat="1" ht="15" customHeight="1" outlineLevel="1" collapsed="1" x14ac:dyDescent="0.3">
      <c r="A102" s="20"/>
      <c r="B102" s="11" t="str">
        <f>CONCATENATE("     ","Training                                          ")</f>
        <v xml:space="preserve">     Training                                          </v>
      </c>
      <c r="C102" s="11"/>
      <c r="D102" s="2">
        <f>SUM(OSRRefD22_17x_0)</f>
        <v>0</v>
      </c>
      <c r="E102" s="2"/>
      <c r="F102" s="5">
        <f t="shared" si="20"/>
        <v>0</v>
      </c>
      <c r="G102" s="2"/>
      <c r="H102" s="2">
        <f>SUM(OSRRefH22_17x_0)</f>
        <v>0</v>
      </c>
      <c r="I102" s="2"/>
      <c r="J102" s="5">
        <f t="shared" si="21"/>
        <v>0</v>
      </c>
      <c r="K102" s="2"/>
      <c r="L102" s="2">
        <f t="shared" si="22"/>
        <v>0</v>
      </c>
      <c r="M102" s="2"/>
      <c r="N102" s="5">
        <f t="shared" si="23"/>
        <v>0</v>
      </c>
      <c r="O102" s="11"/>
      <c r="P102" s="2">
        <f>SUM(OSRRefP22_17x_0)</f>
        <v>300</v>
      </c>
      <c r="Q102" s="2"/>
      <c r="R102" s="5">
        <f t="shared" si="24"/>
        <v>6.4020829885500448E-5</v>
      </c>
      <c r="S102" s="2"/>
      <c r="T102" s="2">
        <f>SUM(OSRRefT22_17x_0)</f>
        <v>0</v>
      </c>
      <c r="U102" s="2"/>
      <c r="V102" s="5">
        <f t="shared" si="25"/>
        <v>0</v>
      </c>
      <c r="W102" s="2"/>
      <c r="X102" s="2">
        <f t="shared" si="26"/>
        <v>300</v>
      </c>
      <c r="Y102" s="2"/>
      <c r="Z102" s="5">
        <f t="shared" si="27"/>
        <v>0</v>
      </c>
    </row>
    <row r="103" spans="1:26" s="70" customFormat="1" ht="15" hidden="1" customHeight="1" outlineLevel="2" x14ac:dyDescent="0.3">
      <c r="A103" s="21"/>
      <c r="B103" s="9" t="str">
        <f>CONCATENATE("          ","6376"," - ","TRAINING")</f>
        <v xml:space="preserve">          6376 - TRAINING</v>
      </c>
      <c r="C103" s="9"/>
      <c r="D103" s="6"/>
      <c r="E103" s="3"/>
      <c r="F103" s="7">
        <f t="shared" si="20"/>
        <v>0</v>
      </c>
      <c r="G103" s="3"/>
      <c r="H103" s="6"/>
      <c r="I103" s="3"/>
      <c r="J103" s="7">
        <f t="shared" si="21"/>
        <v>0</v>
      </c>
      <c r="K103" s="3"/>
      <c r="L103" s="6">
        <f t="shared" si="22"/>
        <v>0</v>
      </c>
      <c r="M103" s="3"/>
      <c r="N103" s="7">
        <f t="shared" si="23"/>
        <v>0</v>
      </c>
      <c r="O103" s="9"/>
      <c r="P103" s="6">
        <v>300</v>
      </c>
      <c r="Q103" s="3"/>
      <c r="R103" s="7">
        <f t="shared" si="24"/>
        <v>6.4020829885500448E-5</v>
      </c>
      <c r="S103" s="3"/>
      <c r="T103" s="6"/>
      <c r="U103" s="3"/>
      <c r="V103" s="7">
        <f t="shared" si="25"/>
        <v>0</v>
      </c>
      <c r="W103" s="3"/>
      <c r="X103" s="6">
        <f t="shared" si="26"/>
        <v>300</v>
      </c>
      <c r="Y103" s="3"/>
      <c r="Z103" s="7">
        <f t="shared" si="27"/>
        <v>0</v>
      </c>
    </row>
    <row r="104" spans="1:26" s="69" customFormat="1" ht="15" customHeight="1" outlineLevel="1" collapsed="1" x14ac:dyDescent="0.3">
      <c r="A104" s="20"/>
      <c r="B104" s="11" t="str">
        <f>CONCATENATE("     ","Travel                                            ")</f>
        <v xml:space="preserve">     Travel                                            </v>
      </c>
      <c r="C104" s="11"/>
      <c r="D104" s="2">
        <f>SUM(OSRRefD22_18x_0)</f>
        <v>985.83</v>
      </c>
      <c r="E104" s="2"/>
      <c r="F104" s="5">
        <f t="shared" si="20"/>
        <v>4.0363162418543758E-3</v>
      </c>
      <c r="G104" s="2"/>
      <c r="H104" s="2">
        <f>SUM(OSRRefH22_18x_0)</f>
        <v>25</v>
      </c>
      <c r="I104" s="2"/>
      <c r="J104" s="5">
        <f t="shared" si="21"/>
        <v>1.2836706819885599E-4</v>
      </c>
      <c r="K104" s="2"/>
      <c r="L104" s="2">
        <f t="shared" si="22"/>
        <v>960.83</v>
      </c>
      <c r="M104" s="2"/>
      <c r="N104" s="5">
        <f t="shared" si="23"/>
        <v>38.433199999999999</v>
      </c>
      <c r="O104" s="11"/>
      <c r="P104" s="2">
        <f>SUM(OSRRefP22_18x_0)</f>
        <v>1231.6600000000001</v>
      </c>
      <c r="Q104" s="2"/>
      <c r="R104" s="5">
        <f t="shared" si="24"/>
        <v>2.6283965112258495E-4</v>
      </c>
      <c r="S104" s="2"/>
      <c r="T104" s="2">
        <f>SUM(OSRRefT22_18x_0)</f>
        <v>300</v>
      </c>
      <c r="U104" s="2"/>
      <c r="V104" s="5">
        <f t="shared" si="25"/>
        <v>1.0743358008439266E-4</v>
      </c>
      <c r="W104" s="2"/>
      <c r="X104" s="2">
        <f t="shared" si="26"/>
        <v>931.66000000000008</v>
      </c>
      <c r="Y104" s="2"/>
      <c r="Z104" s="5">
        <f t="shared" si="27"/>
        <v>3.1055333333333337</v>
      </c>
    </row>
    <row r="105" spans="1:26" s="70" customFormat="1" ht="15" hidden="1" customHeight="1" outlineLevel="2" x14ac:dyDescent="0.3">
      <c r="A105" s="21"/>
      <c r="B105" s="9" t="str">
        <f>CONCATENATE("          ","6294"," - ","TRAVEL OPERATIONAL")</f>
        <v xml:space="preserve">          6294 - TRAVEL OPERATIONAL</v>
      </c>
      <c r="C105" s="9"/>
      <c r="D105" s="6">
        <v>985.83</v>
      </c>
      <c r="E105" s="3"/>
      <c r="F105" s="7">
        <f t="shared" si="20"/>
        <v>4.0363162418543758E-3</v>
      </c>
      <c r="G105" s="3"/>
      <c r="H105" s="6">
        <v>25</v>
      </c>
      <c r="I105" s="3"/>
      <c r="J105" s="7">
        <f t="shared" si="21"/>
        <v>1.2836706819885599E-4</v>
      </c>
      <c r="K105" s="3"/>
      <c r="L105" s="6">
        <f t="shared" si="22"/>
        <v>960.83</v>
      </c>
      <c r="M105" s="3"/>
      <c r="N105" s="7">
        <f t="shared" si="23"/>
        <v>38.433199999999999</v>
      </c>
      <c r="O105" s="9"/>
      <c r="P105" s="6">
        <v>1231.6600000000001</v>
      </c>
      <c r="Q105" s="3"/>
      <c r="R105" s="7">
        <f t="shared" si="24"/>
        <v>2.6283965112258495E-4</v>
      </c>
      <c r="S105" s="3"/>
      <c r="T105" s="6">
        <v>300</v>
      </c>
      <c r="U105" s="3"/>
      <c r="V105" s="7">
        <f t="shared" si="25"/>
        <v>1.0743358008439266E-4</v>
      </c>
      <c r="W105" s="3"/>
      <c r="X105" s="6">
        <f t="shared" si="26"/>
        <v>931.66000000000008</v>
      </c>
      <c r="Y105" s="3"/>
      <c r="Z105" s="7">
        <f t="shared" si="27"/>
        <v>3.1055333333333337</v>
      </c>
    </row>
    <row r="106" spans="1:26" s="65" customFormat="1" ht="15" customHeight="1" x14ac:dyDescent="0.3">
      <c r="A106" s="36"/>
      <c r="B106" s="36"/>
      <c r="C106" s="36"/>
      <c r="D106" s="2"/>
      <c r="E106" s="2"/>
      <c r="F106" s="5"/>
      <c r="G106" s="2"/>
      <c r="H106" s="2"/>
      <c r="I106" s="2"/>
      <c r="J106" s="5"/>
      <c r="K106" s="2"/>
      <c r="L106" s="2"/>
      <c r="M106" s="2"/>
      <c r="N106" s="5"/>
      <c r="O106" s="36"/>
      <c r="P106" s="2"/>
      <c r="Q106" s="2"/>
      <c r="R106" s="5"/>
      <c r="S106" s="2"/>
      <c r="T106" s="2"/>
      <c r="U106" s="2"/>
      <c r="V106" s="5"/>
      <c r="W106" s="2"/>
      <c r="X106" s="2"/>
      <c r="Y106" s="2"/>
      <c r="Z106" s="5"/>
    </row>
    <row r="107" spans="1:26" s="63" customFormat="1" ht="15" customHeight="1" collapsed="1" x14ac:dyDescent="0.3">
      <c r="A107" s="13"/>
      <c r="B107" s="28" t="s">
        <v>291</v>
      </c>
      <c r="C107" s="13"/>
      <c r="D107" s="8">
        <f>SUM(OSRRefD25x_0)</f>
        <v>18080.689999999999</v>
      </c>
      <c r="E107" s="8"/>
      <c r="F107" s="14">
        <f>IF(D$12=0,0,D107/D$12)</f>
        <v>7.4028364637852354E-2</v>
      </c>
      <c r="G107" s="8"/>
      <c r="H107" s="8">
        <f>SUM(OSRRefH25x_0)</f>
        <v>208334</v>
      </c>
      <c r="I107" s="8"/>
      <c r="J107" s="14">
        <f>IF(H$12=0,0,H107/H$12)</f>
        <v>1.0697289914456185</v>
      </c>
      <c r="K107" s="8"/>
      <c r="L107" s="8">
        <f>+D107-H107</f>
        <v>-190253.31</v>
      </c>
      <c r="M107" s="8"/>
      <c r="N107" s="14">
        <f>IF(H107=0,0,L107/H107)</f>
        <v>-0.91321296571850974</v>
      </c>
      <c r="O107" s="13"/>
      <c r="P107" s="8">
        <f>SUM(OSRRefP25x_0)</f>
        <v>770455.72</v>
      </c>
      <c r="Q107" s="8"/>
      <c r="R107" s="14">
        <f>IF(P$12=0,0,P107/P$12)</f>
        <v>0.16441738194810254</v>
      </c>
      <c r="S107" s="8"/>
      <c r="T107" s="8">
        <f>SUM(OSRRefT25x_0)</f>
        <v>652006</v>
      </c>
      <c r="U107" s="8"/>
      <c r="V107" s="14">
        <f>IF(T$12=0,0,T107/T$12)</f>
        <v>0.2334911293883484</v>
      </c>
      <c r="W107" s="8"/>
      <c r="X107" s="8">
        <f>+P107-T107</f>
        <v>118449.71999999997</v>
      </c>
      <c r="Y107" s="8"/>
      <c r="Z107" s="14">
        <f>IF(T107=0,0,X107/T107)</f>
        <v>0.18166967788639979</v>
      </c>
    </row>
    <row r="108" spans="1:26" s="70" customFormat="1" ht="15" hidden="1" customHeight="1" outlineLevel="1" x14ac:dyDescent="0.3">
      <c r="A108" s="48"/>
      <c r="B108" s="9" t="str">
        <f>CONCATENATE("          ","9150"," - ","MISC. INCOME")</f>
        <v xml:space="preserve">          9150 - MISC. INCOME</v>
      </c>
      <c r="C108" s="9"/>
      <c r="D108" s="3">
        <f>--78.19</f>
        <v>78.19</v>
      </c>
      <c r="E108" s="3"/>
      <c r="F108" s="26">
        <f>IF(D$12=0,0,D108/D$12)</f>
        <v>3.2013589254799876E-4</v>
      </c>
      <c r="G108" s="3"/>
      <c r="H108" s="3">
        <v>0</v>
      </c>
      <c r="I108" s="3"/>
      <c r="J108" s="26">
        <f>IF(H$12=0,0,H108/H$12)</f>
        <v>0</v>
      </c>
      <c r="K108" s="3"/>
      <c r="L108" s="3">
        <f>+D108-H108</f>
        <v>78.19</v>
      </c>
      <c r="M108" s="3"/>
      <c r="N108" s="26">
        <f>IF(H108=0,0,L108/H108)</f>
        <v>0</v>
      </c>
      <c r="O108" s="9"/>
      <c r="P108" s="3">
        <f>--110983.52</f>
        <v>110983.52</v>
      </c>
      <c r="Q108" s="3"/>
      <c r="R108" s="26">
        <f>IF(P$12=0,0,P108/P$12)</f>
        <v>2.3684190180046787E-2</v>
      </c>
      <c r="S108" s="3"/>
      <c r="T108" s="3">
        <v>77006</v>
      </c>
      <c r="U108" s="3"/>
      <c r="V108" s="26">
        <f>IF(T$12=0,0,T108/T$12)</f>
        <v>2.7576767559929136E-2</v>
      </c>
      <c r="W108" s="3"/>
      <c r="X108" s="3">
        <f>+P108-T108</f>
        <v>33977.520000000004</v>
      </c>
      <c r="Y108" s="3"/>
      <c r="Z108" s="26">
        <f>IF(T108=0,0,X108/T108)</f>
        <v>0.44123211178349742</v>
      </c>
    </row>
    <row r="109" spans="1:26" s="70" customFormat="1" ht="15" hidden="1" customHeight="1" outlineLevel="1" x14ac:dyDescent="0.3">
      <c r="A109" s="48"/>
      <c r="B109" s="9" t="str">
        <f>CONCATENATE("          ","9151"," - ","MISC. INCOME")</f>
        <v xml:space="preserve">          9151 - MISC. INCOME</v>
      </c>
      <c r="C109" s="9"/>
      <c r="D109" s="3">
        <f>0</f>
        <v>0</v>
      </c>
      <c r="E109" s="3"/>
      <c r="F109" s="26">
        <f>IF(D$12=0,0,D109/D$12)</f>
        <v>0</v>
      </c>
      <c r="G109" s="3"/>
      <c r="H109" s="3">
        <v>150000</v>
      </c>
      <c r="I109" s="3"/>
      <c r="J109" s="26">
        <f>IF(H$12=0,0,H109/H$12)</f>
        <v>0.77020240919313598</v>
      </c>
      <c r="K109" s="3"/>
      <c r="L109" s="3">
        <f>+D109-H109</f>
        <v>-150000</v>
      </c>
      <c r="M109" s="3"/>
      <c r="N109" s="26">
        <f>IF(H109=0,0,L109/H109)</f>
        <v>-1</v>
      </c>
      <c r="O109" s="9"/>
      <c r="P109" s="3">
        <f>0</f>
        <v>0</v>
      </c>
      <c r="Q109" s="3"/>
      <c r="R109" s="26">
        <f>IF(P$12=0,0,P109/P$12)</f>
        <v>0</v>
      </c>
      <c r="S109" s="3"/>
      <c r="T109" s="3">
        <v>400000</v>
      </c>
      <c r="U109" s="3"/>
      <c r="V109" s="26">
        <f>IF(T$12=0,0,T109/T$12)</f>
        <v>0.14324477344585687</v>
      </c>
      <c r="W109" s="3"/>
      <c r="X109" s="3">
        <f>+P109-T109</f>
        <v>-400000</v>
      </c>
      <c r="Y109" s="3"/>
      <c r="Z109" s="26">
        <f>IF(T109=0,0,X109/T109)</f>
        <v>-1</v>
      </c>
    </row>
    <row r="110" spans="1:26" s="70" customFormat="1" ht="15" hidden="1" customHeight="1" outlineLevel="1" x14ac:dyDescent="0.3">
      <c r="A110" s="48"/>
      <c r="B110" s="9" t="str">
        <f>CONCATENATE("          ","9160"," - ","MISC. INCOME")</f>
        <v xml:space="preserve">          9160 - MISC. INCOME</v>
      </c>
      <c r="C110" s="9"/>
      <c r="D110" s="3">
        <f>0</f>
        <v>0</v>
      </c>
      <c r="E110" s="3"/>
      <c r="F110" s="26">
        <f>IF(D$12=0,0,D110/D$12)</f>
        <v>0</v>
      </c>
      <c r="G110" s="3"/>
      <c r="H110" s="3">
        <v>58334</v>
      </c>
      <c r="I110" s="3"/>
      <c r="J110" s="26">
        <f>IF(H$12=0,0,H110/H$12)</f>
        <v>0.29952658225248263</v>
      </c>
      <c r="K110" s="3"/>
      <c r="L110" s="3">
        <f>+D110-H110</f>
        <v>-58334</v>
      </c>
      <c r="M110" s="3"/>
      <c r="N110" s="26">
        <f>IF(H110=0,0,L110/H110)</f>
        <v>-1</v>
      </c>
      <c r="O110" s="9"/>
      <c r="P110" s="3">
        <f>0</f>
        <v>0</v>
      </c>
      <c r="Q110" s="3"/>
      <c r="R110" s="26">
        <f>IF(P$12=0,0,P110/P$12)</f>
        <v>0</v>
      </c>
      <c r="S110" s="3"/>
      <c r="T110" s="3">
        <v>175000</v>
      </c>
      <c r="U110" s="3"/>
      <c r="V110" s="26">
        <f>IF(T$12=0,0,T110/T$12)</f>
        <v>6.2669588382562383E-2</v>
      </c>
      <c r="W110" s="3"/>
      <c r="X110" s="3">
        <f>+P110-T110</f>
        <v>-175000</v>
      </c>
      <c r="Y110" s="3"/>
      <c r="Z110" s="26">
        <f>IF(T110=0,0,X110/T110)</f>
        <v>-1</v>
      </c>
    </row>
    <row r="111" spans="1:26" s="70" customFormat="1" ht="15" hidden="1" customHeight="1" outlineLevel="1" x14ac:dyDescent="0.3">
      <c r="A111" s="48"/>
      <c r="B111" s="9" t="str">
        <f>CONCATENATE("          ","9163"," - ","MISC. INCOME")</f>
        <v xml:space="preserve">          9163 - MISC. INCOME</v>
      </c>
      <c r="C111" s="9"/>
      <c r="D111" s="3">
        <f>--18002.5</f>
        <v>18002.5</v>
      </c>
      <c r="E111" s="3"/>
      <c r="F111" s="26">
        <f>IF(D$12=0,0,D111/D$12)</f>
        <v>7.3708228745304361E-2</v>
      </c>
      <c r="G111" s="3"/>
      <c r="H111" s="3"/>
      <c r="I111" s="3"/>
      <c r="J111" s="26">
        <f>IF(H$12=0,0,H111/H$12)</f>
        <v>0</v>
      </c>
      <c r="K111" s="3"/>
      <c r="L111" s="3">
        <f>+D111-H111</f>
        <v>18002.5</v>
      </c>
      <c r="M111" s="3"/>
      <c r="N111" s="26">
        <f>IF(H111=0,0,L111/H111)</f>
        <v>0</v>
      </c>
      <c r="O111" s="9"/>
      <c r="P111" s="3">
        <f>--659472.2</f>
        <v>659472.19999999995</v>
      </c>
      <c r="Q111" s="3"/>
      <c r="R111" s="26">
        <f>IF(P$12=0,0,P111/P$12)</f>
        <v>0.14073319176805574</v>
      </c>
      <c r="S111" s="3"/>
      <c r="T111" s="3"/>
      <c r="U111" s="3"/>
      <c r="V111" s="26">
        <f>IF(T$12=0,0,T111/T$12)</f>
        <v>0</v>
      </c>
      <c r="W111" s="3"/>
      <c r="X111" s="3">
        <f>+P111-T111</f>
        <v>659472.19999999995</v>
      </c>
      <c r="Y111" s="3"/>
      <c r="Z111" s="26">
        <f>IF(T111=0,0,X111/T111)</f>
        <v>0</v>
      </c>
    </row>
    <row r="112" spans="1:26" ht="15" customHeight="1" x14ac:dyDescent="0.3">
      <c r="A112" s="12"/>
      <c r="B112" s="13"/>
      <c r="C112" s="13"/>
      <c r="D112" s="4"/>
      <c r="E112" s="4"/>
      <c r="F112" s="10"/>
      <c r="G112" s="4"/>
      <c r="H112" s="4"/>
      <c r="I112" s="4"/>
      <c r="J112" s="10"/>
      <c r="K112" s="4"/>
      <c r="L112" s="4"/>
      <c r="M112" s="4"/>
      <c r="N112" s="10"/>
      <c r="O112" s="13"/>
      <c r="P112" s="4"/>
      <c r="Q112" s="4"/>
      <c r="R112" s="10"/>
      <c r="S112" s="4"/>
      <c r="T112" s="4"/>
      <c r="U112" s="4"/>
      <c r="V112" s="10"/>
      <c r="W112" s="4"/>
      <c r="X112" s="4"/>
      <c r="Y112" s="4"/>
      <c r="Z112" s="10"/>
    </row>
    <row r="113" spans="1:26" s="63" customFormat="1" ht="15" customHeight="1" x14ac:dyDescent="0.3">
      <c r="A113" s="13"/>
      <c r="B113" s="27" t="s">
        <v>292</v>
      </c>
      <c r="C113" s="27"/>
      <c r="D113" s="23">
        <f>+D40-D42+D107</f>
        <v>-280044.4200000001</v>
      </c>
      <c r="E113" s="15"/>
      <c r="F113" s="22">
        <f>IF(D$12=0,0,D113/D$12)</f>
        <v>-1.1465950933595943</v>
      </c>
      <c r="G113" s="15"/>
      <c r="H113" s="23">
        <f>+H40-H42+H107</f>
        <v>215890.00836207691</v>
      </c>
      <c r="I113" s="15"/>
      <c r="J113" s="22">
        <f>IF(H$12=0,0,H113/H$12)</f>
        <v>1.1085266970746528</v>
      </c>
      <c r="K113" s="17"/>
      <c r="L113" s="23">
        <f>+D113-H113</f>
        <v>-495934.42836207699</v>
      </c>
      <c r="M113" s="17"/>
      <c r="N113" s="22">
        <f>IF(H113=0,0,L113/H113)</f>
        <v>-2.2971624862338578</v>
      </c>
      <c r="O113" s="28"/>
      <c r="P113" s="23">
        <f>+P40-P42+P107</f>
        <v>1898419.2299999984</v>
      </c>
      <c r="Q113" s="15"/>
      <c r="R113" s="22">
        <f>IF(P$12=0,0,P113/P$12)</f>
        <v>0.40512791525064212</v>
      </c>
      <c r="S113" s="15"/>
      <c r="T113" s="23">
        <f>+T40-T42+T107</f>
        <v>965755.95251099998</v>
      </c>
      <c r="U113" s="15"/>
      <c r="V113" s="22">
        <f>IF(T$12=0,0,T113/T$12)</f>
        <v>0.34584873155356477</v>
      </c>
      <c r="W113" s="17"/>
      <c r="X113" s="23">
        <f>+P113-T113</f>
        <v>932663.27748899837</v>
      </c>
      <c r="Y113" s="17"/>
      <c r="Z113" s="22">
        <f>IF(T113=0,0,X113/T113)</f>
        <v>0.96573391555500177</v>
      </c>
    </row>
    <row r="114" spans="1:26" ht="15" customHeight="1" x14ac:dyDescent="0.3">
      <c r="A114" s="12"/>
      <c r="B114" s="13"/>
      <c r="C114" s="12"/>
      <c r="D114" s="4"/>
      <c r="E114" s="4"/>
      <c r="F114" s="10"/>
      <c r="G114" s="4"/>
      <c r="H114" s="4"/>
      <c r="I114" s="4"/>
      <c r="J114" s="10"/>
      <c r="K114" s="4"/>
      <c r="L114" s="4"/>
      <c r="M114" s="4"/>
      <c r="N114" s="10"/>
      <c r="P114" s="4"/>
      <c r="Q114" s="4"/>
      <c r="R114" s="10"/>
      <c r="S114" s="4"/>
      <c r="T114" s="4"/>
      <c r="U114" s="4"/>
      <c r="V114" s="10"/>
      <c r="W114" s="4"/>
      <c r="X114" s="4"/>
      <c r="Y114" s="4"/>
      <c r="Z114" s="10"/>
    </row>
    <row r="115" spans="1:26" s="63" customFormat="1" ht="15" customHeight="1" x14ac:dyDescent="0.3">
      <c r="A115" s="49"/>
      <c r="B115" s="13" t="s">
        <v>293</v>
      </c>
      <c r="C115" s="13"/>
      <c r="D115" s="8">
        <v>-1039603.69</v>
      </c>
      <c r="E115" s="8"/>
      <c r="F115" s="14">
        <f>IF(D$12=0,0,D115/D$12)</f>
        <v>-4.2564836321056791</v>
      </c>
      <c r="G115" s="8"/>
      <c r="H115" s="8">
        <v>-5369</v>
      </c>
      <c r="I115" s="8"/>
      <c r="J115" s="14">
        <f>IF(H$12=0,0,H115/H$12)</f>
        <v>-2.7568111566386312E-2</v>
      </c>
      <c r="K115" s="8"/>
      <c r="L115" s="8">
        <f>+D115-H115</f>
        <v>-1034234.69</v>
      </c>
      <c r="M115" s="8"/>
      <c r="N115" s="14">
        <f>IF(H115=0,0,L115/H115)</f>
        <v>192.63078599366733</v>
      </c>
      <c r="O115" s="13"/>
      <c r="P115" s="8">
        <v>-540240.07999999996</v>
      </c>
      <c r="Q115" s="8"/>
      <c r="R115" s="14">
        <f>IF(P$12=0,0,P115/P$12)</f>
        <v>-0.11528872753003049</v>
      </c>
      <c r="S115" s="8"/>
      <c r="T115" s="8">
        <v>316644</v>
      </c>
      <c r="U115" s="8"/>
      <c r="V115" s="14">
        <f>IF(T$12=0,0,T115/T$12)</f>
        <v>0.11339399510747476</v>
      </c>
      <c r="W115" s="8"/>
      <c r="X115" s="8">
        <f>+P115-T115</f>
        <v>-856884.08</v>
      </c>
      <c r="Y115" s="8"/>
      <c r="Z115" s="14">
        <f>IF(T115=0,0,X115/T115)</f>
        <v>-2.7061434292138804</v>
      </c>
    </row>
    <row r="116" spans="1:26" ht="15" customHeight="1" x14ac:dyDescent="0.3">
      <c r="A116" s="12"/>
      <c r="B116" s="13"/>
      <c r="C116" s="13"/>
      <c r="D116" s="4"/>
      <c r="E116" s="4"/>
      <c r="F116" s="10"/>
      <c r="G116" s="4"/>
      <c r="H116" s="4"/>
      <c r="I116" s="4"/>
      <c r="J116" s="10"/>
      <c r="K116" s="4"/>
      <c r="L116" s="4"/>
      <c r="M116" s="4"/>
      <c r="N116" s="10"/>
      <c r="O116" s="13"/>
      <c r="P116" s="4"/>
      <c r="Q116" s="4"/>
      <c r="R116" s="10"/>
      <c r="S116" s="4"/>
      <c r="T116" s="4"/>
      <c r="U116" s="4"/>
      <c r="V116" s="10"/>
      <c r="W116" s="4"/>
      <c r="X116" s="4"/>
      <c r="Y116" s="4"/>
      <c r="Z116" s="10"/>
    </row>
    <row r="117" spans="1:26" s="63" customFormat="1" ht="15" customHeight="1" x14ac:dyDescent="0.3">
      <c r="A117" s="13"/>
      <c r="B117" s="27" t="s">
        <v>294</v>
      </c>
      <c r="C117" s="27"/>
      <c r="D117" s="30">
        <f>+D113-D115</f>
        <v>759559.26999999979</v>
      </c>
      <c r="E117" s="15"/>
      <c r="F117" s="35">
        <f>IF(D$12=0,0,D117/D$12)</f>
        <v>3.1098885387460844</v>
      </c>
      <c r="G117" s="15"/>
      <c r="H117" s="30">
        <f>+H113-H115</f>
        <v>221259.00836207691</v>
      </c>
      <c r="I117" s="15"/>
      <c r="J117" s="35">
        <f>IF(H$12=0,0,H117/H$12)</f>
        <v>1.136094808641039</v>
      </c>
      <c r="K117" s="17"/>
      <c r="L117" s="30">
        <f>D117-H117</f>
        <v>538300.26163792284</v>
      </c>
      <c r="M117" s="17"/>
      <c r="N117" s="35">
        <f>IF(H117=0,0,L117/H117)</f>
        <v>2.4328964755958191</v>
      </c>
      <c r="O117" s="28"/>
      <c r="P117" s="30">
        <f>+P113-P115</f>
        <v>2438659.3099999982</v>
      </c>
      <c r="Q117" s="15"/>
      <c r="R117" s="35">
        <f>IF(P$12=0,0,P117/P$12)</f>
        <v>0.52041664278067257</v>
      </c>
      <c r="S117" s="15"/>
      <c r="T117" s="30">
        <f>+T113-T115</f>
        <v>649111.95251099998</v>
      </c>
      <c r="U117" s="15"/>
      <c r="V117" s="35">
        <f>IF(T$12=0,0,T117/T$12)</f>
        <v>0.23245473644608999</v>
      </c>
      <c r="W117" s="17"/>
      <c r="X117" s="30">
        <f>P117-T117</f>
        <v>1789547.3574889982</v>
      </c>
      <c r="Y117" s="17"/>
      <c r="Z117" s="35">
        <f>IF(T117=0,0,X117/T117)</f>
        <v>2.756916354053228</v>
      </c>
    </row>
    <row r="118" spans="1:26" ht="15" customHeight="1" x14ac:dyDescent="0.3">
      <c r="A118" s="12"/>
      <c r="B118" s="12"/>
      <c r="C118" s="12"/>
      <c r="D118" s="4"/>
      <c r="E118" s="4"/>
      <c r="F118" s="10"/>
      <c r="G118" s="4"/>
      <c r="H118" s="4"/>
      <c r="I118" s="4"/>
      <c r="J118" s="10"/>
      <c r="K118" s="4"/>
      <c r="L118" s="4"/>
      <c r="M118" s="4"/>
      <c r="N118" s="10"/>
      <c r="P118" s="4"/>
      <c r="Q118" s="4"/>
      <c r="R118" s="10"/>
      <c r="S118" s="4"/>
      <c r="T118" s="4"/>
      <c r="U118" s="4"/>
      <c r="V118" s="10"/>
      <c r="W118" s="4"/>
      <c r="X118" s="4"/>
      <c r="Y118" s="4"/>
      <c r="Z118" s="10"/>
    </row>
    <row r="119" spans="1:26" ht="15" customHeight="1" x14ac:dyDescent="0.3">
      <c r="A119" s="12"/>
      <c r="B119" s="12"/>
      <c r="C119" s="12"/>
      <c r="D119" s="4"/>
      <c r="E119" s="4"/>
      <c r="F119" s="10"/>
      <c r="G119" s="4"/>
      <c r="H119" s="4"/>
      <c r="I119" s="4"/>
      <c r="J119" s="10"/>
      <c r="K119" s="4"/>
      <c r="L119" s="4"/>
      <c r="M119" s="4"/>
      <c r="N119" s="10"/>
      <c r="P119" s="4"/>
      <c r="Q119" s="4"/>
      <c r="R119" s="10"/>
      <c r="S119" s="4"/>
      <c r="T119" s="4"/>
      <c r="U119" s="4"/>
      <c r="V119" s="10"/>
      <c r="W119" s="4"/>
      <c r="X119" s="4"/>
      <c r="Y119" s="4"/>
      <c r="Z119" s="10"/>
    </row>
    <row r="120" spans="1:26" s="63" customFormat="1" ht="15" customHeight="1" x14ac:dyDescent="0.3">
      <c r="A120" s="13"/>
      <c r="B120" s="27" t="s">
        <v>297</v>
      </c>
      <c r="C120" s="27"/>
      <c r="D120" s="33">
        <f>SUM(D117:D119)</f>
        <v>759559.26999999979</v>
      </c>
      <c r="E120" s="15"/>
      <c r="F120" s="31">
        <f>IF(D$12=0,0,D120/D$12)</f>
        <v>3.1098885387460844</v>
      </c>
      <c r="G120" s="15"/>
      <c r="H120" s="33">
        <f>SUM(H117:H119)</f>
        <v>221259.00836207691</v>
      </c>
      <c r="I120" s="15"/>
      <c r="J120" s="31">
        <f>IF(H$12=0,0,H120/H$12)</f>
        <v>1.136094808641039</v>
      </c>
      <c r="K120" s="17"/>
      <c r="L120" s="33">
        <f>+D120-H120</f>
        <v>538300.26163792284</v>
      </c>
      <c r="M120" s="17"/>
      <c r="N120" s="31">
        <f>IF(H120=0,0,L120/H120)</f>
        <v>2.4328964755958191</v>
      </c>
      <c r="O120" s="28"/>
      <c r="P120" s="33">
        <f>SUM(P117:P119)</f>
        <v>2438659.3099999982</v>
      </c>
      <c r="Q120" s="15"/>
      <c r="R120" s="31">
        <f>IF(P$12=0,0,P120/P$12)</f>
        <v>0.52041664278067257</v>
      </c>
      <c r="S120" s="15"/>
      <c r="T120" s="33">
        <f>SUM(T117:T119)</f>
        <v>649111.95251099998</v>
      </c>
      <c r="U120" s="15"/>
      <c r="V120" s="31">
        <f>IF(T$12=0,0,T120/T$12)</f>
        <v>0.23245473644608999</v>
      </c>
      <c r="W120" s="17"/>
      <c r="X120" s="33">
        <f>+P120-T120</f>
        <v>1789547.3574889982</v>
      </c>
      <c r="Y120" s="17"/>
      <c r="Z120" s="31">
        <f>IF(T120=0,0,X120/T120)</f>
        <v>2.756916354053228</v>
      </c>
    </row>
    <row r="121" spans="1:26" ht="15" customHeight="1" x14ac:dyDescent="0.3">
      <c r="A121" s="12"/>
      <c r="C121" s="12"/>
      <c r="D121" s="19"/>
      <c r="E121" s="19"/>
      <c r="G121" s="19"/>
      <c r="H121" s="19"/>
      <c r="I121" s="19"/>
      <c r="J121" s="41"/>
      <c r="K121" s="19"/>
      <c r="L121" s="19"/>
      <c r="M121" s="19"/>
      <c r="P121" s="19"/>
      <c r="Q121" s="19"/>
      <c r="R121" s="41"/>
      <c r="S121" s="19"/>
      <c r="T121" s="19"/>
      <c r="U121" s="19"/>
      <c r="V121" s="41"/>
      <c r="W121" s="19"/>
      <c r="X121" s="19"/>
    </row>
    <row r="122" spans="1:26" ht="15" customHeight="1" x14ac:dyDescent="0.3">
      <c r="A122" s="12"/>
      <c r="B122" s="50">
        <v>44767.799547766204</v>
      </c>
      <c r="D122" s="19"/>
      <c r="E122" s="19"/>
      <c r="G122" s="19"/>
      <c r="H122" s="19"/>
      <c r="I122" s="19"/>
      <c r="J122" s="41"/>
      <c r="K122" s="19"/>
      <c r="L122" s="19"/>
      <c r="M122" s="19"/>
      <c r="P122" s="19"/>
      <c r="Q122" s="19"/>
      <c r="R122" s="41"/>
      <c r="S122" s="19"/>
      <c r="T122" s="19"/>
      <c r="U122" s="19"/>
      <c r="V122" s="41"/>
      <c r="W122" s="19"/>
      <c r="X122" s="19"/>
    </row>
    <row r="123" spans="1:26" ht="15" customHeight="1" x14ac:dyDescent="0.3">
      <c r="A123" s="12"/>
      <c r="B123" s="57" t="s">
        <v>298</v>
      </c>
      <c r="D123" s="19"/>
      <c r="E123" s="19"/>
      <c r="G123" s="19"/>
      <c r="H123" s="19"/>
      <c r="I123" s="19"/>
      <c r="J123" s="41"/>
      <c r="K123" s="19"/>
      <c r="L123" s="19"/>
      <c r="M123" s="19"/>
      <c r="P123" s="19"/>
      <c r="Q123" s="19"/>
      <c r="R123" s="41"/>
      <c r="S123" s="19"/>
      <c r="T123" s="19"/>
      <c r="U123" s="19"/>
      <c r="V123" s="41"/>
      <c r="W123" s="19"/>
      <c r="X123" s="19"/>
    </row>
    <row r="124" spans="1:26" ht="15" customHeight="1" x14ac:dyDescent="0.3">
      <c r="A124" s="12"/>
      <c r="B124" s="51"/>
      <c r="D124" s="19"/>
      <c r="E124" s="19"/>
      <c r="G124" s="19"/>
      <c r="H124" s="19"/>
      <c r="I124" s="19"/>
      <c r="J124" s="41"/>
      <c r="K124" s="19"/>
      <c r="L124" s="19"/>
      <c r="M124" s="19"/>
      <c r="P124" s="19"/>
      <c r="Q124" s="19"/>
      <c r="R124" s="41"/>
      <c r="S124" s="19"/>
      <c r="T124" s="19"/>
      <c r="U124" s="19"/>
      <c r="V124" s="41"/>
      <c r="W124" s="19"/>
      <c r="X124" s="19"/>
    </row>
    <row r="125" spans="1:26" ht="15" customHeight="1" x14ac:dyDescent="0.3">
      <c r="D125" s="19"/>
      <c r="E125" s="19"/>
      <c r="G125" s="19"/>
      <c r="H125" s="19"/>
      <c r="I125" s="19"/>
      <c r="J125" s="41"/>
      <c r="K125" s="19"/>
      <c r="L125" s="19"/>
      <c r="M125" s="19"/>
      <c r="P125" s="19"/>
      <c r="Q125" s="19"/>
      <c r="R125" s="41"/>
      <c r="S125" s="19"/>
      <c r="T125" s="19"/>
      <c r="U125" s="19"/>
      <c r="V125" s="41"/>
      <c r="W125" s="19"/>
      <c r="X125" s="19"/>
    </row>
  </sheetData>
  <pageMargins left="0.25" right="0.25" top="0.75" bottom="0.75" header="0.3" footer="0.3"/>
  <pageSetup scale="55" orientation="landscape" r:id="rId1"/>
  <headerFooter>
    <oddHeader>&amp;RPre-Audit</oddHeader>
    <oddFooter>&amp;L&amp;C&amp;R</oddFooter>
    <evenHeader>&amp;L&amp;C&amp;R</evenHeader>
    <evenFooter>&amp;L&amp;C&amp;R</even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073EE1-F63E-0082-6BB6-D867FD5D327F}">
  <sheetPr>
    <tabColor rgb="FF92D050"/>
    <outlinePr summaryBelow="0" summaryRight="0"/>
  </sheetPr>
  <dimension ref="A2:Z102"/>
  <sheetViews>
    <sheetView showGridLines="0" defaultGridColor="0" colorId="8" zoomScale="80" workbookViewId="0">
      <pane xSplit="3" ySplit="10" topLeftCell="D11" activePane="bottomRight" state="frozen"/>
      <selection activeCell="D78" sqref="D78"/>
      <selection pane="topRight" activeCell="D78" sqref="D78"/>
      <selection pane="bottomLeft" activeCell="D78" sqref="D78"/>
      <selection pane="bottomRight" activeCell="D78" sqref="D78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3" t="s">
        <v>276</v>
      </c>
    </row>
    <row r="3" spans="1:26" ht="15" customHeight="1" x14ac:dyDescent="0.3">
      <c r="D3" s="53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3" t="str">
        <f>CONCATENATE("Period ",RIGHT(202212,2),", ",2022)</f>
        <v>Period 12,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5"/>
      <c r="D5" s="60">
        <v>44742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5"/>
      <c r="B6" s="47"/>
      <c r="C6" s="47"/>
      <c r="D6" s="25" t="str">
        <f>CONCATENATE("Department ","326"," - ","2nd Street Store")</f>
        <v>Department 326 - 2nd Street Store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4"/>
    </row>
    <row r="8" spans="1:26" ht="15" customHeight="1" x14ac:dyDescent="0.3">
      <c r="B8" s="54"/>
    </row>
    <row r="9" spans="1:26" ht="15" customHeight="1" x14ac:dyDescent="0.3">
      <c r="B9" s="12"/>
      <c r="C9" s="12"/>
      <c r="D9" s="16" t="s">
        <v>279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280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ht="15" customHeight="1" x14ac:dyDescent="0.3">
      <c r="A10" s="13"/>
      <c r="B10" s="52"/>
      <c r="C10" s="13"/>
      <c r="D10" s="40" t="s">
        <v>281</v>
      </c>
      <c r="E10" s="32"/>
      <c r="F10" s="39" t="s">
        <v>282</v>
      </c>
      <c r="G10" s="32"/>
      <c r="H10" s="45" t="s">
        <v>283</v>
      </c>
      <c r="I10" s="32"/>
      <c r="J10" s="42" t="s">
        <v>284</v>
      </c>
      <c r="K10" s="13"/>
      <c r="L10" s="40" t="s">
        <v>285</v>
      </c>
      <c r="M10" s="13"/>
      <c r="N10" s="39" t="s">
        <v>286</v>
      </c>
      <c r="O10" s="13"/>
      <c r="P10" s="55" t="s">
        <v>281</v>
      </c>
      <c r="Q10" s="32"/>
      <c r="R10" s="39" t="s">
        <v>282</v>
      </c>
      <c r="S10" s="32"/>
      <c r="T10" s="45" t="s">
        <v>283</v>
      </c>
      <c r="U10" s="32"/>
      <c r="V10" s="42" t="s">
        <v>284</v>
      </c>
      <c r="W10" s="13"/>
      <c r="X10" s="40" t="s">
        <v>285</v>
      </c>
      <c r="Y10" s="13"/>
      <c r="Z10" s="39" t="s">
        <v>286</v>
      </c>
    </row>
    <row r="11" spans="1:26" ht="16.5" customHeight="1" x14ac:dyDescent="0.3">
      <c r="A11" s="12"/>
      <c r="B11" s="58"/>
      <c r="C11" s="12"/>
      <c r="D11" s="12"/>
      <c r="E11" s="12"/>
      <c r="F11" s="10"/>
      <c r="G11" s="12"/>
      <c r="H11" s="12"/>
      <c r="I11" s="12"/>
      <c r="J11" s="43"/>
      <c r="K11" s="12"/>
      <c r="L11" s="12"/>
      <c r="M11" s="12"/>
      <c r="N11" s="10"/>
      <c r="P11" s="12"/>
      <c r="Q11" s="12"/>
      <c r="R11" s="10"/>
      <c r="S11" s="12"/>
      <c r="T11" s="12"/>
      <c r="U11" s="12"/>
      <c r="V11" s="43"/>
      <c r="W11" s="12"/>
      <c r="X11" s="12"/>
      <c r="Y11" s="12"/>
      <c r="Z11" s="10"/>
    </row>
    <row r="12" spans="1:26" s="63" customFormat="1" ht="15" customHeight="1" collapsed="1" x14ac:dyDescent="0.3">
      <c r="A12" s="13"/>
      <c r="B12" s="28" t="s">
        <v>287</v>
      </c>
      <c r="C12" s="13"/>
      <c r="D12" s="8">
        <f>SUM(OSRRefD13x_0)</f>
        <v>38213.020000000004</v>
      </c>
      <c r="E12" s="8"/>
      <c r="F12" s="14"/>
      <c r="G12" s="8"/>
      <c r="H12" s="8">
        <f>SUM(OSRRefH13x_0)</f>
        <v>60655</v>
      </c>
      <c r="I12" s="8"/>
      <c r="J12" s="14"/>
      <c r="K12" s="8"/>
      <c r="L12" s="8">
        <f>+D12-H12</f>
        <v>-22441.979999999996</v>
      </c>
      <c r="M12" s="8"/>
      <c r="N12" s="14">
        <f>IF(H12=0,0,L12/H12)</f>
        <v>-0.36999389992580983</v>
      </c>
      <c r="O12" s="13"/>
      <c r="P12" s="8">
        <f>SUM(OSRRefP13x_0)</f>
        <v>416303.25999999995</v>
      </c>
      <c r="Q12" s="8"/>
      <c r="R12" s="14"/>
      <c r="S12" s="8"/>
      <c r="T12" s="8">
        <f>SUM(OSRRefT13x_0)</f>
        <v>426706</v>
      </c>
      <c r="U12" s="8"/>
      <c r="V12" s="14"/>
      <c r="W12" s="8"/>
      <c r="X12" s="8">
        <f>+P12-T12</f>
        <v>-10402.740000000049</v>
      </c>
      <c r="Y12" s="8"/>
      <c r="Z12" s="14">
        <f>IF(T12=0,0,X12/T12)</f>
        <v>-2.4379174419858284E-2</v>
      </c>
    </row>
    <row r="13" spans="1:26" s="70" customFormat="1" ht="15" hidden="1" customHeight="1" outlineLevel="1" x14ac:dyDescent="0.3">
      <c r="A13" s="48"/>
      <c r="B13" s="9" t="str">
        <f>CONCATENATE("          ","4000"," - ","TAXABLE SALES")</f>
        <v xml:space="preserve">          4000 - TAXABLE SALES</v>
      </c>
      <c r="C13" s="9"/>
      <c r="D13" s="3">
        <f>--41146.66</f>
        <v>41146.660000000003</v>
      </c>
      <c r="E13" s="3"/>
      <c r="F13" s="26"/>
      <c r="G13" s="3"/>
      <c r="H13" s="3">
        <v>60655</v>
      </c>
      <c r="I13" s="3"/>
      <c r="J13" s="26"/>
      <c r="K13" s="3"/>
      <c r="L13" s="3">
        <f>+D13-H13</f>
        <v>-19508.339999999997</v>
      </c>
      <c r="M13" s="3"/>
      <c r="N13" s="26">
        <f>IF(H13=0,0,L13/H13)</f>
        <v>-0.32162789547440435</v>
      </c>
      <c r="O13" s="9"/>
      <c r="P13" s="3">
        <f>--443337.05</f>
        <v>443337.05</v>
      </c>
      <c r="Q13" s="3"/>
      <c r="R13" s="26"/>
      <c r="S13" s="3"/>
      <c r="T13" s="3">
        <v>426706</v>
      </c>
      <c r="U13" s="3"/>
      <c r="V13" s="26"/>
      <c r="W13" s="3"/>
      <c r="X13" s="3">
        <f>+P13-T13</f>
        <v>16631.049999999988</v>
      </c>
      <c r="Y13" s="3"/>
      <c r="Z13" s="26">
        <f>IF(T13=0,0,X13/T13)</f>
        <v>3.8975430390010897E-2</v>
      </c>
    </row>
    <row r="14" spans="1:26" s="70" customFormat="1" ht="15" hidden="1" customHeight="1" outlineLevel="1" x14ac:dyDescent="0.3">
      <c r="A14" s="48"/>
      <c r="B14" s="9" t="str">
        <f>CONCATENATE("          ","4100"," - ","NON-TAXABLE SALES")</f>
        <v xml:space="preserve">          4100 - NON-TAXABLE SALES</v>
      </c>
      <c r="C14" s="9"/>
      <c r="D14" s="3">
        <f>--17.08</f>
        <v>17.079999999999998</v>
      </c>
      <c r="E14" s="3"/>
      <c r="F14" s="26"/>
      <c r="G14" s="3"/>
      <c r="H14" s="3"/>
      <c r="I14" s="3"/>
      <c r="J14" s="26"/>
      <c r="K14" s="3"/>
      <c r="L14" s="3">
        <f>+D14-H14</f>
        <v>17.079999999999998</v>
      </c>
      <c r="M14" s="3"/>
      <c r="N14" s="26">
        <f>IF(H14=0,0,L14/H14)</f>
        <v>0</v>
      </c>
      <c r="O14" s="9"/>
      <c r="P14" s="3">
        <f>--287.49</f>
        <v>287.49</v>
      </c>
      <c r="Q14" s="3"/>
      <c r="R14" s="26"/>
      <c r="S14" s="3"/>
      <c r="T14" s="3"/>
      <c r="U14" s="3"/>
      <c r="V14" s="26"/>
      <c r="W14" s="3"/>
      <c r="X14" s="3">
        <f>+P14-T14</f>
        <v>287.49</v>
      </c>
      <c r="Y14" s="3"/>
      <c r="Z14" s="26">
        <f>IF(T14=0,0,X14/T14)</f>
        <v>0</v>
      </c>
    </row>
    <row r="15" spans="1:26" s="70" customFormat="1" ht="15" hidden="1" customHeight="1" outlineLevel="1" x14ac:dyDescent="0.3">
      <c r="A15" s="48"/>
      <c r="B15" s="9" t="str">
        <f>CONCATENATE("          ","4200"," - ","TAXABLE RETURNS")</f>
        <v xml:space="preserve">          4200 - TAXABLE RETURNS</v>
      </c>
      <c r="C15" s="9"/>
      <c r="D15" s="3">
        <f>-1939.01</f>
        <v>-1939.01</v>
      </c>
      <c r="E15" s="3"/>
      <c r="F15" s="26"/>
      <c r="G15" s="3"/>
      <c r="H15" s="3"/>
      <c r="I15" s="3"/>
      <c r="J15" s="26"/>
      <c r="K15" s="3"/>
      <c r="L15" s="3">
        <f>+D15-H15</f>
        <v>-1939.01</v>
      </c>
      <c r="M15" s="3"/>
      <c r="N15" s="26">
        <f>IF(H15=0,0,L15/H15)</f>
        <v>0</v>
      </c>
      <c r="O15" s="9"/>
      <c r="P15" s="3">
        <f>-18348.97</f>
        <v>-18348.97</v>
      </c>
      <c r="Q15" s="3"/>
      <c r="R15" s="26"/>
      <c r="S15" s="3"/>
      <c r="T15" s="3"/>
      <c r="U15" s="3"/>
      <c r="V15" s="26"/>
      <c r="W15" s="3"/>
      <c r="X15" s="3">
        <f>+P15-T15</f>
        <v>-18348.97</v>
      </c>
      <c r="Y15" s="3"/>
      <c r="Z15" s="26">
        <f>IF(T15=0,0,X15/T15)</f>
        <v>0</v>
      </c>
    </row>
    <row r="16" spans="1:26" s="70" customFormat="1" ht="15" hidden="1" customHeight="1" outlineLevel="1" x14ac:dyDescent="0.3">
      <c r="A16" s="48"/>
      <c r="B16" s="9" t="str">
        <f>CONCATENATE("          ","4500"," - ","SALES DISCOUNT")</f>
        <v xml:space="preserve">          4500 - SALES DISCOUNT</v>
      </c>
      <c r="C16" s="9"/>
      <c r="D16" s="3">
        <f>-1011.71</f>
        <v>-1011.71</v>
      </c>
      <c r="E16" s="3"/>
      <c r="F16" s="26"/>
      <c r="G16" s="3"/>
      <c r="H16" s="3"/>
      <c r="I16" s="3"/>
      <c r="J16" s="26"/>
      <c r="K16" s="3"/>
      <c r="L16" s="3">
        <f>+D16-H16</f>
        <v>-1011.71</v>
      </c>
      <c r="M16" s="3"/>
      <c r="N16" s="26">
        <f>IF(H16=0,0,L16/H16)</f>
        <v>0</v>
      </c>
      <c r="O16" s="9"/>
      <c r="P16" s="3">
        <f>-8972.31</f>
        <v>-8972.31</v>
      </c>
      <c r="Q16" s="3"/>
      <c r="R16" s="26"/>
      <c r="S16" s="3"/>
      <c r="T16" s="3"/>
      <c r="U16" s="3"/>
      <c r="V16" s="26"/>
      <c r="W16" s="3"/>
      <c r="X16" s="3">
        <f>+P16-T16</f>
        <v>-8972.31</v>
      </c>
      <c r="Y16" s="3"/>
      <c r="Z16" s="26">
        <f>IF(T16=0,0,X16/T16)</f>
        <v>0</v>
      </c>
    </row>
    <row r="17" spans="1:26" ht="15" customHeight="1" x14ac:dyDescent="0.3">
      <c r="A17" s="12"/>
      <c r="B17" s="13"/>
      <c r="C17" s="12"/>
      <c r="D17" s="4"/>
      <c r="E17" s="4"/>
      <c r="F17" s="10"/>
      <c r="G17" s="4"/>
      <c r="H17" s="4"/>
      <c r="I17" s="4"/>
      <c r="J17" s="10"/>
      <c r="K17" s="4"/>
      <c r="L17" s="4"/>
      <c r="M17" s="4"/>
      <c r="N17" s="10"/>
      <c r="P17" s="4"/>
      <c r="Q17" s="4"/>
      <c r="R17" s="10"/>
      <c r="S17" s="4"/>
      <c r="T17" s="4"/>
      <c r="U17" s="4"/>
      <c r="V17" s="10"/>
      <c r="W17" s="4"/>
      <c r="X17" s="4"/>
      <c r="Y17" s="4"/>
      <c r="Z17" s="10"/>
    </row>
    <row r="18" spans="1:26" s="63" customFormat="1" ht="15" customHeight="1" collapsed="1" x14ac:dyDescent="0.3">
      <c r="A18" s="13"/>
      <c r="B18" s="28" t="s">
        <v>288</v>
      </c>
      <c r="C18" s="13"/>
      <c r="D18" s="8">
        <f>SUM(OSRRefD16x_0)</f>
        <v>-172345.34000000003</v>
      </c>
      <c r="E18" s="8"/>
      <c r="F18" s="14">
        <f>IF(D$12=0,0,D18/D$12)</f>
        <v>-4.5101208959668719</v>
      </c>
      <c r="G18" s="8"/>
      <c r="H18" s="8">
        <f>SUM(OSRRefH16x_0)</f>
        <v>25709</v>
      </c>
      <c r="I18" s="8"/>
      <c r="J18" s="14">
        <f>IF(H$12=0,0,H18/H$12)</f>
        <v>0.42385623608935785</v>
      </c>
      <c r="K18" s="8"/>
      <c r="L18" s="8">
        <f>+D18-H18</f>
        <v>-198054.34000000003</v>
      </c>
      <c r="M18" s="8"/>
      <c r="N18" s="14">
        <f>IF(H18=0,0,L18/H18)</f>
        <v>-7.7036967598895343</v>
      </c>
      <c r="O18" s="13"/>
      <c r="P18" s="8">
        <f>SUM(OSRRefP16x_0)</f>
        <v>599.84999999998604</v>
      </c>
      <c r="Q18" s="8"/>
      <c r="R18" s="14">
        <f>IF(P$12=0,0,P18/P$12)</f>
        <v>1.4408967155337339E-3</v>
      </c>
      <c r="S18" s="8"/>
      <c r="T18" s="8">
        <f>SUM(OSRRefT16x_0)</f>
        <v>190434</v>
      </c>
      <c r="U18" s="8"/>
      <c r="V18" s="14">
        <f>IF(T$12=0,0,T18/T$12)</f>
        <v>0.4462885452747325</v>
      </c>
      <c r="W18" s="8"/>
      <c r="X18" s="8">
        <f>+P18-T18</f>
        <v>-189834.15000000002</v>
      </c>
      <c r="Y18" s="8"/>
      <c r="Z18" s="14">
        <f>IF(T18=0,0,X18/T18)</f>
        <v>-0.99685008979488965</v>
      </c>
    </row>
    <row r="19" spans="1:26" s="70" customFormat="1" ht="15" hidden="1" customHeight="1" outlineLevel="1" x14ac:dyDescent="0.3">
      <c r="A19" s="48"/>
      <c r="B19" s="9" t="str">
        <f>CONCATENATE("          ","5000"," - ","PURCHASES @ COST")</f>
        <v xml:space="preserve">          5000 - PURCHASES @ COST</v>
      </c>
      <c r="C19" s="9"/>
      <c r="D19" s="3">
        <v>-190978.89</v>
      </c>
      <c r="E19" s="3"/>
      <c r="F19" s="26">
        <f>IF(D$12=0,0,D19/D$12)</f>
        <v>-4.9977439626598468</v>
      </c>
      <c r="G19" s="3"/>
      <c r="H19" s="3">
        <v>25709</v>
      </c>
      <c r="I19" s="3"/>
      <c r="J19" s="26">
        <f>IF(H$12=0,0,H19/H$12)</f>
        <v>0.42385623608935785</v>
      </c>
      <c r="K19" s="3"/>
      <c r="L19" s="3">
        <f>+D19-H19</f>
        <v>-216687.89</v>
      </c>
      <c r="M19" s="3"/>
      <c r="N19" s="26">
        <f>IF(H19=0,0,L19/H19)</f>
        <v>-8.4284837994476653</v>
      </c>
      <c r="O19" s="9"/>
      <c r="P19" s="3">
        <v>-185324.09</v>
      </c>
      <c r="Q19" s="3"/>
      <c r="R19" s="26">
        <f>IF(P$12=0,0,P19/P$12)</f>
        <v>-0.44516607917026646</v>
      </c>
      <c r="S19" s="3"/>
      <c r="T19" s="3">
        <v>190434</v>
      </c>
      <c r="U19" s="3"/>
      <c r="V19" s="26">
        <f>IF(T$12=0,0,T19/T$12)</f>
        <v>0.4462885452747325</v>
      </c>
      <c r="W19" s="3"/>
      <c r="X19" s="3">
        <f>+P19-T19</f>
        <v>-375758.08999999997</v>
      </c>
      <c r="Y19" s="3"/>
      <c r="Z19" s="26">
        <f>IF(T19=0,0,X19/T19)</f>
        <v>-1.9731670289969228</v>
      </c>
    </row>
    <row r="20" spans="1:26" s="70" customFormat="1" ht="15" hidden="1" customHeight="1" outlineLevel="1" x14ac:dyDescent="0.3">
      <c r="A20" s="48"/>
      <c r="B20" s="9" t="str">
        <f>CONCATENATE("          ","5200"," - ","PURCHASES OFFSET")</f>
        <v xml:space="preserve">          5200 - PURCHASES OFFSET</v>
      </c>
      <c r="C20" s="9"/>
      <c r="D20" s="3"/>
      <c r="E20" s="3"/>
      <c r="F20" s="26">
        <f>IF(D$12=0,0,D20/D$12)</f>
        <v>0</v>
      </c>
      <c r="G20" s="3"/>
      <c r="H20" s="3"/>
      <c r="I20" s="3"/>
      <c r="J20" s="26">
        <f>IF(H$12=0,0,H20/H$12)</f>
        <v>0</v>
      </c>
      <c r="K20" s="3"/>
      <c r="L20" s="3">
        <f>+D20-H20</f>
        <v>0</v>
      </c>
      <c r="M20" s="3"/>
      <c r="N20" s="26">
        <f>IF(H20=0,0,L20/H20)</f>
        <v>0</v>
      </c>
      <c r="O20" s="9"/>
      <c r="P20" s="3">
        <v>-5747.79</v>
      </c>
      <c r="Q20" s="3"/>
      <c r="R20" s="26">
        <f>IF(P$12=0,0,P20/P$12)</f>
        <v>-1.3806737905439416E-2</v>
      </c>
      <c r="S20" s="3"/>
      <c r="T20" s="3"/>
      <c r="U20" s="3"/>
      <c r="V20" s="26">
        <f>IF(T$12=0,0,T20/T$12)</f>
        <v>0</v>
      </c>
      <c r="W20" s="3"/>
      <c r="X20" s="3">
        <f>+P20-T20</f>
        <v>-5747.79</v>
      </c>
      <c r="Y20" s="3"/>
      <c r="Z20" s="26">
        <f>IF(T20=0,0,X20/T20)</f>
        <v>0</v>
      </c>
    </row>
    <row r="21" spans="1:26" s="70" customFormat="1" ht="15" hidden="1" customHeight="1" outlineLevel="1" x14ac:dyDescent="0.3">
      <c r="A21" s="48"/>
      <c r="B21" s="9" t="str">
        <f>CONCATENATE("          ","5300"," - ","COG$ OFFSET")</f>
        <v xml:space="preserve">          5300 - COG$ OFFSET</v>
      </c>
      <c r="C21" s="9"/>
      <c r="D21" s="3">
        <v>18633.55</v>
      </c>
      <c r="E21" s="3"/>
      <c r="F21" s="26">
        <f>IF(D$12=0,0,D21/D$12)</f>
        <v>0.48762306669297528</v>
      </c>
      <c r="G21" s="3"/>
      <c r="H21" s="3"/>
      <c r="I21" s="3"/>
      <c r="J21" s="26">
        <f>IF(H$12=0,0,H21/H$12)</f>
        <v>0</v>
      </c>
      <c r="K21" s="3"/>
      <c r="L21" s="3">
        <f>+D21-H21</f>
        <v>18633.55</v>
      </c>
      <c r="M21" s="3"/>
      <c r="N21" s="26">
        <f>IF(H21=0,0,L21/H21)</f>
        <v>0</v>
      </c>
      <c r="O21" s="9"/>
      <c r="P21" s="3">
        <v>191578.74</v>
      </c>
      <c r="Q21" s="3"/>
      <c r="R21" s="26">
        <f>IF(P$12=0,0,P21/P$12)</f>
        <v>0.4601903429725725</v>
      </c>
      <c r="S21" s="3"/>
      <c r="T21" s="3"/>
      <c r="U21" s="3"/>
      <c r="V21" s="26">
        <f>IF(T$12=0,0,T21/T$12)</f>
        <v>0</v>
      </c>
      <c r="W21" s="3"/>
      <c r="X21" s="3">
        <f>+P21-T21</f>
        <v>191578.74</v>
      </c>
      <c r="Y21" s="3"/>
      <c r="Z21" s="26">
        <f>IF(T21=0,0,X21/T21)</f>
        <v>0</v>
      </c>
    </row>
    <row r="22" spans="1:26" s="70" customFormat="1" ht="15" hidden="1" customHeight="1" outlineLevel="1" x14ac:dyDescent="0.3">
      <c r="A22" s="48"/>
      <c r="B22" s="9" t="str">
        <f>CONCATENATE("          ","5500"," - ","FREIGHT-IN")</f>
        <v xml:space="preserve">          5500 - FREIGHT-IN</v>
      </c>
      <c r="C22" s="9"/>
      <c r="D22" s="3"/>
      <c r="E22" s="3"/>
      <c r="F22" s="26">
        <f>IF(D$12=0,0,D22/D$12)</f>
        <v>0</v>
      </c>
      <c r="G22" s="3"/>
      <c r="H22" s="3"/>
      <c r="I22" s="3"/>
      <c r="J22" s="26">
        <f>IF(H$12=0,0,H22/H$12)</f>
        <v>0</v>
      </c>
      <c r="K22" s="3"/>
      <c r="L22" s="3">
        <f>+D22-H22</f>
        <v>0</v>
      </c>
      <c r="M22" s="3"/>
      <c r="N22" s="26">
        <f>IF(H22=0,0,L22/H22)</f>
        <v>0</v>
      </c>
      <c r="O22" s="9"/>
      <c r="P22" s="3">
        <v>92.99</v>
      </c>
      <c r="Q22" s="3"/>
      <c r="R22" s="26">
        <f>IF(P$12=0,0,P22/P$12)</f>
        <v>2.2337081866714186E-4</v>
      </c>
      <c r="S22" s="3"/>
      <c r="T22" s="3"/>
      <c r="U22" s="3"/>
      <c r="V22" s="26">
        <f>IF(T$12=0,0,T22/T$12)</f>
        <v>0</v>
      </c>
      <c r="W22" s="3"/>
      <c r="X22" s="3">
        <f>+P22-T22</f>
        <v>92.99</v>
      </c>
      <c r="Y22" s="3"/>
      <c r="Z22" s="26">
        <f>IF(T22=0,0,X22/T22)</f>
        <v>0</v>
      </c>
    </row>
    <row r="23" spans="1:26" ht="15" customHeight="1" x14ac:dyDescent="0.3">
      <c r="A23" s="12"/>
      <c r="B23" s="13"/>
      <c r="C23" s="13"/>
      <c r="D23" s="4"/>
      <c r="E23" s="4"/>
      <c r="F23" s="10"/>
      <c r="G23" s="4"/>
      <c r="H23" s="4"/>
      <c r="I23" s="4"/>
      <c r="J23" s="10"/>
      <c r="K23" s="4"/>
      <c r="L23" s="4"/>
      <c r="M23" s="4"/>
      <c r="N23" s="10"/>
      <c r="O23" s="13"/>
      <c r="P23" s="4"/>
      <c r="Q23" s="4"/>
      <c r="R23" s="10"/>
      <c r="S23" s="4"/>
      <c r="T23" s="4"/>
      <c r="U23" s="4"/>
      <c r="V23" s="10"/>
      <c r="W23" s="4"/>
      <c r="X23" s="4"/>
      <c r="Y23" s="4"/>
      <c r="Z23" s="10"/>
    </row>
    <row r="24" spans="1:26" s="63" customFormat="1" ht="15" customHeight="1" x14ac:dyDescent="0.3">
      <c r="A24" s="13"/>
      <c r="B24" s="27" t="s">
        <v>289</v>
      </c>
      <c r="C24" s="27"/>
      <c r="D24" s="23">
        <f>D12-D18</f>
        <v>210558.36000000004</v>
      </c>
      <c r="E24" s="15"/>
      <c r="F24" s="22">
        <f>IF(D$12=0,0,D24/D$12)</f>
        <v>5.5101208959668728</v>
      </c>
      <c r="G24" s="15"/>
      <c r="H24" s="23">
        <f>H12-H18</f>
        <v>34946</v>
      </c>
      <c r="I24" s="15"/>
      <c r="J24" s="22">
        <f>IF(H$12=0,0,H24/H$12)</f>
        <v>0.57614376391064215</v>
      </c>
      <c r="K24" s="17"/>
      <c r="L24" s="23">
        <f>+D24-H24</f>
        <v>175612.36000000004</v>
      </c>
      <c r="M24" s="17"/>
      <c r="N24" s="22">
        <f>IF(H24=0,0,L24/H24)</f>
        <v>5.0252492416871757</v>
      </c>
      <c r="O24" s="28"/>
      <c r="P24" s="23">
        <f>P12-P18</f>
        <v>415703.41</v>
      </c>
      <c r="Q24" s="15"/>
      <c r="R24" s="22">
        <f>IF(P$12=0,0,P24/P$12)</f>
        <v>0.99855910328446629</v>
      </c>
      <c r="S24" s="15"/>
      <c r="T24" s="23">
        <f>T12-T18</f>
        <v>236272</v>
      </c>
      <c r="U24" s="15"/>
      <c r="V24" s="22">
        <f>IF(T$12=0,0,T24/T$12)</f>
        <v>0.5537114547252675</v>
      </c>
      <c r="W24" s="17"/>
      <c r="X24" s="23">
        <f>+P24-T24</f>
        <v>179431.40999999997</v>
      </c>
      <c r="Y24" s="17"/>
      <c r="Z24" s="22">
        <f>IF(T24=0,0,X24/T24)</f>
        <v>0.75942731258888052</v>
      </c>
    </row>
    <row r="25" spans="1:26" ht="15" customHeight="1" x14ac:dyDescent="0.3">
      <c r="A25" s="12"/>
      <c r="B25" s="13"/>
      <c r="C25" s="12"/>
      <c r="D25" s="2"/>
      <c r="E25" s="2"/>
      <c r="F25" s="5"/>
      <c r="G25" s="2"/>
      <c r="H25" s="2"/>
      <c r="I25" s="2"/>
      <c r="J25" s="5"/>
      <c r="K25" s="2"/>
      <c r="L25" s="2"/>
      <c r="M25" s="2"/>
      <c r="N25" s="5"/>
      <c r="O25" s="36"/>
      <c r="P25" s="2"/>
      <c r="Q25" s="2"/>
      <c r="R25" s="5"/>
      <c r="S25" s="2"/>
      <c r="T25" s="2"/>
      <c r="U25" s="2"/>
      <c r="V25" s="5"/>
      <c r="W25" s="2"/>
      <c r="X25" s="2"/>
      <c r="Y25" s="2"/>
      <c r="Z25" s="5"/>
    </row>
    <row r="26" spans="1:26" s="63" customFormat="1" ht="15" customHeight="1" x14ac:dyDescent="0.3">
      <c r="A26" s="13"/>
      <c r="B26" s="28" t="s">
        <v>290</v>
      </c>
      <c r="C26" s="13"/>
      <c r="D26" s="24" cm="1">
        <f t="array" ref="D26">SUM(OSRRefD22x_0)</f>
        <v>17095.680000000004</v>
      </c>
      <c r="E26" s="24"/>
      <c r="F26" s="34">
        <f t="shared" ref="F26:F57" si="0">IF(D$12=0,0,D26/D$12)</f>
        <v>0.4473784066268513</v>
      </c>
      <c r="G26" s="24"/>
      <c r="H26" s="24" cm="1">
        <f t="array" ref="H26">SUM(OSRRefH22x_0)</f>
        <v>21635.062167269229</v>
      </c>
      <c r="I26" s="24"/>
      <c r="J26" s="34">
        <f t="shared" ref="J26:J57" si="1">IF(H$12=0,0,H26/H$12)</f>
        <v>0.3566904981826598</v>
      </c>
      <c r="K26" s="8"/>
      <c r="L26" s="24">
        <f t="shared" ref="L26:L57" si="2">+D26-H26</f>
        <v>-4539.3821672692247</v>
      </c>
      <c r="M26" s="8"/>
      <c r="N26" s="34">
        <f t="shared" ref="N26:N57" si="3">IF(H26=0,0,L26/H26)</f>
        <v>-0.20981599831668912</v>
      </c>
      <c r="O26" s="13"/>
      <c r="P26" s="24" cm="1">
        <f t="array" ref="P26">SUM(OSRRefP22x_0)</f>
        <v>211955.35000000006</v>
      </c>
      <c r="Q26" s="24"/>
      <c r="R26" s="34">
        <f t="shared" ref="R26:R57" si="4">IF(P$12=0,0,P26/P$12)</f>
        <v>0.50913689698226261</v>
      </c>
      <c r="S26" s="24"/>
      <c r="T26" s="24" cm="1">
        <f t="array" ref="T26">SUM(OSRRefT22x_0)</f>
        <v>266950.05512909999</v>
      </c>
      <c r="U26" s="24"/>
      <c r="V26" s="34">
        <f t="shared" ref="V26:V57" si="5">IF(T$12=0,0,T26/T$12)</f>
        <v>0.62560651860789396</v>
      </c>
      <c r="W26" s="8"/>
      <c r="X26" s="24">
        <f t="shared" ref="X26:X57" si="6">+P26-T26</f>
        <v>-54994.705129099922</v>
      </c>
      <c r="Y26" s="8"/>
      <c r="Z26" s="34">
        <f t="shared" ref="Z26:Z57" si="7">IF(T26=0,0,X26/T26)</f>
        <v>-0.20601121472892703</v>
      </c>
    </row>
    <row r="27" spans="1:26" s="69" customFormat="1" ht="15" customHeight="1" outlineLevel="1" collapsed="1" x14ac:dyDescent="0.3">
      <c r="A27" s="20"/>
      <c r="B27" s="11" t="str">
        <f>CONCATENATE("     ","*Benefits                                         ")</f>
        <v xml:space="preserve">     *Benefits                                         </v>
      </c>
      <c r="C27" s="11"/>
      <c r="D27" s="2">
        <f>SUM(OSRRefD22_0x_0)</f>
        <v>-91.789999999999907</v>
      </c>
      <c r="E27" s="2"/>
      <c r="F27" s="5">
        <f t="shared" si="0"/>
        <v>-2.4020608682590355E-3</v>
      </c>
      <c r="G27" s="2"/>
      <c r="H27" s="2">
        <f>SUM(OSRRefH22_0x_0)</f>
        <v>2726.026474961539</v>
      </c>
      <c r="I27" s="2"/>
      <c r="J27" s="5">
        <f t="shared" si="1"/>
        <v>4.4943145247078375E-2</v>
      </c>
      <c r="K27" s="2"/>
      <c r="L27" s="2">
        <f t="shared" si="2"/>
        <v>-2817.8164749615389</v>
      </c>
      <c r="M27" s="2"/>
      <c r="N27" s="5">
        <f t="shared" si="3"/>
        <v>-1.0336717199348899</v>
      </c>
      <c r="O27" s="11"/>
      <c r="P27" s="2">
        <f>SUM(OSRRefP22_0x_0)</f>
        <v>14140.68</v>
      </c>
      <c r="Q27" s="2"/>
      <c r="R27" s="5">
        <f t="shared" si="4"/>
        <v>3.3967257426713408E-2</v>
      </c>
      <c r="S27" s="2"/>
      <c r="T27" s="2">
        <f>SUM(OSRRefT22_0x_0)</f>
        <v>32611.2481291</v>
      </c>
      <c r="U27" s="2"/>
      <c r="V27" s="5">
        <f t="shared" si="5"/>
        <v>7.6425567320590762E-2</v>
      </c>
      <c r="W27" s="2"/>
      <c r="X27" s="2">
        <f t="shared" si="6"/>
        <v>-18470.5681291</v>
      </c>
      <c r="Y27" s="2"/>
      <c r="Z27" s="5">
        <f t="shared" si="7"/>
        <v>-0.56638642151871998</v>
      </c>
    </row>
    <row r="28" spans="1:26" s="70" customFormat="1" ht="15" hidden="1" customHeight="1" outlineLevel="2" x14ac:dyDescent="0.3">
      <c r="A28" s="21"/>
      <c r="B28" s="9" t="str">
        <f>CONCATENATE("          ","6111"," - ","F.I.C.A.")</f>
        <v xml:space="preserve">          6111 - F.I.C.A.</v>
      </c>
      <c r="C28" s="9"/>
      <c r="D28" s="6">
        <v>570.1</v>
      </c>
      <c r="E28" s="3"/>
      <c r="F28" s="7">
        <f t="shared" si="0"/>
        <v>1.4918998812446647E-2</v>
      </c>
      <c r="G28" s="3"/>
      <c r="H28" s="6">
        <v>774.23723226923096</v>
      </c>
      <c r="I28" s="3"/>
      <c r="J28" s="7">
        <f t="shared" si="1"/>
        <v>1.2764606912360579E-2</v>
      </c>
      <c r="K28" s="3"/>
      <c r="L28" s="6">
        <f t="shared" si="2"/>
        <v>-204.13723226923094</v>
      </c>
      <c r="M28" s="3"/>
      <c r="N28" s="7">
        <f t="shared" si="3"/>
        <v>-0.26366238119409485</v>
      </c>
      <c r="O28" s="9"/>
      <c r="P28" s="6">
        <v>3217.98</v>
      </c>
      <c r="Q28" s="3"/>
      <c r="R28" s="7">
        <f t="shared" si="4"/>
        <v>7.7298938278792251E-3</v>
      </c>
      <c r="S28" s="3"/>
      <c r="T28" s="6">
        <v>8246.3539266000007</v>
      </c>
      <c r="U28" s="3"/>
      <c r="V28" s="7">
        <f t="shared" si="5"/>
        <v>1.9325610435756705E-2</v>
      </c>
      <c r="W28" s="3"/>
      <c r="X28" s="6">
        <f t="shared" si="6"/>
        <v>-5028.3739266000011</v>
      </c>
      <c r="Y28" s="3"/>
      <c r="Z28" s="7">
        <f t="shared" si="7"/>
        <v>-0.60976935641582586</v>
      </c>
    </row>
    <row r="29" spans="1:26" s="70" customFormat="1" ht="15" hidden="1" customHeight="1" outlineLevel="2" x14ac:dyDescent="0.3">
      <c r="A29" s="21"/>
      <c r="B29" s="9" t="str">
        <f>CONCATENATE("          ","6112"," - ","COMPENSATION INSURANCE")</f>
        <v xml:space="preserve">          6112 - COMPENSATION INSURANCE</v>
      </c>
      <c r="C29" s="9"/>
      <c r="D29" s="6">
        <v>-1553.34</v>
      </c>
      <c r="E29" s="3"/>
      <c r="F29" s="7">
        <f t="shared" si="0"/>
        <v>-4.0649495904798931E-2</v>
      </c>
      <c r="G29" s="3"/>
      <c r="H29" s="6">
        <v>157.82177999999999</v>
      </c>
      <c r="I29" s="3"/>
      <c r="J29" s="7">
        <f t="shared" si="1"/>
        <v>2.6019582886818893E-3</v>
      </c>
      <c r="K29" s="3"/>
      <c r="L29" s="6">
        <f t="shared" si="2"/>
        <v>-1711.1617799999999</v>
      </c>
      <c r="M29" s="3"/>
      <c r="N29" s="7">
        <f t="shared" si="3"/>
        <v>-10.842367764449241</v>
      </c>
      <c r="O29" s="9"/>
      <c r="P29" s="6">
        <v>-705.19</v>
      </c>
      <c r="Q29" s="3"/>
      <c r="R29" s="7">
        <f t="shared" si="4"/>
        <v>-1.6939334080641121E-3</v>
      </c>
      <c r="S29" s="3"/>
      <c r="T29" s="6">
        <v>2046.64707</v>
      </c>
      <c r="U29" s="3"/>
      <c r="V29" s="7">
        <f t="shared" si="5"/>
        <v>4.796386903394843E-3</v>
      </c>
      <c r="W29" s="3"/>
      <c r="X29" s="6">
        <f t="shared" si="6"/>
        <v>-2751.83707</v>
      </c>
      <c r="Y29" s="3"/>
      <c r="Z29" s="7">
        <f t="shared" si="7"/>
        <v>-1.3445586737140762</v>
      </c>
    </row>
    <row r="30" spans="1:26" s="70" customFormat="1" ht="15" hidden="1" customHeight="1" outlineLevel="2" x14ac:dyDescent="0.3">
      <c r="A30" s="21"/>
      <c r="B30" s="9" t="str">
        <f>CONCATENATE("          ","6113"," - ","GROUP INSURANCE")</f>
        <v xml:space="preserve">          6113 - GROUP INSURANCE</v>
      </c>
      <c r="C30" s="9"/>
      <c r="D30" s="6">
        <v>487.33</v>
      </c>
      <c r="E30" s="3"/>
      <c r="F30" s="7">
        <f t="shared" si="0"/>
        <v>1.2752983145535211E-2</v>
      </c>
      <c r="G30" s="3"/>
      <c r="H30" s="6">
        <v>988.5</v>
      </c>
      <c r="I30" s="3"/>
      <c r="J30" s="7">
        <f t="shared" si="1"/>
        <v>1.6297090099744456E-2</v>
      </c>
      <c r="K30" s="3"/>
      <c r="L30" s="6">
        <f t="shared" si="2"/>
        <v>-501.17</v>
      </c>
      <c r="M30" s="3"/>
      <c r="N30" s="7">
        <f t="shared" si="3"/>
        <v>-0.50700050581689426</v>
      </c>
      <c r="O30" s="9"/>
      <c r="P30" s="6">
        <v>6095.43</v>
      </c>
      <c r="Q30" s="3"/>
      <c r="R30" s="7">
        <f t="shared" si="4"/>
        <v>1.4641802228500447E-2</v>
      </c>
      <c r="S30" s="3"/>
      <c r="T30" s="6">
        <v>11862</v>
      </c>
      <c r="U30" s="3"/>
      <c r="V30" s="7">
        <f t="shared" si="5"/>
        <v>2.7798999779707807E-2</v>
      </c>
      <c r="W30" s="3"/>
      <c r="X30" s="6">
        <f t="shared" si="6"/>
        <v>-5766.57</v>
      </c>
      <c r="Y30" s="3"/>
      <c r="Z30" s="7">
        <f t="shared" si="7"/>
        <v>-0.48613808801213959</v>
      </c>
    </row>
    <row r="31" spans="1:26" s="70" customFormat="1" ht="15" hidden="1" customHeight="1" outlineLevel="2" x14ac:dyDescent="0.3">
      <c r="A31" s="21"/>
      <c r="B31" s="9" t="str">
        <f>CONCATENATE("          ","6114"," - ","STATE UNEMPLOYMENT INSURANCE")</f>
        <v xml:space="preserve">          6114 - STATE UNEMPLOYMENT INSURANCE</v>
      </c>
      <c r="C31" s="9"/>
      <c r="D31" s="6"/>
      <c r="E31" s="3"/>
      <c r="F31" s="7">
        <f t="shared" si="0"/>
        <v>0</v>
      </c>
      <c r="G31" s="3"/>
      <c r="H31" s="6">
        <v>21.245239615384602</v>
      </c>
      <c r="I31" s="3"/>
      <c r="J31" s="7">
        <f t="shared" si="1"/>
        <v>3.5026361578410027E-4</v>
      </c>
      <c r="K31" s="3"/>
      <c r="L31" s="6">
        <f t="shared" si="2"/>
        <v>-21.245239615384602</v>
      </c>
      <c r="M31" s="3"/>
      <c r="N31" s="7">
        <f t="shared" si="3"/>
        <v>-1</v>
      </c>
      <c r="O31" s="9"/>
      <c r="P31" s="6">
        <v>149</v>
      </c>
      <c r="Q31" s="3"/>
      <c r="R31" s="7">
        <f t="shared" si="4"/>
        <v>3.5791216239815184E-4</v>
      </c>
      <c r="S31" s="3"/>
      <c r="T31" s="6">
        <v>275.51018249999998</v>
      </c>
      <c r="U31" s="3"/>
      <c r="V31" s="7">
        <f t="shared" si="5"/>
        <v>6.4566746776469042E-4</v>
      </c>
      <c r="W31" s="3"/>
      <c r="X31" s="6">
        <f t="shared" si="6"/>
        <v>-126.51018249999998</v>
      </c>
      <c r="Y31" s="3"/>
      <c r="Z31" s="7">
        <f t="shared" si="7"/>
        <v>-0.4591851428213547</v>
      </c>
    </row>
    <row r="32" spans="1:26" s="70" customFormat="1" ht="15" hidden="1" customHeight="1" outlineLevel="2" x14ac:dyDescent="0.3">
      <c r="A32" s="21"/>
      <c r="B32" s="9" t="str">
        <f>CONCATENATE("          ","6115"," - ","P.E.R.S.")</f>
        <v xml:space="preserve">          6115 - P.E.R.S.</v>
      </c>
      <c r="C32" s="9"/>
      <c r="D32" s="6">
        <v>74.88</v>
      </c>
      <c r="E32" s="3"/>
      <c r="F32" s="7">
        <f t="shared" si="0"/>
        <v>1.9595415384599277E-3</v>
      </c>
      <c r="G32" s="3"/>
      <c r="H32" s="6">
        <v>206.11884615384599</v>
      </c>
      <c r="I32" s="3"/>
      <c r="J32" s="7">
        <f t="shared" si="1"/>
        <v>3.3982169013905858E-3</v>
      </c>
      <c r="K32" s="3"/>
      <c r="L32" s="6">
        <f t="shared" si="2"/>
        <v>-131.238846153846</v>
      </c>
      <c r="M32" s="3"/>
      <c r="N32" s="7">
        <f t="shared" si="3"/>
        <v>-0.6367144421907448</v>
      </c>
      <c r="O32" s="9"/>
      <c r="P32" s="6">
        <v>1152.8900000000001</v>
      </c>
      <c r="Q32" s="3"/>
      <c r="R32" s="7">
        <f t="shared" si="4"/>
        <v>2.7693513617933242E-3</v>
      </c>
      <c r="S32" s="3"/>
      <c r="T32" s="6">
        <v>2679.5450000000001</v>
      </c>
      <c r="U32" s="3"/>
      <c r="V32" s="7">
        <f t="shared" si="5"/>
        <v>6.2796046926923924E-3</v>
      </c>
      <c r="W32" s="3"/>
      <c r="X32" s="6">
        <f t="shared" si="6"/>
        <v>-1526.655</v>
      </c>
      <c r="Y32" s="3"/>
      <c r="Z32" s="7">
        <f t="shared" si="7"/>
        <v>-0.56974411700493921</v>
      </c>
    </row>
    <row r="33" spans="1:26" s="70" customFormat="1" ht="15" hidden="1" customHeight="1" outlineLevel="2" x14ac:dyDescent="0.3">
      <c r="A33" s="21"/>
      <c r="B33" s="9" t="str">
        <f>CONCATENATE("          ","6116"," - ","EDUCATIONAL BENEFITS")</f>
        <v xml:space="preserve">          6116 - EDUCATIONAL BENEFITS</v>
      </c>
      <c r="C33" s="9"/>
      <c r="D33" s="6"/>
      <c r="E33" s="3"/>
      <c r="F33" s="7">
        <f t="shared" si="0"/>
        <v>0</v>
      </c>
      <c r="G33" s="3"/>
      <c r="H33" s="6">
        <v>0</v>
      </c>
      <c r="I33" s="3"/>
      <c r="J33" s="7">
        <f t="shared" si="1"/>
        <v>0</v>
      </c>
      <c r="K33" s="3"/>
      <c r="L33" s="6">
        <f t="shared" si="2"/>
        <v>0</v>
      </c>
      <c r="M33" s="3"/>
      <c r="N33" s="7">
        <f t="shared" si="3"/>
        <v>0</v>
      </c>
      <c r="O33" s="9"/>
      <c r="P33" s="6"/>
      <c r="Q33" s="3"/>
      <c r="R33" s="7">
        <f t="shared" si="4"/>
        <v>0</v>
      </c>
      <c r="S33" s="3"/>
      <c r="T33" s="6">
        <v>0</v>
      </c>
      <c r="U33" s="3"/>
      <c r="V33" s="7">
        <f t="shared" si="5"/>
        <v>0</v>
      </c>
      <c r="W33" s="3"/>
      <c r="X33" s="6">
        <f t="shared" si="6"/>
        <v>0</v>
      </c>
      <c r="Y33" s="3"/>
      <c r="Z33" s="7">
        <f t="shared" si="7"/>
        <v>0</v>
      </c>
    </row>
    <row r="34" spans="1:26" s="70" customFormat="1" ht="15" hidden="1" customHeight="1" outlineLevel="2" x14ac:dyDescent="0.3">
      <c r="A34" s="21"/>
      <c r="B34" s="9" t="str">
        <f>CONCATENATE("          ","6118"," - ","VACATION")</f>
        <v xml:space="preserve">          6118 - VACATION</v>
      </c>
      <c r="C34" s="9"/>
      <c r="D34" s="6">
        <v>96.19</v>
      </c>
      <c r="E34" s="3"/>
      <c r="F34" s="7">
        <f t="shared" si="0"/>
        <v>2.5172048689164057E-3</v>
      </c>
      <c r="G34" s="3"/>
      <c r="H34" s="6">
        <v>119.836538461538</v>
      </c>
      <c r="I34" s="3"/>
      <c r="J34" s="7">
        <f t="shared" si="1"/>
        <v>1.9757075008084743E-3</v>
      </c>
      <c r="K34" s="3"/>
      <c r="L34" s="6">
        <f t="shared" si="2"/>
        <v>-23.646538461538</v>
      </c>
      <c r="M34" s="3"/>
      <c r="N34" s="7">
        <f t="shared" si="3"/>
        <v>-0.19732327689961979</v>
      </c>
      <c r="O34" s="9"/>
      <c r="P34" s="6">
        <v>1403.8</v>
      </c>
      <c r="Q34" s="3"/>
      <c r="R34" s="7">
        <f t="shared" si="4"/>
        <v>3.3720610307015134E-3</v>
      </c>
      <c r="S34" s="3"/>
      <c r="T34" s="6">
        <v>1557.875</v>
      </c>
      <c r="U34" s="3"/>
      <c r="V34" s="7">
        <f t="shared" si="5"/>
        <v>3.6509329608676701E-3</v>
      </c>
      <c r="W34" s="3"/>
      <c r="X34" s="6">
        <f t="shared" si="6"/>
        <v>-154.07500000000005</v>
      </c>
      <c r="Y34" s="3"/>
      <c r="Z34" s="7">
        <f t="shared" si="7"/>
        <v>-9.8900746208778006E-2</v>
      </c>
    </row>
    <row r="35" spans="1:26" s="70" customFormat="1" ht="15" hidden="1" customHeight="1" outlineLevel="2" x14ac:dyDescent="0.3">
      <c r="A35" s="21"/>
      <c r="B35" s="9" t="str">
        <f>CONCATENATE("          ","6119"," - ","SICK LEAVE")</f>
        <v xml:space="preserve">          6119 - SICK LEAVE</v>
      </c>
      <c r="C35" s="9"/>
      <c r="D35" s="6">
        <v>60.68</v>
      </c>
      <c r="E35" s="3"/>
      <c r="F35" s="7">
        <f t="shared" si="0"/>
        <v>1.5879404454293324E-3</v>
      </c>
      <c r="G35" s="3"/>
      <c r="H35" s="6">
        <v>458.26683846153901</v>
      </c>
      <c r="I35" s="3"/>
      <c r="J35" s="7">
        <f t="shared" si="1"/>
        <v>7.5553019283082848E-3</v>
      </c>
      <c r="K35" s="3"/>
      <c r="L35" s="6">
        <f t="shared" si="2"/>
        <v>-397.586838461539</v>
      </c>
      <c r="M35" s="3"/>
      <c r="N35" s="7">
        <f t="shared" si="3"/>
        <v>-0.86758806244040998</v>
      </c>
      <c r="O35" s="9"/>
      <c r="P35" s="6">
        <v>965.9</v>
      </c>
      <c r="Q35" s="3"/>
      <c r="R35" s="7">
        <f t="shared" si="4"/>
        <v>2.3201836084588913E-3</v>
      </c>
      <c r="S35" s="3"/>
      <c r="T35" s="6">
        <v>5943.3169500000004</v>
      </c>
      <c r="U35" s="3"/>
      <c r="V35" s="7">
        <f t="shared" si="5"/>
        <v>1.3928365080406652E-2</v>
      </c>
      <c r="W35" s="3"/>
      <c r="X35" s="6">
        <f t="shared" si="6"/>
        <v>-4977.4169500000007</v>
      </c>
      <c r="Y35" s="3"/>
      <c r="Z35" s="7">
        <f t="shared" si="7"/>
        <v>-0.83748132429652777</v>
      </c>
    </row>
    <row r="36" spans="1:26" s="70" customFormat="1" ht="15" hidden="1" customHeight="1" outlineLevel="2" x14ac:dyDescent="0.3">
      <c r="A36" s="21"/>
      <c r="B36" s="9" t="str">
        <f>CONCATENATE("          ","6156"," - ","EMPLOYEE MEALS")</f>
        <v xml:space="preserve">          6156 - EMPLOYEE MEALS</v>
      </c>
      <c r="C36" s="9"/>
      <c r="D36" s="6">
        <v>172.37</v>
      </c>
      <c r="E36" s="3"/>
      <c r="F36" s="7">
        <f t="shared" si="0"/>
        <v>4.5107662257523745E-3</v>
      </c>
      <c r="G36" s="3"/>
      <c r="H36" s="6"/>
      <c r="I36" s="3"/>
      <c r="J36" s="7">
        <f t="shared" si="1"/>
        <v>0</v>
      </c>
      <c r="K36" s="3"/>
      <c r="L36" s="6">
        <f t="shared" si="2"/>
        <v>172.37</v>
      </c>
      <c r="M36" s="3"/>
      <c r="N36" s="7">
        <f t="shared" si="3"/>
        <v>0</v>
      </c>
      <c r="O36" s="9"/>
      <c r="P36" s="6">
        <v>1860.87</v>
      </c>
      <c r="Q36" s="3"/>
      <c r="R36" s="7">
        <f t="shared" si="4"/>
        <v>4.4699866150459643E-3</v>
      </c>
      <c r="S36" s="3"/>
      <c r="T36" s="6"/>
      <c r="U36" s="3"/>
      <c r="V36" s="7">
        <f t="shared" si="5"/>
        <v>0</v>
      </c>
      <c r="W36" s="3"/>
      <c r="X36" s="6">
        <f t="shared" si="6"/>
        <v>1860.87</v>
      </c>
      <c r="Y36" s="3"/>
      <c r="Z36" s="7">
        <f t="shared" si="7"/>
        <v>0</v>
      </c>
    </row>
    <row r="37" spans="1:26" s="69" customFormat="1" ht="15" customHeight="1" outlineLevel="1" collapsed="1" x14ac:dyDescent="0.3">
      <c r="A37" s="20"/>
      <c r="B37" s="11" t="str">
        <f>CONCATENATE("     ","*Payroll                                          ")</f>
        <v xml:space="preserve">     *Payroll                                          </v>
      </c>
      <c r="C37" s="11"/>
      <c r="D37" s="2">
        <f>SUM(OSRRefD22_1x_0)</f>
        <v>9092.41</v>
      </c>
      <c r="E37" s="2"/>
      <c r="F37" s="5">
        <f t="shared" si="0"/>
        <v>0.23794010523114895</v>
      </c>
      <c r="G37" s="2"/>
      <c r="H37" s="2">
        <f>SUM(OSRRefH22_1x_0)</f>
        <v>9610.0356923076906</v>
      </c>
      <c r="I37" s="2"/>
      <c r="J37" s="5">
        <f t="shared" si="1"/>
        <v>0.15843765052028178</v>
      </c>
      <c r="K37" s="2"/>
      <c r="L37" s="2">
        <f t="shared" si="2"/>
        <v>-517.62569230769077</v>
      </c>
      <c r="M37" s="2"/>
      <c r="N37" s="5">
        <f t="shared" si="3"/>
        <v>-5.3863035360214313E-2</v>
      </c>
      <c r="O37" s="11"/>
      <c r="P37" s="2">
        <f>SUM(OSRRefP22_1x_0)</f>
        <v>89863.91</v>
      </c>
      <c r="Q37" s="2"/>
      <c r="R37" s="5">
        <f t="shared" si="4"/>
        <v>0.21586165335337518</v>
      </c>
      <c r="S37" s="2"/>
      <c r="T37" s="2">
        <f>SUM(OSRRefT22_1x_0)</f>
        <v>124618.807</v>
      </c>
      <c r="U37" s="2"/>
      <c r="V37" s="5">
        <f t="shared" si="5"/>
        <v>0.2920484056938501</v>
      </c>
      <c r="W37" s="2"/>
      <c r="X37" s="2">
        <f t="shared" si="6"/>
        <v>-34754.896999999997</v>
      </c>
      <c r="Y37" s="2"/>
      <c r="Z37" s="5">
        <f t="shared" si="7"/>
        <v>-0.27888966229631773</v>
      </c>
    </row>
    <row r="38" spans="1:26" s="70" customFormat="1" ht="15" hidden="1" customHeight="1" outlineLevel="2" x14ac:dyDescent="0.3">
      <c r="A38" s="21"/>
      <c r="B38" s="9" t="str">
        <f>CONCATENATE("          ","6001"," - ","ADMINISTRATIVE SALARIES")</f>
        <v xml:space="preserve">          6001 - ADMINISTRATIVE SALARIES</v>
      </c>
      <c r="C38" s="9"/>
      <c r="D38" s="6"/>
      <c r="E38" s="3"/>
      <c r="F38" s="7">
        <f t="shared" si="0"/>
        <v>0</v>
      </c>
      <c r="G38" s="3"/>
      <c r="H38" s="6">
        <v>0</v>
      </c>
      <c r="I38" s="3"/>
      <c r="J38" s="7">
        <f t="shared" si="1"/>
        <v>0</v>
      </c>
      <c r="K38" s="3"/>
      <c r="L38" s="6">
        <f t="shared" si="2"/>
        <v>0</v>
      </c>
      <c r="M38" s="3"/>
      <c r="N38" s="7">
        <f t="shared" si="3"/>
        <v>0</v>
      </c>
      <c r="O38" s="9"/>
      <c r="P38" s="6"/>
      <c r="Q38" s="3"/>
      <c r="R38" s="7">
        <f t="shared" si="4"/>
        <v>0</v>
      </c>
      <c r="S38" s="3"/>
      <c r="T38" s="6">
        <v>0</v>
      </c>
      <c r="U38" s="3"/>
      <c r="V38" s="7">
        <f t="shared" si="5"/>
        <v>0</v>
      </c>
      <c r="W38" s="3"/>
      <c r="X38" s="6">
        <f t="shared" si="6"/>
        <v>0</v>
      </c>
      <c r="Y38" s="3"/>
      <c r="Z38" s="7">
        <f t="shared" si="7"/>
        <v>0</v>
      </c>
    </row>
    <row r="39" spans="1:26" s="70" customFormat="1" ht="15" hidden="1" customHeight="1" outlineLevel="2" x14ac:dyDescent="0.3">
      <c r="A39" s="21"/>
      <c r="B39" s="9" t="str">
        <f>CONCATENATE("          ","6002"," - ","STAFF SALARIES")</f>
        <v xml:space="preserve">          6002 - STAFF SALARIES</v>
      </c>
      <c r="C39" s="9"/>
      <c r="D39" s="6">
        <v>1052.3499999999999</v>
      </c>
      <c r="E39" s="3"/>
      <c r="F39" s="7">
        <f t="shared" si="0"/>
        <v>2.7539042975404712E-2</v>
      </c>
      <c r="G39" s="3"/>
      <c r="H39" s="6">
        <v>2157.0576923076901</v>
      </c>
      <c r="I39" s="3"/>
      <c r="J39" s="7">
        <f t="shared" si="1"/>
        <v>3.5562735014552635E-2</v>
      </c>
      <c r="K39" s="3"/>
      <c r="L39" s="6">
        <f t="shared" si="2"/>
        <v>-1104.7076923076902</v>
      </c>
      <c r="M39" s="3"/>
      <c r="N39" s="7">
        <f t="shared" si="3"/>
        <v>-0.5121363680940022</v>
      </c>
      <c r="O39" s="9"/>
      <c r="P39" s="6">
        <v>15520.44</v>
      </c>
      <c r="Q39" s="3"/>
      <c r="R39" s="7">
        <f t="shared" si="4"/>
        <v>3.7281572092421285E-2</v>
      </c>
      <c r="S39" s="3"/>
      <c r="T39" s="6">
        <v>28041.75</v>
      </c>
      <c r="U39" s="3"/>
      <c r="V39" s="7">
        <f t="shared" si="5"/>
        <v>6.5716793295618053E-2</v>
      </c>
      <c r="W39" s="3"/>
      <c r="X39" s="6">
        <f t="shared" si="6"/>
        <v>-12521.31</v>
      </c>
      <c r="Y39" s="3"/>
      <c r="Z39" s="7">
        <f t="shared" si="7"/>
        <v>-0.44652384391131078</v>
      </c>
    </row>
    <row r="40" spans="1:26" s="70" customFormat="1" ht="15" hidden="1" customHeight="1" outlineLevel="2" x14ac:dyDescent="0.3">
      <c r="A40" s="21"/>
      <c r="B40" s="9" t="str">
        <f>CONCATENATE("          ","6003"," - ","STAFF HOURLY-9 MONTH")</f>
        <v xml:space="preserve">          6003 - STAFF HOURLY-9 MONTH</v>
      </c>
      <c r="C40" s="9"/>
      <c r="D40" s="6"/>
      <c r="E40" s="3"/>
      <c r="F40" s="7">
        <f t="shared" si="0"/>
        <v>0</v>
      </c>
      <c r="G40" s="3"/>
      <c r="H40" s="6">
        <v>0</v>
      </c>
      <c r="I40" s="3"/>
      <c r="J40" s="7">
        <f t="shared" si="1"/>
        <v>0</v>
      </c>
      <c r="K40" s="3"/>
      <c r="L40" s="6">
        <f t="shared" si="2"/>
        <v>0</v>
      </c>
      <c r="M40" s="3"/>
      <c r="N40" s="7">
        <f t="shared" si="3"/>
        <v>0</v>
      </c>
      <c r="O40" s="9"/>
      <c r="P40" s="6"/>
      <c r="Q40" s="3"/>
      <c r="R40" s="7">
        <f t="shared" si="4"/>
        <v>0</v>
      </c>
      <c r="S40" s="3"/>
      <c r="T40" s="6">
        <v>0</v>
      </c>
      <c r="U40" s="3"/>
      <c r="V40" s="7">
        <f t="shared" si="5"/>
        <v>0</v>
      </c>
      <c r="W40" s="3"/>
      <c r="X40" s="6">
        <f t="shared" si="6"/>
        <v>0</v>
      </c>
      <c r="Y40" s="3"/>
      <c r="Z40" s="7">
        <f t="shared" si="7"/>
        <v>0</v>
      </c>
    </row>
    <row r="41" spans="1:26" s="70" customFormat="1" ht="15" hidden="1" customHeight="1" outlineLevel="2" x14ac:dyDescent="0.3">
      <c r="A41" s="21"/>
      <c r="B41" s="9" t="str">
        <f>CONCATENATE("          ","6004"," - ","STAFF HOURLY")</f>
        <v xml:space="preserve">          6004 - STAFF HOURLY</v>
      </c>
      <c r="C41" s="9"/>
      <c r="D41" s="6"/>
      <c r="E41" s="3"/>
      <c r="F41" s="7">
        <f t="shared" si="0"/>
        <v>0</v>
      </c>
      <c r="G41" s="3"/>
      <c r="H41" s="6">
        <v>5074.3680000000004</v>
      </c>
      <c r="I41" s="3"/>
      <c r="J41" s="7">
        <f t="shared" si="1"/>
        <v>8.3659516940070899E-2</v>
      </c>
      <c r="K41" s="3"/>
      <c r="L41" s="6">
        <f t="shared" si="2"/>
        <v>-5074.3680000000004</v>
      </c>
      <c r="M41" s="3"/>
      <c r="N41" s="7">
        <f t="shared" si="3"/>
        <v>-1</v>
      </c>
      <c r="O41" s="9"/>
      <c r="P41" s="6">
        <v>4272.3900000000003</v>
      </c>
      <c r="Q41" s="3"/>
      <c r="R41" s="7">
        <f t="shared" si="4"/>
        <v>1.0262686869182818E-2</v>
      </c>
      <c r="S41" s="3"/>
      <c r="T41" s="6">
        <v>65754.592000000004</v>
      </c>
      <c r="U41" s="3"/>
      <c r="V41" s="7">
        <f t="shared" si="5"/>
        <v>0.15409811907964735</v>
      </c>
      <c r="W41" s="3"/>
      <c r="X41" s="6">
        <f t="shared" si="6"/>
        <v>-61482.202000000005</v>
      </c>
      <c r="Y41" s="3"/>
      <c r="Z41" s="7">
        <f t="shared" si="7"/>
        <v>-0.93502522226888729</v>
      </c>
    </row>
    <row r="42" spans="1:26" s="70" customFormat="1" ht="15" hidden="1" customHeight="1" outlineLevel="2" x14ac:dyDescent="0.3">
      <c r="A42" s="21"/>
      <c r="B42" s="9" t="str">
        <f>CONCATENATE("          ","6005"," - ","TEMPORARY WAGES-HOURLY")</f>
        <v xml:space="preserve">          6005 - TEMPORARY WAGES-HOURLY</v>
      </c>
      <c r="C42" s="9"/>
      <c r="D42" s="6">
        <v>203.4</v>
      </c>
      <c r="E42" s="3"/>
      <c r="F42" s="7">
        <f t="shared" si="0"/>
        <v>5.3227931212974002E-3</v>
      </c>
      <c r="G42" s="3"/>
      <c r="H42" s="6">
        <v>0</v>
      </c>
      <c r="I42" s="3"/>
      <c r="J42" s="7">
        <f t="shared" si="1"/>
        <v>0</v>
      </c>
      <c r="K42" s="3"/>
      <c r="L42" s="6">
        <f t="shared" si="2"/>
        <v>203.4</v>
      </c>
      <c r="M42" s="3"/>
      <c r="N42" s="7">
        <f t="shared" si="3"/>
        <v>0</v>
      </c>
      <c r="O42" s="9"/>
      <c r="P42" s="6">
        <v>8094.08</v>
      </c>
      <c r="Q42" s="3"/>
      <c r="R42" s="7">
        <f t="shared" si="4"/>
        <v>1.9442749499487468E-2</v>
      </c>
      <c r="S42" s="3"/>
      <c r="T42" s="6">
        <v>0</v>
      </c>
      <c r="U42" s="3"/>
      <c r="V42" s="7">
        <f t="shared" si="5"/>
        <v>0</v>
      </c>
      <c r="W42" s="3"/>
      <c r="X42" s="6">
        <f t="shared" si="6"/>
        <v>8094.08</v>
      </c>
      <c r="Y42" s="3"/>
      <c r="Z42" s="7">
        <f t="shared" si="7"/>
        <v>0</v>
      </c>
    </row>
    <row r="43" spans="1:26" s="70" customFormat="1" ht="15" hidden="1" customHeight="1" outlineLevel="2" x14ac:dyDescent="0.3">
      <c r="A43" s="21"/>
      <c r="B43" s="9" t="str">
        <f>CONCATENATE("          ","6006"," - ","TEMPORARY PART TIME")</f>
        <v xml:space="preserve">          6006 - TEMPORARY PART TIME</v>
      </c>
      <c r="C43" s="9"/>
      <c r="D43" s="6"/>
      <c r="E43" s="3"/>
      <c r="F43" s="7">
        <f t="shared" si="0"/>
        <v>0</v>
      </c>
      <c r="G43" s="3"/>
      <c r="H43" s="6">
        <v>0</v>
      </c>
      <c r="I43" s="3"/>
      <c r="J43" s="7">
        <f t="shared" si="1"/>
        <v>0</v>
      </c>
      <c r="K43" s="3"/>
      <c r="L43" s="6">
        <f t="shared" si="2"/>
        <v>0</v>
      </c>
      <c r="M43" s="3"/>
      <c r="N43" s="7">
        <f t="shared" si="3"/>
        <v>0</v>
      </c>
      <c r="O43" s="9"/>
      <c r="P43" s="6"/>
      <c r="Q43" s="3"/>
      <c r="R43" s="7">
        <f t="shared" si="4"/>
        <v>0</v>
      </c>
      <c r="S43" s="3"/>
      <c r="T43" s="6">
        <v>0</v>
      </c>
      <c r="U43" s="3"/>
      <c r="V43" s="7">
        <f t="shared" si="5"/>
        <v>0</v>
      </c>
      <c r="W43" s="3"/>
      <c r="X43" s="6">
        <f t="shared" si="6"/>
        <v>0</v>
      </c>
      <c r="Y43" s="3"/>
      <c r="Z43" s="7">
        <f t="shared" si="7"/>
        <v>0</v>
      </c>
    </row>
    <row r="44" spans="1:26" s="70" customFormat="1" ht="15" hidden="1" customHeight="1" outlineLevel="2" x14ac:dyDescent="0.3">
      <c r="A44" s="21"/>
      <c r="B44" s="9" t="str">
        <f>CONCATENATE("          ","6007"," - ","STUDENT HOURLY")</f>
        <v xml:space="preserve">          6007 - STUDENT HOURLY</v>
      </c>
      <c r="C44" s="9"/>
      <c r="D44" s="6">
        <v>7778.08</v>
      </c>
      <c r="E44" s="3"/>
      <c r="F44" s="7">
        <f t="shared" si="0"/>
        <v>0.20354528378024031</v>
      </c>
      <c r="G44" s="3"/>
      <c r="H44" s="6">
        <v>2378.61</v>
      </c>
      <c r="I44" s="3"/>
      <c r="J44" s="7">
        <f t="shared" si="1"/>
        <v>3.9215398565658234E-2</v>
      </c>
      <c r="K44" s="3"/>
      <c r="L44" s="6">
        <f t="shared" si="2"/>
        <v>5399.4699999999993</v>
      </c>
      <c r="M44" s="3"/>
      <c r="N44" s="7">
        <f t="shared" si="3"/>
        <v>2.270010636464153</v>
      </c>
      <c r="O44" s="9"/>
      <c r="P44" s="6">
        <v>58680.15</v>
      </c>
      <c r="Q44" s="3"/>
      <c r="R44" s="7">
        <f t="shared" si="4"/>
        <v>0.14095529782783831</v>
      </c>
      <c r="S44" s="3"/>
      <c r="T44" s="6">
        <v>7380.36</v>
      </c>
      <c r="U44" s="3"/>
      <c r="V44" s="7">
        <f t="shared" si="5"/>
        <v>1.7296124263544453E-2</v>
      </c>
      <c r="W44" s="3"/>
      <c r="X44" s="6">
        <f t="shared" si="6"/>
        <v>51299.79</v>
      </c>
      <c r="Y44" s="3"/>
      <c r="Z44" s="7">
        <f t="shared" si="7"/>
        <v>6.9508519909597908</v>
      </c>
    </row>
    <row r="45" spans="1:26" s="70" customFormat="1" ht="15" hidden="1" customHeight="1" outlineLevel="2" x14ac:dyDescent="0.3">
      <c r="A45" s="21"/>
      <c r="B45" s="9" t="str">
        <f>CONCATENATE("          ","6008"," - ","STUDENT HOURLY-FICA EXEMPT")</f>
        <v xml:space="preserve">          6008 - STUDENT HOURLY-FICA EXEMPT</v>
      </c>
      <c r="C45" s="9"/>
      <c r="D45" s="6">
        <v>58.58</v>
      </c>
      <c r="E45" s="3"/>
      <c r="F45" s="7">
        <f t="shared" si="0"/>
        <v>1.5329853542064981E-3</v>
      </c>
      <c r="G45" s="3"/>
      <c r="H45" s="6">
        <v>0</v>
      </c>
      <c r="I45" s="3"/>
      <c r="J45" s="7">
        <f t="shared" si="1"/>
        <v>0</v>
      </c>
      <c r="K45" s="3"/>
      <c r="L45" s="6">
        <f t="shared" si="2"/>
        <v>58.58</v>
      </c>
      <c r="M45" s="3"/>
      <c r="N45" s="7">
        <f t="shared" si="3"/>
        <v>0</v>
      </c>
      <c r="O45" s="9"/>
      <c r="P45" s="6">
        <v>3296.85</v>
      </c>
      <c r="Q45" s="3"/>
      <c r="R45" s="7">
        <f t="shared" si="4"/>
        <v>7.9193470644452809E-3</v>
      </c>
      <c r="S45" s="3"/>
      <c r="T45" s="6">
        <v>23442.105</v>
      </c>
      <c r="U45" s="3"/>
      <c r="V45" s="7">
        <f t="shared" si="5"/>
        <v>5.4937369055040236E-2</v>
      </c>
      <c r="W45" s="3"/>
      <c r="X45" s="6">
        <f t="shared" si="6"/>
        <v>-20145.255000000001</v>
      </c>
      <c r="Y45" s="3"/>
      <c r="Z45" s="7">
        <f t="shared" si="7"/>
        <v>-0.85936203254784505</v>
      </c>
    </row>
    <row r="46" spans="1:26" s="70" customFormat="1" ht="15" hidden="1" customHeight="1" outlineLevel="2" x14ac:dyDescent="0.3">
      <c r="A46" s="21"/>
      <c r="B46" s="9" t="str">
        <f>CONCATENATE("          ","6009"," - ","TEMPORARY-SEASONAL")</f>
        <v xml:space="preserve">          6009 - TEMPORARY-SEASONAL</v>
      </c>
      <c r="C46" s="9"/>
      <c r="D46" s="6"/>
      <c r="E46" s="3"/>
      <c r="F46" s="7">
        <f t="shared" si="0"/>
        <v>0</v>
      </c>
      <c r="G46" s="3"/>
      <c r="H46" s="6">
        <v>0</v>
      </c>
      <c r="I46" s="3"/>
      <c r="J46" s="7">
        <f t="shared" si="1"/>
        <v>0</v>
      </c>
      <c r="K46" s="3"/>
      <c r="L46" s="6">
        <f t="shared" si="2"/>
        <v>0</v>
      </c>
      <c r="M46" s="3"/>
      <c r="N46" s="7">
        <f t="shared" si="3"/>
        <v>0</v>
      </c>
      <c r="O46" s="9"/>
      <c r="P46" s="6"/>
      <c r="Q46" s="3"/>
      <c r="R46" s="7">
        <f t="shared" si="4"/>
        <v>0</v>
      </c>
      <c r="S46" s="3"/>
      <c r="T46" s="6">
        <v>0</v>
      </c>
      <c r="U46" s="3"/>
      <c r="V46" s="7">
        <f t="shared" si="5"/>
        <v>0</v>
      </c>
      <c r="W46" s="3"/>
      <c r="X46" s="6">
        <f t="shared" si="6"/>
        <v>0</v>
      </c>
      <c r="Y46" s="3"/>
      <c r="Z46" s="7">
        <f t="shared" si="7"/>
        <v>0</v>
      </c>
    </row>
    <row r="47" spans="1:26" s="70" customFormat="1" ht="15" hidden="1" customHeight="1" outlineLevel="2" x14ac:dyDescent="0.3">
      <c r="A47" s="21"/>
      <c r="B47" s="9" t="str">
        <f>CONCATENATE("          ","6010"," - ","GRATUITY")</f>
        <v xml:space="preserve">          6010 - GRATUITY</v>
      </c>
      <c r="C47" s="9"/>
      <c r="D47" s="6"/>
      <c r="E47" s="3"/>
      <c r="F47" s="7">
        <f t="shared" si="0"/>
        <v>0</v>
      </c>
      <c r="G47" s="3"/>
      <c r="H47" s="6">
        <v>0</v>
      </c>
      <c r="I47" s="3"/>
      <c r="J47" s="7">
        <f t="shared" si="1"/>
        <v>0</v>
      </c>
      <c r="K47" s="3"/>
      <c r="L47" s="6">
        <f t="shared" si="2"/>
        <v>0</v>
      </c>
      <c r="M47" s="3"/>
      <c r="N47" s="7">
        <f t="shared" si="3"/>
        <v>0</v>
      </c>
      <c r="O47" s="9"/>
      <c r="P47" s="6"/>
      <c r="Q47" s="3"/>
      <c r="R47" s="7">
        <f t="shared" si="4"/>
        <v>0</v>
      </c>
      <c r="S47" s="3"/>
      <c r="T47" s="6">
        <v>0</v>
      </c>
      <c r="U47" s="3"/>
      <c r="V47" s="7">
        <f t="shared" si="5"/>
        <v>0</v>
      </c>
      <c r="W47" s="3"/>
      <c r="X47" s="6">
        <f t="shared" si="6"/>
        <v>0</v>
      </c>
      <c r="Y47" s="3"/>
      <c r="Z47" s="7">
        <f t="shared" si="7"/>
        <v>0</v>
      </c>
    </row>
    <row r="48" spans="1:26" s="69" customFormat="1" ht="15" customHeight="1" outlineLevel="1" collapsed="1" x14ac:dyDescent="0.3">
      <c r="A48" s="20"/>
      <c r="B48" s="11" t="str">
        <f>CONCATENATE("     ","Advertising/Promo                                 ")</f>
        <v xml:space="preserve">     Advertising/Promo                                 </v>
      </c>
      <c r="C48" s="11"/>
      <c r="D48" s="2">
        <f>SUM(OSRRefD22_2x_0)</f>
        <v>604.01</v>
      </c>
      <c r="E48" s="2"/>
      <c r="F48" s="5">
        <f t="shared" si="0"/>
        <v>1.5806392690240131E-2</v>
      </c>
      <c r="G48" s="2"/>
      <c r="H48" s="2">
        <f>SUM(OSRRefH22_2x_0)</f>
        <v>50</v>
      </c>
      <c r="I48" s="2"/>
      <c r="J48" s="5">
        <f t="shared" si="1"/>
        <v>8.2433435001236504E-4</v>
      </c>
      <c r="K48" s="2"/>
      <c r="L48" s="2">
        <f t="shared" si="2"/>
        <v>554.01</v>
      </c>
      <c r="M48" s="2"/>
      <c r="N48" s="5">
        <f t="shared" si="3"/>
        <v>11.0802</v>
      </c>
      <c r="O48" s="11"/>
      <c r="P48" s="2">
        <f>SUM(OSRRefP22_2x_0)</f>
        <v>2978.92</v>
      </c>
      <c r="Q48" s="2"/>
      <c r="R48" s="5">
        <f t="shared" si="4"/>
        <v>7.1556489853094119E-3</v>
      </c>
      <c r="S48" s="2"/>
      <c r="T48" s="2">
        <f>SUM(OSRRefT22_2x_0)</f>
        <v>600</v>
      </c>
      <c r="U48" s="2"/>
      <c r="V48" s="5">
        <f t="shared" si="5"/>
        <v>1.4061203732780884E-3</v>
      </c>
      <c r="W48" s="2"/>
      <c r="X48" s="2">
        <f t="shared" si="6"/>
        <v>2378.92</v>
      </c>
      <c r="Y48" s="2"/>
      <c r="Z48" s="5">
        <f t="shared" si="7"/>
        <v>3.964866666666667</v>
      </c>
    </row>
    <row r="49" spans="1:26" s="70" customFormat="1" ht="15" hidden="1" customHeight="1" outlineLevel="2" x14ac:dyDescent="0.3">
      <c r="A49" s="21"/>
      <c r="B49" s="9" t="str">
        <f>CONCATENATE("          ","6362"," - ","ADVERTISING EXPENSE")</f>
        <v xml:space="preserve">          6362 - ADVERTISING EXPENSE</v>
      </c>
      <c r="C49" s="9"/>
      <c r="D49" s="6">
        <v>604.01</v>
      </c>
      <c r="E49" s="3"/>
      <c r="F49" s="7">
        <f t="shared" si="0"/>
        <v>1.5806392690240131E-2</v>
      </c>
      <c r="G49" s="3"/>
      <c r="H49" s="6">
        <v>50</v>
      </c>
      <c r="I49" s="3"/>
      <c r="J49" s="7">
        <f t="shared" si="1"/>
        <v>8.2433435001236504E-4</v>
      </c>
      <c r="K49" s="3"/>
      <c r="L49" s="6">
        <f t="shared" si="2"/>
        <v>554.01</v>
      </c>
      <c r="M49" s="3"/>
      <c r="N49" s="7">
        <f t="shared" si="3"/>
        <v>11.0802</v>
      </c>
      <c r="O49" s="9"/>
      <c r="P49" s="6">
        <v>2978.92</v>
      </c>
      <c r="Q49" s="3"/>
      <c r="R49" s="7">
        <f t="shared" si="4"/>
        <v>7.1556489853094119E-3</v>
      </c>
      <c r="S49" s="3"/>
      <c r="T49" s="6">
        <v>600</v>
      </c>
      <c r="U49" s="3"/>
      <c r="V49" s="7">
        <f t="shared" si="5"/>
        <v>1.4061203732780884E-3</v>
      </c>
      <c r="W49" s="3"/>
      <c r="X49" s="6">
        <f t="shared" si="6"/>
        <v>2378.92</v>
      </c>
      <c r="Y49" s="3"/>
      <c r="Z49" s="7">
        <f t="shared" si="7"/>
        <v>3.964866666666667</v>
      </c>
    </row>
    <row r="50" spans="1:26" s="69" customFormat="1" ht="15" customHeight="1" outlineLevel="1" collapsed="1" x14ac:dyDescent="0.3">
      <c r="A50" s="20"/>
      <c r="B50" s="11" t="str">
        <f>CONCATENATE("     ","Bad Debts/Over/Short                              ")</f>
        <v xml:space="preserve">     Bad Debts/Over/Short                              </v>
      </c>
      <c r="C50" s="11"/>
      <c r="D50" s="2">
        <f>SUM(OSRRefD22_3x_0)</f>
        <v>59.49</v>
      </c>
      <c r="E50" s="2"/>
      <c r="F50" s="5">
        <f t="shared" si="0"/>
        <v>1.5567992270697263E-3</v>
      </c>
      <c r="G50" s="2"/>
      <c r="H50" s="2">
        <f>SUM(OSRRefH22_3x_0)</f>
        <v>10</v>
      </c>
      <c r="I50" s="2"/>
      <c r="J50" s="5">
        <f t="shared" si="1"/>
        <v>1.6486687000247301E-4</v>
      </c>
      <c r="K50" s="2"/>
      <c r="L50" s="2">
        <f t="shared" si="2"/>
        <v>49.49</v>
      </c>
      <c r="M50" s="2"/>
      <c r="N50" s="5">
        <f t="shared" si="3"/>
        <v>4.9489999999999998</v>
      </c>
      <c r="O50" s="11"/>
      <c r="P50" s="2">
        <f>SUM(OSRRefP22_3x_0)</f>
        <v>6.56</v>
      </c>
      <c r="Q50" s="2"/>
      <c r="R50" s="5">
        <f t="shared" si="4"/>
        <v>1.5757743525717288E-5</v>
      </c>
      <c r="S50" s="2"/>
      <c r="T50" s="2">
        <f>SUM(OSRRefT22_3x_0)</f>
        <v>120</v>
      </c>
      <c r="U50" s="2"/>
      <c r="V50" s="5">
        <f t="shared" si="5"/>
        <v>2.8122407465561768E-4</v>
      </c>
      <c r="W50" s="2"/>
      <c r="X50" s="2">
        <f t="shared" si="6"/>
        <v>-113.44</v>
      </c>
      <c r="Y50" s="2"/>
      <c r="Z50" s="5">
        <f t="shared" si="7"/>
        <v>-0.94533333333333336</v>
      </c>
    </row>
    <row r="51" spans="1:26" s="70" customFormat="1" ht="15" hidden="1" customHeight="1" outlineLevel="2" x14ac:dyDescent="0.3">
      <c r="A51" s="21"/>
      <c r="B51" s="9" t="str">
        <f>CONCATENATE("          ","6272"," - ","CASH (OVER/SHORT)")</f>
        <v xml:space="preserve">          6272 - CASH (OVER/SHORT)</v>
      </c>
      <c r="C51" s="9"/>
      <c r="D51" s="6">
        <v>59.49</v>
      </c>
      <c r="E51" s="3"/>
      <c r="F51" s="7">
        <f t="shared" si="0"/>
        <v>1.5567992270697263E-3</v>
      </c>
      <c r="G51" s="3"/>
      <c r="H51" s="6">
        <v>10</v>
      </c>
      <c r="I51" s="3"/>
      <c r="J51" s="7">
        <f t="shared" si="1"/>
        <v>1.6486687000247301E-4</v>
      </c>
      <c r="K51" s="3"/>
      <c r="L51" s="6">
        <f t="shared" si="2"/>
        <v>49.49</v>
      </c>
      <c r="M51" s="3"/>
      <c r="N51" s="7">
        <f t="shared" si="3"/>
        <v>4.9489999999999998</v>
      </c>
      <c r="O51" s="9"/>
      <c r="P51" s="6">
        <v>6.56</v>
      </c>
      <c r="Q51" s="3"/>
      <c r="R51" s="7">
        <f t="shared" si="4"/>
        <v>1.5757743525717288E-5</v>
      </c>
      <c r="S51" s="3"/>
      <c r="T51" s="6">
        <v>120</v>
      </c>
      <c r="U51" s="3"/>
      <c r="V51" s="7">
        <f t="shared" si="5"/>
        <v>2.8122407465561768E-4</v>
      </c>
      <c r="W51" s="3"/>
      <c r="X51" s="6">
        <f t="shared" si="6"/>
        <v>-113.44</v>
      </c>
      <c r="Y51" s="3"/>
      <c r="Z51" s="7">
        <f t="shared" si="7"/>
        <v>-0.94533333333333336</v>
      </c>
    </row>
    <row r="52" spans="1:26" s="69" customFormat="1" ht="15" customHeight="1" outlineLevel="1" collapsed="1" x14ac:dyDescent="0.3">
      <c r="A52" s="20"/>
      <c r="B52" s="11" t="str">
        <f>CONCATENATE("     ","Bank/card Fees                                    ")</f>
        <v xml:space="preserve">     Bank/card Fees                                    </v>
      </c>
      <c r="C52" s="11"/>
      <c r="D52" s="2">
        <f>SUM(OSRRefD22_4x_0)</f>
        <v>613.19000000000005</v>
      </c>
      <c r="E52" s="2"/>
      <c r="F52" s="5">
        <f t="shared" si="0"/>
        <v>1.6046624946157096E-2</v>
      </c>
      <c r="G52" s="2"/>
      <c r="H52" s="2">
        <f>SUM(OSRRefH22_4x_0)</f>
        <v>1118</v>
      </c>
      <c r="I52" s="2"/>
      <c r="J52" s="5">
        <f t="shared" si="1"/>
        <v>1.8432116066276483E-2</v>
      </c>
      <c r="K52" s="2"/>
      <c r="L52" s="2">
        <f t="shared" si="2"/>
        <v>-504.80999999999995</v>
      </c>
      <c r="M52" s="2"/>
      <c r="N52" s="5">
        <f t="shared" si="3"/>
        <v>-0.45152951699463323</v>
      </c>
      <c r="O52" s="11"/>
      <c r="P52" s="2">
        <f>SUM(OSRRefP22_4x_0)</f>
        <v>6814.66</v>
      </c>
      <c r="Q52" s="2"/>
      <c r="R52" s="5">
        <f t="shared" si="4"/>
        <v>1.6369461051061674E-2</v>
      </c>
      <c r="S52" s="2"/>
      <c r="T52" s="2">
        <f>SUM(OSRRefT22_4x_0)</f>
        <v>8163</v>
      </c>
      <c r="U52" s="2"/>
      <c r="V52" s="5">
        <f t="shared" si="5"/>
        <v>1.9130267678448394E-2</v>
      </c>
      <c r="W52" s="2"/>
      <c r="X52" s="2">
        <f t="shared" si="6"/>
        <v>-1348.3400000000001</v>
      </c>
      <c r="Y52" s="2"/>
      <c r="Z52" s="5">
        <f t="shared" si="7"/>
        <v>-0.16517701825309325</v>
      </c>
    </row>
    <row r="53" spans="1:26" s="70" customFormat="1" ht="15" hidden="1" customHeight="1" outlineLevel="2" x14ac:dyDescent="0.3">
      <c r="A53" s="21"/>
      <c r="B53" s="9" t="str">
        <f>CONCATENATE("          ","6381"," - ","BANK/CREDIT CARD FEES")</f>
        <v xml:space="preserve">          6381 - BANK/CREDIT CARD FEES</v>
      </c>
      <c r="C53" s="9"/>
      <c r="D53" s="6">
        <v>613.19000000000005</v>
      </c>
      <c r="E53" s="3"/>
      <c r="F53" s="7">
        <f t="shared" si="0"/>
        <v>1.6046624946157096E-2</v>
      </c>
      <c r="G53" s="3"/>
      <c r="H53" s="6">
        <v>1118</v>
      </c>
      <c r="I53" s="3"/>
      <c r="J53" s="7">
        <f t="shared" si="1"/>
        <v>1.8432116066276483E-2</v>
      </c>
      <c r="K53" s="3"/>
      <c r="L53" s="6">
        <f t="shared" si="2"/>
        <v>-504.80999999999995</v>
      </c>
      <c r="M53" s="3"/>
      <c r="N53" s="7">
        <f t="shared" si="3"/>
        <v>-0.45152951699463323</v>
      </c>
      <c r="O53" s="9"/>
      <c r="P53" s="6">
        <v>6814.66</v>
      </c>
      <c r="Q53" s="3"/>
      <c r="R53" s="7">
        <f t="shared" si="4"/>
        <v>1.6369461051061674E-2</v>
      </c>
      <c r="S53" s="3"/>
      <c r="T53" s="6">
        <v>8163</v>
      </c>
      <c r="U53" s="3"/>
      <c r="V53" s="7">
        <f t="shared" si="5"/>
        <v>1.9130267678448394E-2</v>
      </c>
      <c r="W53" s="3"/>
      <c r="X53" s="6">
        <f t="shared" si="6"/>
        <v>-1348.3400000000001</v>
      </c>
      <c r="Y53" s="3"/>
      <c r="Z53" s="7">
        <f t="shared" si="7"/>
        <v>-0.16517701825309325</v>
      </c>
    </row>
    <row r="54" spans="1:26" s="69" customFormat="1" ht="15" customHeight="1" outlineLevel="1" collapsed="1" x14ac:dyDescent="0.3">
      <c r="A54" s="20"/>
      <c r="B54" s="11" t="str">
        <f>CONCATENATE("     ","Employees' Appreciation                           ")</f>
        <v xml:space="preserve">     Employees' Appreciation                           </v>
      </c>
      <c r="C54" s="11"/>
      <c r="D54" s="2">
        <f>SUM(OSRRefD22_5x_0)</f>
        <v>0</v>
      </c>
      <c r="E54" s="2"/>
      <c r="F54" s="5">
        <f t="shared" si="0"/>
        <v>0</v>
      </c>
      <c r="G54" s="2"/>
      <c r="H54" s="2">
        <f>SUM(OSRRefH22_5x_0)</f>
        <v>25</v>
      </c>
      <c r="I54" s="2"/>
      <c r="J54" s="5">
        <f t="shared" si="1"/>
        <v>4.1216717500618252E-4</v>
      </c>
      <c r="K54" s="2"/>
      <c r="L54" s="2">
        <f t="shared" si="2"/>
        <v>-25</v>
      </c>
      <c r="M54" s="2"/>
      <c r="N54" s="5">
        <f t="shared" si="3"/>
        <v>-1</v>
      </c>
      <c r="O54" s="11"/>
      <c r="P54" s="2">
        <f>SUM(OSRRefP22_5x_0)</f>
        <v>0</v>
      </c>
      <c r="Q54" s="2"/>
      <c r="R54" s="5">
        <f t="shared" si="4"/>
        <v>0</v>
      </c>
      <c r="S54" s="2"/>
      <c r="T54" s="2">
        <f>SUM(OSRRefT22_5x_0)</f>
        <v>300</v>
      </c>
      <c r="U54" s="2"/>
      <c r="V54" s="5">
        <f t="shared" si="5"/>
        <v>7.0306018663904421E-4</v>
      </c>
      <c r="W54" s="2"/>
      <c r="X54" s="2">
        <f t="shared" si="6"/>
        <v>-300</v>
      </c>
      <c r="Y54" s="2"/>
      <c r="Z54" s="5">
        <f t="shared" si="7"/>
        <v>-1</v>
      </c>
    </row>
    <row r="55" spans="1:26" s="70" customFormat="1" ht="15" hidden="1" customHeight="1" outlineLevel="2" x14ac:dyDescent="0.3">
      <c r="A55" s="21"/>
      <c r="B55" s="9" t="str">
        <f>CONCATENATE("          ","6277"," - ","EMPLOYEE APPRECIATION")</f>
        <v xml:space="preserve">          6277 - EMPLOYEE APPRECIATION</v>
      </c>
      <c r="C55" s="9"/>
      <c r="D55" s="6"/>
      <c r="E55" s="3"/>
      <c r="F55" s="7">
        <f t="shared" si="0"/>
        <v>0</v>
      </c>
      <c r="G55" s="3"/>
      <c r="H55" s="6">
        <v>25</v>
      </c>
      <c r="I55" s="3"/>
      <c r="J55" s="7">
        <f t="shared" si="1"/>
        <v>4.1216717500618252E-4</v>
      </c>
      <c r="K55" s="3"/>
      <c r="L55" s="6">
        <f t="shared" si="2"/>
        <v>-25</v>
      </c>
      <c r="M55" s="3"/>
      <c r="N55" s="7">
        <f t="shared" si="3"/>
        <v>-1</v>
      </c>
      <c r="O55" s="9"/>
      <c r="P55" s="6"/>
      <c r="Q55" s="3"/>
      <c r="R55" s="7">
        <f t="shared" si="4"/>
        <v>0</v>
      </c>
      <c r="S55" s="3"/>
      <c r="T55" s="6">
        <v>300</v>
      </c>
      <c r="U55" s="3"/>
      <c r="V55" s="7">
        <f t="shared" si="5"/>
        <v>7.0306018663904421E-4</v>
      </c>
      <c r="W55" s="3"/>
      <c r="X55" s="6">
        <f t="shared" si="6"/>
        <v>-300</v>
      </c>
      <c r="Y55" s="3"/>
      <c r="Z55" s="7">
        <f t="shared" si="7"/>
        <v>-1</v>
      </c>
    </row>
    <row r="56" spans="1:26" s="69" customFormat="1" ht="15" customHeight="1" outlineLevel="1" collapsed="1" x14ac:dyDescent="0.3">
      <c r="A56" s="20"/>
      <c r="B56" s="11" t="str">
        <f>CONCATENATE("     ","General                                           ")</f>
        <v xml:space="preserve">     General                                           </v>
      </c>
      <c r="C56" s="11"/>
      <c r="D56" s="2">
        <f>SUM(OSRRefD22_6x_0)</f>
        <v>0</v>
      </c>
      <c r="E56" s="2"/>
      <c r="F56" s="5">
        <f t="shared" si="0"/>
        <v>0</v>
      </c>
      <c r="G56" s="2"/>
      <c r="H56" s="2">
        <f>SUM(OSRRefH22_6x_0)</f>
        <v>0</v>
      </c>
      <c r="I56" s="2"/>
      <c r="J56" s="5">
        <f t="shared" si="1"/>
        <v>0</v>
      </c>
      <c r="K56" s="2"/>
      <c r="L56" s="2">
        <f t="shared" si="2"/>
        <v>0</v>
      </c>
      <c r="M56" s="2"/>
      <c r="N56" s="5">
        <f t="shared" si="3"/>
        <v>0</v>
      </c>
      <c r="O56" s="11"/>
      <c r="P56" s="2">
        <f>SUM(OSRRefP22_6x_0)</f>
        <v>1414.19</v>
      </c>
      <c r="Q56" s="2"/>
      <c r="R56" s="5">
        <f t="shared" si="4"/>
        <v>3.3970187982673983E-3</v>
      </c>
      <c r="S56" s="2"/>
      <c r="T56" s="2">
        <f>SUM(OSRRefT22_6x_0)</f>
        <v>1250</v>
      </c>
      <c r="U56" s="2"/>
      <c r="V56" s="5">
        <f t="shared" si="5"/>
        <v>2.9294174443293508E-3</v>
      </c>
      <c r="W56" s="2"/>
      <c r="X56" s="2">
        <f t="shared" si="6"/>
        <v>164.19000000000005</v>
      </c>
      <c r="Y56" s="2"/>
      <c r="Z56" s="5">
        <f t="shared" si="7"/>
        <v>0.13135200000000005</v>
      </c>
    </row>
    <row r="57" spans="1:26" s="70" customFormat="1" ht="15" hidden="1" customHeight="1" outlineLevel="2" x14ac:dyDescent="0.3">
      <c r="A57" s="21"/>
      <c r="B57" s="9" t="str">
        <f>CONCATENATE("          ","6276"," - ","PROPERTY TAX")</f>
        <v xml:space="preserve">          6276 - PROPERTY TAX</v>
      </c>
      <c r="C57" s="9"/>
      <c r="D57" s="6"/>
      <c r="E57" s="3"/>
      <c r="F57" s="7">
        <f t="shared" si="0"/>
        <v>0</v>
      </c>
      <c r="G57" s="3"/>
      <c r="H57" s="6"/>
      <c r="I57" s="3"/>
      <c r="J57" s="7">
        <f t="shared" si="1"/>
        <v>0</v>
      </c>
      <c r="K57" s="3"/>
      <c r="L57" s="6">
        <f t="shared" si="2"/>
        <v>0</v>
      </c>
      <c r="M57" s="3"/>
      <c r="N57" s="7">
        <f t="shared" si="3"/>
        <v>0</v>
      </c>
      <c r="O57" s="9"/>
      <c r="P57" s="6"/>
      <c r="Q57" s="3"/>
      <c r="R57" s="7">
        <f t="shared" si="4"/>
        <v>0</v>
      </c>
      <c r="S57" s="3"/>
      <c r="T57" s="6">
        <v>1250</v>
      </c>
      <c r="U57" s="3"/>
      <c r="V57" s="7">
        <f t="shared" si="5"/>
        <v>2.9294174443293508E-3</v>
      </c>
      <c r="W57" s="3"/>
      <c r="X57" s="6">
        <f t="shared" si="6"/>
        <v>-1250</v>
      </c>
      <c r="Y57" s="3"/>
      <c r="Z57" s="7">
        <f t="shared" si="7"/>
        <v>-1</v>
      </c>
    </row>
    <row r="58" spans="1:26" s="70" customFormat="1" ht="15" hidden="1" customHeight="1" outlineLevel="2" x14ac:dyDescent="0.3">
      <c r="A58" s="21"/>
      <c r="B58" s="9" t="str">
        <f>CONCATENATE("          ","6279"," - ","GENERAL EXPENSE")</f>
        <v xml:space="preserve">          6279 - GENERAL EXPENSE</v>
      </c>
      <c r="C58" s="9"/>
      <c r="D58" s="6"/>
      <c r="E58" s="3"/>
      <c r="F58" s="7">
        <f t="shared" ref="F58:F86" si="8">IF(D$12=0,0,D58/D$12)</f>
        <v>0</v>
      </c>
      <c r="G58" s="3"/>
      <c r="H58" s="6"/>
      <c r="I58" s="3"/>
      <c r="J58" s="7">
        <f t="shared" ref="J58:J86" si="9">IF(H$12=0,0,H58/H$12)</f>
        <v>0</v>
      </c>
      <c r="K58" s="3"/>
      <c r="L58" s="6">
        <f t="shared" ref="L58:L86" si="10">+D58-H58</f>
        <v>0</v>
      </c>
      <c r="M58" s="3"/>
      <c r="N58" s="7">
        <f t="shared" ref="N58:N86" si="11">IF(H58=0,0,L58/H58)</f>
        <v>0</v>
      </c>
      <c r="O58" s="9"/>
      <c r="P58" s="6">
        <v>1414.19</v>
      </c>
      <c r="Q58" s="3"/>
      <c r="R58" s="7">
        <f t="shared" ref="R58:R86" si="12">IF(P$12=0,0,P58/P$12)</f>
        <v>3.3970187982673983E-3</v>
      </c>
      <c r="S58" s="3"/>
      <c r="T58" s="6"/>
      <c r="U58" s="3"/>
      <c r="V58" s="7">
        <f t="shared" ref="V58:V86" si="13">IF(T$12=0,0,T58/T$12)</f>
        <v>0</v>
      </c>
      <c r="W58" s="3"/>
      <c r="X58" s="6">
        <f t="shared" ref="X58:X86" si="14">+P58-T58</f>
        <v>1414.19</v>
      </c>
      <c r="Y58" s="3"/>
      <c r="Z58" s="7">
        <f t="shared" ref="Z58:Z86" si="15">IF(T58=0,0,X58/T58)</f>
        <v>0</v>
      </c>
    </row>
    <row r="59" spans="1:26" s="69" customFormat="1" ht="15" customHeight="1" outlineLevel="1" collapsed="1" x14ac:dyDescent="0.3">
      <c r="A59" s="20"/>
      <c r="B59" s="11" t="str">
        <f>CONCATENATE("     ","Insurance                                         ")</f>
        <v xml:space="preserve">     Insurance                                         </v>
      </c>
      <c r="C59" s="11"/>
      <c r="D59" s="2">
        <f>SUM(OSRRefD22_7x_0)</f>
        <v>-68.040000000000006</v>
      </c>
      <c r="E59" s="2"/>
      <c r="F59" s="5">
        <f t="shared" si="8"/>
        <v>-1.7805449556198385E-3</v>
      </c>
      <c r="G59" s="2"/>
      <c r="H59" s="2">
        <f>SUM(OSRRefH22_7x_0)</f>
        <v>175</v>
      </c>
      <c r="I59" s="2"/>
      <c r="J59" s="5">
        <f t="shared" si="9"/>
        <v>2.8851702250432777E-3</v>
      </c>
      <c r="K59" s="2"/>
      <c r="L59" s="2">
        <f t="shared" si="10"/>
        <v>-243.04000000000002</v>
      </c>
      <c r="M59" s="2"/>
      <c r="N59" s="5">
        <f t="shared" si="11"/>
        <v>-1.3888</v>
      </c>
      <c r="O59" s="11"/>
      <c r="P59" s="2">
        <f>SUM(OSRRefP22_7x_0)</f>
        <v>2341.84</v>
      </c>
      <c r="Q59" s="2"/>
      <c r="R59" s="5">
        <f t="shared" si="12"/>
        <v>5.6253222710771003E-3</v>
      </c>
      <c r="S59" s="2"/>
      <c r="T59" s="2">
        <f>SUM(OSRRefT22_7x_0)</f>
        <v>2100</v>
      </c>
      <c r="U59" s="2"/>
      <c r="V59" s="5">
        <f t="shared" si="13"/>
        <v>4.9214213064733099E-3</v>
      </c>
      <c r="W59" s="2"/>
      <c r="X59" s="2">
        <f t="shared" si="14"/>
        <v>241.84000000000015</v>
      </c>
      <c r="Y59" s="2"/>
      <c r="Z59" s="5">
        <f t="shared" si="15"/>
        <v>0.11516190476190483</v>
      </c>
    </row>
    <row r="60" spans="1:26" s="70" customFormat="1" ht="15" hidden="1" customHeight="1" outlineLevel="2" x14ac:dyDescent="0.3">
      <c r="A60" s="21"/>
      <c r="B60" s="9" t="str">
        <f>CONCATENATE("          ","6314"," - ","LIABILITY INSURANCE")</f>
        <v xml:space="preserve">          6314 - LIABILITY INSURANCE</v>
      </c>
      <c r="C60" s="9"/>
      <c r="D60" s="6">
        <v>-68.040000000000006</v>
      </c>
      <c r="E60" s="3"/>
      <c r="F60" s="7">
        <f t="shared" si="8"/>
        <v>-1.7805449556198385E-3</v>
      </c>
      <c r="G60" s="3"/>
      <c r="H60" s="6">
        <v>175</v>
      </c>
      <c r="I60" s="3"/>
      <c r="J60" s="7">
        <f t="shared" si="9"/>
        <v>2.8851702250432777E-3</v>
      </c>
      <c r="K60" s="3"/>
      <c r="L60" s="6">
        <f t="shared" si="10"/>
        <v>-243.04000000000002</v>
      </c>
      <c r="M60" s="3"/>
      <c r="N60" s="7">
        <f t="shared" si="11"/>
        <v>-1.3888</v>
      </c>
      <c r="O60" s="9"/>
      <c r="P60" s="6">
        <v>2341.84</v>
      </c>
      <c r="Q60" s="3"/>
      <c r="R60" s="7">
        <f t="shared" si="12"/>
        <v>5.6253222710771003E-3</v>
      </c>
      <c r="S60" s="3"/>
      <c r="T60" s="6">
        <v>2100</v>
      </c>
      <c r="U60" s="3"/>
      <c r="V60" s="7">
        <f t="shared" si="13"/>
        <v>4.9214213064733099E-3</v>
      </c>
      <c r="W60" s="3"/>
      <c r="X60" s="6">
        <f t="shared" si="14"/>
        <v>241.84000000000015</v>
      </c>
      <c r="Y60" s="3"/>
      <c r="Z60" s="7">
        <f t="shared" si="15"/>
        <v>0.11516190476190483</v>
      </c>
    </row>
    <row r="61" spans="1:26" s="69" customFormat="1" ht="15" customHeight="1" outlineLevel="1" collapsed="1" x14ac:dyDescent="0.3">
      <c r="A61" s="20"/>
      <c r="B61" s="11" t="str">
        <f>CONCATENATE("     ","Inventory Adjustment                              ")</f>
        <v xml:space="preserve">     Inventory Adjustment                              </v>
      </c>
      <c r="C61" s="11"/>
      <c r="D61" s="2">
        <f>SUM(OSRRefD22_8x_0)</f>
        <v>-1100</v>
      </c>
      <c r="E61" s="2"/>
      <c r="F61" s="5">
        <f t="shared" si="8"/>
        <v>-2.878600016434189E-2</v>
      </c>
      <c r="G61" s="2"/>
      <c r="H61" s="2">
        <f>SUM(OSRRefH22_8x_0)</f>
        <v>100</v>
      </c>
      <c r="I61" s="2"/>
      <c r="J61" s="5">
        <f t="shared" si="9"/>
        <v>1.6486687000247301E-3</v>
      </c>
      <c r="K61" s="2"/>
      <c r="L61" s="2">
        <f t="shared" si="10"/>
        <v>-1200</v>
      </c>
      <c r="M61" s="2"/>
      <c r="N61" s="5">
        <f t="shared" si="11"/>
        <v>-12</v>
      </c>
      <c r="O61" s="11"/>
      <c r="P61" s="2">
        <f>SUM(OSRRefP22_8x_0)</f>
        <v>0</v>
      </c>
      <c r="Q61" s="2"/>
      <c r="R61" s="5">
        <f t="shared" si="12"/>
        <v>0</v>
      </c>
      <c r="S61" s="2"/>
      <c r="T61" s="2">
        <f>SUM(OSRRefT22_8x_0)</f>
        <v>1200</v>
      </c>
      <c r="U61" s="2"/>
      <c r="V61" s="5">
        <f t="shared" si="13"/>
        <v>2.8122407465561768E-3</v>
      </c>
      <c r="W61" s="2"/>
      <c r="X61" s="2">
        <f t="shared" si="14"/>
        <v>-1200</v>
      </c>
      <c r="Y61" s="2"/>
      <c r="Z61" s="5">
        <f t="shared" si="15"/>
        <v>-1</v>
      </c>
    </row>
    <row r="62" spans="1:26" s="70" customFormat="1" ht="15" hidden="1" customHeight="1" outlineLevel="2" x14ac:dyDescent="0.3">
      <c r="A62" s="21"/>
      <c r="B62" s="9" t="str">
        <f>CONCATENATE("          ","6408"," - ","INVENTORY ADJUSTMENT")</f>
        <v xml:space="preserve">          6408 - INVENTORY ADJUSTMENT</v>
      </c>
      <c r="C62" s="9"/>
      <c r="D62" s="6">
        <v>-1100</v>
      </c>
      <c r="E62" s="3"/>
      <c r="F62" s="7">
        <f t="shared" si="8"/>
        <v>-2.878600016434189E-2</v>
      </c>
      <c r="G62" s="3"/>
      <c r="H62" s="6">
        <v>100</v>
      </c>
      <c r="I62" s="3"/>
      <c r="J62" s="7">
        <f t="shared" si="9"/>
        <v>1.6486687000247301E-3</v>
      </c>
      <c r="K62" s="3"/>
      <c r="L62" s="6">
        <f t="shared" si="10"/>
        <v>-1200</v>
      </c>
      <c r="M62" s="3"/>
      <c r="N62" s="7">
        <f t="shared" si="11"/>
        <v>-12</v>
      </c>
      <c r="O62" s="9"/>
      <c r="P62" s="6">
        <v>0</v>
      </c>
      <c r="Q62" s="3"/>
      <c r="R62" s="7">
        <f t="shared" si="12"/>
        <v>0</v>
      </c>
      <c r="S62" s="3"/>
      <c r="T62" s="6">
        <v>1200</v>
      </c>
      <c r="U62" s="3"/>
      <c r="V62" s="7">
        <f t="shared" si="13"/>
        <v>2.8122407465561768E-3</v>
      </c>
      <c r="W62" s="3"/>
      <c r="X62" s="6">
        <f t="shared" si="14"/>
        <v>-1200</v>
      </c>
      <c r="Y62" s="3"/>
      <c r="Z62" s="7">
        <f t="shared" si="15"/>
        <v>-1</v>
      </c>
    </row>
    <row r="63" spans="1:26" s="69" customFormat="1" ht="15" customHeight="1" outlineLevel="1" collapsed="1" x14ac:dyDescent="0.3">
      <c r="A63" s="20"/>
      <c r="B63" s="11" t="str">
        <f>CONCATENATE("     ","Professional Services                             ")</f>
        <v xml:space="preserve">     Professional Services                             </v>
      </c>
      <c r="C63" s="11"/>
      <c r="D63" s="2">
        <f>SUM(OSRRefD22_9x_0)</f>
        <v>0</v>
      </c>
      <c r="E63" s="2"/>
      <c r="F63" s="5">
        <f t="shared" si="8"/>
        <v>0</v>
      </c>
      <c r="G63" s="2"/>
      <c r="H63" s="2">
        <f>SUM(OSRRefH22_9x_0)</f>
        <v>0</v>
      </c>
      <c r="I63" s="2"/>
      <c r="J63" s="5">
        <f t="shared" si="9"/>
        <v>0</v>
      </c>
      <c r="K63" s="2"/>
      <c r="L63" s="2">
        <f t="shared" si="10"/>
        <v>0</v>
      </c>
      <c r="M63" s="2"/>
      <c r="N63" s="5">
        <f t="shared" si="11"/>
        <v>0</v>
      </c>
      <c r="O63" s="11"/>
      <c r="P63" s="2">
        <f>SUM(OSRRefP22_9x_0)</f>
        <v>161.46</v>
      </c>
      <c r="Q63" s="2"/>
      <c r="R63" s="5">
        <f t="shared" si="12"/>
        <v>3.8784226671681606E-4</v>
      </c>
      <c r="S63" s="2"/>
      <c r="T63" s="2">
        <f>SUM(OSRRefT22_9x_0)</f>
        <v>750</v>
      </c>
      <c r="U63" s="2"/>
      <c r="V63" s="5">
        <f t="shared" si="13"/>
        <v>1.7576504665976105E-3</v>
      </c>
      <c r="W63" s="2"/>
      <c r="X63" s="2">
        <f t="shared" si="14"/>
        <v>-588.54</v>
      </c>
      <c r="Y63" s="2"/>
      <c r="Z63" s="5">
        <f t="shared" si="15"/>
        <v>-0.78471999999999997</v>
      </c>
    </row>
    <row r="64" spans="1:26" s="70" customFormat="1" ht="15" hidden="1" customHeight="1" outlineLevel="2" x14ac:dyDescent="0.3">
      <c r="A64" s="21"/>
      <c r="B64" s="9" t="str">
        <f>CONCATENATE("          ","6336"," - ","PROFESSIONAL SERVICES")</f>
        <v xml:space="preserve">          6336 - PROFESSIONAL SERVICES</v>
      </c>
      <c r="C64" s="9"/>
      <c r="D64" s="6"/>
      <c r="E64" s="3"/>
      <c r="F64" s="7">
        <f t="shared" si="8"/>
        <v>0</v>
      </c>
      <c r="G64" s="3"/>
      <c r="H64" s="6"/>
      <c r="I64" s="3"/>
      <c r="J64" s="7">
        <f t="shared" si="9"/>
        <v>0</v>
      </c>
      <c r="K64" s="3"/>
      <c r="L64" s="6">
        <f t="shared" si="10"/>
        <v>0</v>
      </c>
      <c r="M64" s="3"/>
      <c r="N64" s="7">
        <f t="shared" si="11"/>
        <v>0</v>
      </c>
      <c r="O64" s="9"/>
      <c r="P64" s="6">
        <v>161.46</v>
      </c>
      <c r="Q64" s="3"/>
      <c r="R64" s="7">
        <f t="shared" si="12"/>
        <v>3.8784226671681606E-4</v>
      </c>
      <c r="S64" s="3"/>
      <c r="T64" s="6">
        <v>750</v>
      </c>
      <c r="U64" s="3"/>
      <c r="V64" s="7">
        <f t="shared" si="13"/>
        <v>1.7576504665976105E-3</v>
      </c>
      <c r="W64" s="3"/>
      <c r="X64" s="6">
        <f t="shared" si="14"/>
        <v>-588.54</v>
      </c>
      <c r="Y64" s="3"/>
      <c r="Z64" s="7">
        <f t="shared" si="15"/>
        <v>-0.78471999999999997</v>
      </c>
    </row>
    <row r="65" spans="1:26" s="69" customFormat="1" ht="15" customHeight="1" outlineLevel="1" collapsed="1" x14ac:dyDescent="0.3">
      <c r="A65" s="20"/>
      <c r="B65" s="11" t="str">
        <f>CONCATENATE("     ","Rent                                              ")</f>
        <v xml:space="preserve">     Rent                                              </v>
      </c>
      <c r="C65" s="11"/>
      <c r="D65" s="2">
        <f>SUM(OSRRefD22_10x_0)</f>
        <v>6900</v>
      </c>
      <c r="E65" s="2"/>
      <c r="F65" s="5">
        <f t="shared" si="8"/>
        <v>0.18056672830359913</v>
      </c>
      <c r="G65" s="2"/>
      <c r="H65" s="2">
        <f>SUM(OSRRefH22_10x_0)</f>
        <v>6900</v>
      </c>
      <c r="I65" s="2"/>
      <c r="J65" s="5">
        <f t="shared" si="9"/>
        <v>0.11375814030170638</v>
      </c>
      <c r="K65" s="2"/>
      <c r="L65" s="2">
        <f t="shared" si="10"/>
        <v>0</v>
      </c>
      <c r="M65" s="2"/>
      <c r="N65" s="5">
        <f t="shared" si="11"/>
        <v>0</v>
      </c>
      <c r="O65" s="11"/>
      <c r="P65" s="2">
        <f>SUM(OSRRefP22_10x_0)</f>
        <v>82800</v>
      </c>
      <c r="Q65" s="2"/>
      <c r="R65" s="5">
        <f t="shared" si="12"/>
        <v>0.19889347011118771</v>
      </c>
      <c r="S65" s="2"/>
      <c r="T65" s="2">
        <f>SUM(OSRRefT22_10x_0)</f>
        <v>82800</v>
      </c>
      <c r="U65" s="2"/>
      <c r="V65" s="5">
        <f t="shared" si="13"/>
        <v>0.1940446115123762</v>
      </c>
      <c r="W65" s="2"/>
      <c r="X65" s="2">
        <f t="shared" si="14"/>
        <v>0</v>
      </c>
      <c r="Y65" s="2"/>
      <c r="Z65" s="5">
        <f t="shared" si="15"/>
        <v>0</v>
      </c>
    </row>
    <row r="66" spans="1:26" s="70" customFormat="1" ht="15" hidden="1" customHeight="1" outlineLevel="2" x14ac:dyDescent="0.3">
      <c r="A66" s="21"/>
      <c r="B66" s="9" t="str">
        <f>CONCATENATE("          ","6273"," - ","RENT")</f>
        <v xml:space="preserve">          6273 - RENT</v>
      </c>
      <c r="C66" s="9"/>
      <c r="D66" s="6">
        <v>6900</v>
      </c>
      <c r="E66" s="3"/>
      <c r="F66" s="7">
        <f t="shared" si="8"/>
        <v>0.18056672830359913</v>
      </c>
      <c r="G66" s="3"/>
      <c r="H66" s="6">
        <v>6900</v>
      </c>
      <c r="I66" s="3"/>
      <c r="J66" s="7">
        <f t="shared" si="9"/>
        <v>0.11375814030170638</v>
      </c>
      <c r="K66" s="3"/>
      <c r="L66" s="6">
        <f t="shared" si="10"/>
        <v>0</v>
      </c>
      <c r="M66" s="3"/>
      <c r="N66" s="7">
        <f t="shared" si="11"/>
        <v>0</v>
      </c>
      <c r="O66" s="9"/>
      <c r="P66" s="6">
        <v>82800</v>
      </c>
      <c r="Q66" s="3"/>
      <c r="R66" s="7">
        <f t="shared" si="12"/>
        <v>0.19889347011118771</v>
      </c>
      <c r="S66" s="3"/>
      <c r="T66" s="6">
        <v>82800</v>
      </c>
      <c r="U66" s="3"/>
      <c r="V66" s="7">
        <f t="shared" si="13"/>
        <v>0.1940446115123762</v>
      </c>
      <c r="W66" s="3"/>
      <c r="X66" s="6">
        <f t="shared" si="14"/>
        <v>0</v>
      </c>
      <c r="Y66" s="3"/>
      <c r="Z66" s="7">
        <f t="shared" si="15"/>
        <v>0</v>
      </c>
    </row>
    <row r="67" spans="1:26" s="69" customFormat="1" ht="15" customHeight="1" outlineLevel="1" collapsed="1" x14ac:dyDescent="0.3">
      <c r="A67" s="20"/>
      <c r="B67" s="11" t="str">
        <f>CONCATENATE("     ","Repair and Maintenance                            ")</f>
        <v xml:space="preserve">     Repair and Maintenance                            </v>
      </c>
      <c r="C67" s="11"/>
      <c r="D67" s="2">
        <f>SUM(OSRRefD22_11x_0)</f>
        <v>0</v>
      </c>
      <c r="E67" s="2"/>
      <c r="F67" s="5">
        <f t="shared" si="8"/>
        <v>0</v>
      </c>
      <c r="G67" s="2"/>
      <c r="H67" s="2">
        <f>SUM(OSRRefH22_11x_0)</f>
        <v>115</v>
      </c>
      <c r="I67" s="2"/>
      <c r="J67" s="5">
        <f t="shared" si="9"/>
        <v>1.8959690050284396E-3</v>
      </c>
      <c r="K67" s="2"/>
      <c r="L67" s="2">
        <f t="shared" si="10"/>
        <v>-115</v>
      </c>
      <c r="M67" s="2"/>
      <c r="N67" s="5">
        <f t="shared" si="11"/>
        <v>-1</v>
      </c>
      <c r="O67" s="11"/>
      <c r="P67" s="2">
        <f>SUM(OSRRefP22_11x_0)</f>
        <v>1519.57</v>
      </c>
      <c r="Q67" s="2"/>
      <c r="R67" s="5">
        <f t="shared" si="12"/>
        <v>3.6501515745997284E-3</v>
      </c>
      <c r="S67" s="2"/>
      <c r="T67" s="2">
        <f>SUM(OSRRefT22_11x_0)</f>
        <v>1880</v>
      </c>
      <c r="U67" s="2"/>
      <c r="V67" s="5">
        <f t="shared" si="13"/>
        <v>4.4058438362713434E-3</v>
      </c>
      <c r="W67" s="2"/>
      <c r="X67" s="2">
        <f t="shared" si="14"/>
        <v>-360.43000000000006</v>
      </c>
      <c r="Y67" s="2"/>
      <c r="Z67" s="5">
        <f t="shared" si="15"/>
        <v>-0.19171808510638302</v>
      </c>
    </row>
    <row r="68" spans="1:26" s="70" customFormat="1" ht="15" hidden="1" customHeight="1" outlineLevel="2" x14ac:dyDescent="0.3">
      <c r="A68" s="21"/>
      <c r="B68" s="9" t="str">
        <f>CONCATENATE("          ","6373"," - ","MAINTENANCE CONTRACTS")</f>
        <v xml:space="preserve">          6373 - MAINTENANCE CONTRACTS</v>
      </c>
      <c r="C68" s="9"/>
      <c r="D68" s="6"/>
      <c r="E68" s="3"/>
      <c r="F68" s="7">
        <f t="shared" si="8"/>
        <v>0</v>
      </c>
      <c r="G68" s="3"/>
      <c r="H68" s="6">
        <v>115</v>
      </c>
      <c r="I68" s="3"/>
      <c r="J68" s="7">
        <f t="shared" si="9"/>
        <v>1.8959690050284396E-3</v>
      </c>
      <c r="K68" s="3"/>
      <c r="L68" s="6">
        <f t="shared" si="10"/>
        <v>-115</v>
      </c>
      <c r="M68" s="3"/>
      <c r="N68" s="7">
        <f t="shared" si="11"/>
        <v>-1</v>
      </c>
      <c r="O68" s="9"/>
      <c r="P68" s="6">
        <v>696.76</v>
      </c>
      <c r="Q68" s="3"/>
      <c r="R68" s="7">
        <f t="shared" si="12"/>
        <v>1.6736837467955454E-3</v>
      </c>
      <c r="S68" s="3"/>
      <c r="T68" s="6">
        <v>1380</v>
      </c>
      <c r="U68" s="3"/>
      <c r="V68" s="7">
        <f t="shared" si="13"/>
        <v>3.2340768585396034E-3</v>
      </c>
      <c r="W68" s="3"/>
      <c r="X68" s="6">
        <f t="shared" si="14"/>
        <v>-683.24</v>
      </c>
      <c r="Y68" s="3"/>
      <c r="Z68" s="7">
        <f t="shared" si="15"/>
        <v>-0.49510144927536232</v>
      </c>
    </row>
    <row r="69" spans="1:26" s="70" customFormat="1" ht="15" hidden="1" customHeight="1" outlineLevel="2" x14ac:dyDescent="0.3">
      <c r="A69" s="21"/>
      <c r="B69" s="9" t="str">
        <f>CONCATENATE("          ","6375"," - ","OUTSIDE REPAIRS &amp; MAINTENANCE")</f>
        <v xml:space="preserve">          6375 - OUTSIDE REPAIRS &amp; MAINTENANCE</v>
      </c>
      <c r="C69" s="9"/>
      <c r="D69" s="6"/>
      <c r="E69" s="3"/>
      <c r="F69" s="7">
        <f t="shared" si="8"/>
        <v>0</v>
      </c>
      <c r="G69" s="3"/>
      <c r="H69" s="6"/>
      <c r="I69" s="3"/>
      <c r="J69" s="7">
        <f t="shared" si="9"/>
        <v>0</v>
      </c>
      <c r="K69" s="3"/>
      <c r="L69" s="6">
        <f t="shared" si="10"/>
        <v>0</v>
      </c>
      <c r="M69" s="3"/>
      <c r="N69" s="7">
        <f t="shared" si="11"/>
        <v>0</v>
      </c>
      <c r="O69" s="9"/>
      <c r="P69" s="6">
        <v>822.81</v>
      </c>
      <c r="Q69" s="3"/>
      <c r="R69" s="7">
        <f t="shared" si="12"/>
        <v>1.9764678278041833E-3</v>
      </c>
      <c r="S69" s="3"/>
      <c r="T69" s="6">
        <v>500</v>
      </c>
      <c r="U69" s="3"/>
      <c r="V69" s="7">
        <f t="shared" si="13"/>
        <v>1.1717669777317403E-3</v>
      </c>
      <c r="W69" s="3"/>
      <c r="X69" s="6">
        <f t="shared" si="14"/>
        <v>322.80999999999995</v>
      </c>
      <c r="Y69" s="3"/>
      <c r="Z69" s="7">
        <f t="shared" si="15"/>
        <v>0.64561999999999986</v>
      </c>
    </row>
    <row r="70" spans="1:26" s="69" customFormat="1" ht="15" customHeight="1" outlineLevel="1" collapsed="1" x14ac:dyDescent="0.3">
      <c r="A70" s="20"/>
      <c r="B70" s="11" t="str">
        <f>CONCATENATE("     ","Services                                          ")</f>
        <v xml:space="preserve">     Services                                          </v>
      </c>
      <c r="C70" s="11"/>
      <c r="D70" s="2">
        <f>SUM(OSRRefD22_12x_0)</f>
        <v>223.45</v>
      </c>
      <c r="E70" s="2"/>
      <c r="F70" s="5">
        <f t="shared" si="8"/>
        <v>5.8474833970201768E-3</v>
      </c>
      <c r="G70" s="2"/>
      <c r="H70" s="2">
        <f>SUM(OSRRefH22_12x_0)</f>
        <v>120</v>
      </c>
      <c r="I70" s="2"/>
      <c r="J70" s="5">
        <f t="shared" si="9"/>
        <v>1.9784024400296761E-3</v>
      </c>
      <c r="K70" s="2"/>
      <c r="L70" s="2">
        <f t="shared" si="10"/>
        <v>103.44999999999999</v>
      </c>
      <c r="M70" s="2"/>
      <c r="N70" s="5">
        <f t="shared" si="11"/>
        <v>0.8620833333333332</v>
      </c>
      <c r="O70" s="11"/>
      <c r="P70" s="2">
        <f>SUM(OSRRefP22_12x_0)</f>
        <v>2099.46</v>
      </c>
      <c r="Q70" s="2"/>
      <c r="R70" s="5">
        <f t="shared" si="12"/>
        <v>5.043102472942442E-3</v>
      </c>
      <c r="S70" s="2"/>
      <c r="T70" s="2">
        <f>SUM(OSRRefT22_12x_0)</f>
        <v>960</v>
      </c>
      <c r="U70" s="2"/>
      <c r="V70" s="5">
        <f t="shared" si="13"/>
        <v>2.2497925972449415E-3</v>
      </c>
      <c r="W70" s="2"/>
      <c r="X70" s="2">
        <f t="shared" si="14"/>
        <v>1139.46</v>
      </c>
      <c r="Y70" s="2"/>
      <c r="Z70" s="5">
        <f t="shared" si="15"/>
        <v>1.1869375</v>
      </c>
    </row>
    <row r="71" spans="1:26" s="70" customFormat="1" ht="15" hidden="1" customHeight="1" outlineLevel="2" x14ac:dyDescent="0.3">
      <c r="A71" s="21"/>
      <c r="B71" s="9" t="str">
        <f>CONCATENATE("          ","6284"," - ","TRASH REMOVAL EXPENSE")</f>
        <v xml:space="preserve">          6284 - TRASH REMOVAL EXPENSE</v>
      </c>
      <c r="C71" s="9"/>
      <c r="D71" s="6">
        <v>149.69999999999999</v>
      </c>
      <c r="E71" s="3"/>
      <c r="F71" s="7">
        <f t="shared" si="8"/>
        <v>3.9175129314563458E-3</v>
      </c>
      <c r="G71" s="3"/>
      <c r="H71" s="6">
        <v>120</v>
      </c>
      <c r="I71" s="3"/>
      <c r="J71" s="7">
        <f t="shared" si="9"/>
        <v>1.9784024400296761E-3</v>
      </c>
      <c r="K71" s="3"/>
      <c r="L71" s="6">
        <f t="shared" si="10"/>
        <v>29.699999999999989</v>
      </c>
      <c r="M71" s="3"/>
      <c r="N71" s="7">
        <f t="shared" si="11"/>
        <v>0.24749999999999991</v>
      </c>
      <c r="O71" s="9"/>
      <c r="P71" s="6">
        <v>1639.57</v>
      </c>
      <c r="Q71" s="3"/>
      <c r="R71" s="7">
        <f t="shared" si="12"/>
        <v>3.9384029805579713E-3</v>
      </c>
      <c r="S71" s="3"/>
      <c r="T71" s="6">
        <v>960</v>
      </c>
      <c r="U71" s="3"/>
      <c r="V71" s="7">
        <f t="shared" si="13"/>
        <v>2.2497925972449415E-3</v>
      </c>
      <c r="W71" s="3"/>
      <c r="X71" s="6">
        <f t="shared" si="14"/>
        <v>679.56999999999994</v>
      </c>
      <c r="Y71" s="3"/>
      <c r="Z71" s="7">
        <f t="shared" si="15"/>
        <v>0.7078854166666666</v>
      </c>
    </row>
    <row r="72" spans="1:26" s="70" customFormat="1" ht="15" hidden="1" customHeight="1" outlineLevel="2" x14ac:dyDescent="0.3">
      <c r="A72" s="21"/>
      <c r="B72" s="9" t="str">
        <f>CONCATENATE("          ","6285"," - ","JANITORIAL SERVICES")</f>
        <v xml:space="preserve">          6285 - JANITORIAL SERVICES</v>
      </c>
      <c r="C72" s="9"/>
      <c r="D72" s="6">
        <v>73.75</v>
      </c>
      <c r="E72" s="3"/>
      <c r="F72" s="7">
        <f t="shared" si="8"/>
        <v>1.9299704655638312E-3</v>
      </c>
      <c r="G72" s="3"/>
      <c r="H72" s="6"/>
      <c r="I72" s="3"/>
      <c r="J72" s="7">
        <f t="shared" si="9"/>
        <v>0</v>
      </c>
      <c r="K72" s="3"/>
      <c r="L72" s="6">
        <f t="shared" si="10"/>
        <v>73.75</v>
      </c>
      <c r="M72" s="3"/>
      <c r="N72" s="7">
        <f t="shared" si="11"/>
        <v>0</v>
      </c>
      <c r="O72" s="9"/>
      <c r="P72" s="6">
        <v>459.89</v>
      </c>
      <c r="Q72" s="3"/>
      <c r="R72" s="7">
        <f t="shared" si="12"/>
        <v>1.10469949238447E-3</v>
      </c>
      <c r="S72" s="3"/>
      <c r="T72" s="6"/>
      <c r="U72" s="3"/>
      <c r="V72" s="7">
        <f t="shared" si="13"/>
        <v>0</v>
      </c>
      <c r="W72" s="3"/>
      <c r="X72" s="6">
        <f t="shared" si="14"/>
        <v>459.89</v>
      </c>
      <c r="Y72" s="3"/>
      <c r="Z72" s="7">
        <f t="shared" si="15"/>
        <v>0</v>
      </c>
    </row>
    <row r="73" spans="1:26" s="69" customFormat="1" ht="15" customHeight="1" outlineLevel="1" collapsed="1" x14ac:dyDescent="0.3">
      <c r="A73" s="20"/>
      <c r="B73" s="11" t="str">
        <f>CONCATENATE("     ","Subscriptions &amp; Dues                              ")</f>
        <v xml:space="preserve">     Subscriptions &amp; Dues                              </v>
      </c>
      <c r="C73" s="11"/>
      <c r="D73" s="2">
        <f>SUM(OSRRefD22_13x_0)</f>
        <v>0</v>
      </c>
      <c r="E73" s="2"/>
      <c r="F73" s="5">
        <f t="shared" si="8"/>
        <v>0</v>
      </c>
      <c r="G73" s="2"/>
      <c r="H73" s="2">
        <f>SUM(OSRRefH22_13x_0)</f>
        <v>261</v>
      </c>
      <c r="I73" s="2"/>
      <c r="J73" s="5">
        <f t="shared" si="9"/>
        <v>4.3030253070645451E-3</v>
      </c>
      <c r="K73" s="2"/>
      <c r="L73" s="2">
        <f t="shared" si="10"/>
        <v>-261</v>
      </c>
      <c r="M73" s="2"/>
      <c r="N73" s="5">
        <f t="shared" si="11"/>
        <v>-1</v>
      </c>
      <c r="O73" s="11"/>
      <c r="P73" s="2">
        <f>SUM(OSRRefP22_13x_0)</f>
        <v>0</v>
      </c>
      <c r="Q73" s="2"/>
      <c r="R73" s="5">
        <f t="shared" si="12"/>
        <v>0</v>
      </c>
      <c r="S73" s="2"/>
      <c r="T73" s="2">
        <f>SUM(OSRRefT22_13x_0)</f>
        <v>1447</v>
      </c>
      <c r="U73" s="2"/>
      <c r="V73" s="5">
        <f t="shared" si="13"/>
        <v>3.3910936335556567E-3</v>
      </c>
      <c r="W73" s="2"/>
      <c r="X73" s="2">
        <f t="shared" si="14"/>
        <v>-1447</v>
      </c>
      <c r="Y73" s="2"/>
      <c r="Z73" s="5">
        <f t="shared" si="15"/>
        <v>-1</v>
      </c>
    </row>
    <row r="74" spans="1:26" s="70" customFormat="1" ht="15" hidden="1" customHeight="1" outlineLevel="2" x14ac:dyDescent="0.3">
      <c r="A74" s="21"/>
      <c r="B74" s="9" t="str">
        <f>CONCATENATE("          ","6258"," - ","MEMBERSHIP DUES")</f>
        <v xml:space="preserve">          6258 - MEMBERSHIP DUES</v>
      </c>
      <c r="C74" s="9"/>
      <c r="D74" s="6"/>
      <c r="E74" s="3"/>
      <c r="F74" s="7">
        <f t="shared" si="8"/>
        <v>0</v>
      </c>
      <c r="G74" s="3"/>
      <c r="H74" s="6">
        <v>200</v>
      </c>
      <c r="I74" s="3"/>
      <c r="J74" s="7">
        <f t="shared" si="9"/>
        <v>3.2973374000494601E-3</v>
      </c>
      <c r="K74" s="3"/>
      <c r="L74" s="6">
        <f t="shared" si="10"/>
        <v>-200</v>
      </c>
      <c r="M74" s="3"/>
      <c r="N74" s="7">
        <f t="shared" si="11"/>
        <v>-1</v>
      </c>
      <c r="O74" s="9"/>
      <c r="P74" s="6"/>
      <c r="Q74" s="3"/>
      <c r="R74" s="7">
        <f t="shared" si="12"/>
        <v>0</v>
      </c>
      <c r="S74" s="3"/>
      <c r="T74" s="6">
        <v>595</v>
      </c>
      <c r="U74" s="3"/>
      <c r="V74" s="7">
        <f t="shared" si="13"/>
        <v>1.394402703500771E-3</v>
      </c>
      <c r="W74" s="3"/>
      <c r="X74" s="6">
        <f t="shared" si="14"/>
        <v>-595</v>
      </c>
      <c r="Y74" s="3"/>
      <c r="Z74" s="7">
        <f t="shared" si="15"/>
        <v>-1</v>
      </c>
    </row>
    <row r="75" spans="1:26" s="70" customFormat="1" ht="15" hidden="1" customHeight="1" outlineLevel="2" x14ac:dyDescent="0.3">
      <c r="A75" s="21"/>
      <c r="B75" s="9" t="str">
        <f>CONCATENATE("          ","6275"," - ","SUBSCRIPTIONS")</f>
        <v xml:space="preserve">          6275 - SUBSCRIPTIONS</v>
      </c>
      <c r="C75" s="9"/>
      <c r="D75" s="6"/>
      <c r="E75" s="3"/>
      <c r="F75" s="7">
        <f t="shared" si="8"/>
        <v>0</v>
      </c>
      <c r="G75" s="3"/>
      <c r="H75" s="6">
        <v>61</v>
      </c>
      <c r="I75" s="3"/>
      <c r="J75" s="7">
        <f t="shared" si="9"/>
        <v>1.0056879070150853E-3</v>
      </c>
      <c r="K75" s="3"/>
      <c r="L75" s="6">
        <f t="shared" si="10"/>
        <v>-61</v>
      </c>
      <c r="M75" s="3"/>
      <c r="N75" s="7">
        <f t="shared" si="11"/>
        <v>-1</v>
      </c>
      <c r="O75" s="9"/>
      <c r="P75" s="6"/>
      <c r="Q75" s="3"/>
      <c r="R75" s="7">
        <f t="shared" si="12"/>
        <v>0</v>
      </c>
      <c r="S75" s="3"/>
      <c r="T75" s="6">
        <v>852</v>
      </c>
      <c r="U75" s="3"/>
      <c r="V75" s="7">
        <f t="shared" si="13"/>
        <v>1.9966909300548857E-3</v>
      </c>
      <c r="W75" s="3"/>
      <c r="X75" s="6">
        <f t="shared" si="14"/>
        <v>-852</v>
      </c>
      <c r="Y75" s="3"/>
      <c r="Z75" s="7">
        <f t="shared" si="15"/>
        <v>-1</v>
      </c>
    </row>
    <row r="76" spans="1:26" s="69" customFormat="1" ht="15" customHeight="1" outlineLevel="1" collapsed="1" x14ac:dyDescent="0.3">
      <c r="A76" s="20"/>
      <c r="B76" s="11" t="str">
        <f>CONCATENATE("     ","Supplies                                          ")</f>
        <v xml:space="preserve">     Supplies                                          </v>
      </c>
      <c r="C76" s="11"/>
      <c r="D76" s="2">
        <f>SUM(OSRRefD22_14x_0)</f>
        <v>479.31000000000006</v>
      </c>
      <c r="E76" s="2"/>
      <c r="F76" s="5">
        <f t="shared" si="8"/>
        <v>1.2543107035246102E-2</v>
      </c>
      <c r="G76" s="2"/>
      <c r="H76" s="2">
        <f>SUM(OSRRefH22_14x_0)</f>
        <v>30</v>
      </c>
      <c r="I76" s="2"/>
      <c r="J76" s="5">
        <f t="shared" si="9"/>
        <v>4.9460061000741902E-4</v>
      </c>
      <c r="K76" s="2"/>
      <c r="L76" s="2">
        <f t="shared" si="10"/>
        <v>449.31000000000006</v>
      </c>
      <c r="M76" s="2"/>
      <c r="N76" s="5">
        <f t="shared" si="11"/>
        <v>14.977000000000002</v>
      </c>
      <c r="O76" s="11"/>
      <c r="P76" s="2">
        <f>SUM(OSRRefP22_14x_0)</f>
        <v>2360.8200000000002</v>
      </c>
      <c r="Q76" s="2"/>
      <c r="R76" s="5">
        <f t="shared" si="12"/>
        <v>5.6709140351194958E-3</v>
      </c>
      <c r="S76" s="2"/>
      <c r="T76" s="2">
        <f>SUM(OSRRefT22_14x_0)</f>
        <v>480</v>
      </c>
      <c r="U76" s="2"/>
      <c r="V76" s="5">
        <f t="shared" si="13"/>
        <v>1.1248962986224707E-3</v>
      </c>
      <c r="W76" s="2"/>
      <c r="X76" s="2">
        <f t="shared" si="14"/>
        <v>1880.8200000000002</v>
      </c>
      <c r="Y76" s="2"/>
      <c r="Z76" s="5">
        <f t="shared" si="15"/>
        <v>3.9183750000000002</v>
      </c>
    </row>
    <row r="77" spans="1:26" s="70" customFormat="1" ht="15" hidden="1" customHeight="1" outlineLevel="2" x14ac:dyDescent="0.3">
      <c r="A77" s="21"/>
      <c r="B77" s="9" t="str">
        <f>CONCATENATE("          ","6237"," - ","JANITORIAL SUPPLIES")</f>
        <v xml:space="preserve">          6237 - JANITORIAL SUPPLIES</v>
      </c>
      <c r="C77" s="9"/>
      <c r="D77" s="6"/>
      <c r="E77" s="3"/>
      <c r="F77" s="7">
        <f t="shared" si="8"/>
        <v>0</v>
      </c>
      <c r="G77" s="3"/>
      <c r="H77" s="6">
        <v>10</v>
      </c>
      <c r="I77" s="3"/>
      <c r="J77" s="7">
        <f t="shared" si="9"/>
        <v>1.6486687000247301E-4</v>
      </c>
      <c r="K77" s="3"/>
      <c r="L77" s="6">
        <f t="shared" si="10"/>
        <v>-10</v>
      </c>
      <c r="M77" s="3"/>
      <c r="N77" s="7">
        <f t="shared" si="11"/>
        <v>-1</v>
      </c>
      <c r="O77" s="9"/>
      <c r="P77" s="6">
        <v>852.79</v>
      </c>
      <c r="Q77" s="3"/>
      <c r="R77" s="7">
        <f t="shared" si="12"/>
        <v>2.0484826373927509E-3</v>
      </c>
      <c r="S77" s="3"/>
      <c r="T77" s="6">
        <v>240</v>
      </c>
      <c r="U77" s="3"/>
      <c r="V77" s="7">
        <f t="shared" si="13"/>
        <v>5.6244814931123537E-4</v>
      </c>
      <c r="W77" s="3"/>
      <c r="X77" s="6">
        <f t="shared" si="14"/>
        <v>612.79</v>
      </c>
      <c r="Y77" s="3"/>
      <c r="Z77" s="7">
        <f t="shared" si="15"/>
        <v>2.5532916666666665</v>
      </c>
    </row>
    <row r="78" spans="1:26" s="70" customFormat="1" ht="15" hidden="1" customHeight="1" outlineLevel="2" x14ac:dyDescent="0.3">
      <c r="A78" s="21"/>
      <c r="B78" s="9" t="str">
        <f>CONCATENATE("          ","6241"," - ","OFFICE EXPENSE")</f>
        <v xml:space="preserve">          6241 - OFFICE EXPENSE</v>
      </c>
      <c r="C78" s="9"/>
      <c r="D78" s="6">
        <v>217.59</v>
      </c>
      <c r="E78" s="3"/>
      <c r="F78" s="7">
        <f t="shared" si="8"/>
        <v>5.6941325234174103E-3</v>
      </c>
      <c r="G78" s="3"/>
      <c r="H78" s="6">
        <v>20</v>
      </c>
      <c r="I78" s="3"/>
      <c r="J78" s="7">
        <f t="shared" si="9"/>
        <v>3.2973374000494601E-4</v>
      </c>
      <c r="K78" s="3"/>
      <c r="L78" s="6">
        <f t="shared" si="10"/>
        <v>197.59</v>
      </c>
      <c r="M78" s="3"/>
      <c r="N78" s="7">
        <f t="shared" si="11"/>
        <v>9.8795000000000002</v>
      </c>
      <c r="O78" s="9"/>
      <c r="P78" s="6">
        <v>610.36</v>
      </c>
      <c r="Q78" s="3"/>
      <c r="R78" s="7">
        <f t="shared" si="12"/>
        <v>1.4661427345056103E-3</v>
      </c>
      <c r="S78" s="3"/>
      <c r="T78" s="6">
        <v>240</v>
      </c>
      <c r="U78" s="3"/>
      <c r="V78" s="7">
        <f t="shared" si="13"/>
        <v>5.6244814931123537E-4</v>
      </c>
      <c r="W78" s="3"/>
      <c r="X78" s="6">
        <f t="shared" si="14"/>
        <v>370.36</v>
      </c>
      <c r="Y78" s="3"/>
      <c r="Z78" s="7">
        <f t="shared" si="15"/>
        <v>1.5431666666666668</v>
      </c>
    </row>
    <row r="79" spans="1:26" s="70" customFormat="1" ht="15" hidden="1" customHeight="1" outlineLevel="2" x14ac:dyDescent="0.3">
      <c r="A79" s="21"/>
      <c r="B79" s="9" t="str">
        <f>CONCATENATE("          ","6247"," - ","STORE SUPPLIES")</f>
        <v xml:space="preserve">          6247 - STORE SUPPLIES</v>
      </c>
      <c r="C79" s="9"/>
      <c r="D79" s="6">
        <v>261.72000000000003</v>
      </c>
      <c r="E79" s="3"/>
      <c r="F79" s="7">
        <f t="shared" si="8"/>
        <v>6.8489745118286904E-3</v>
      </c>
      <c r="G79" s="3"/>
      <c r="H79" s="6"/>
      <c r="I79" s="3"/>
      <c r="J79" s="7">
        <f t="shared" si="9"/>
        <v>0</v>
      </c>
      <c r="K79" s="3"/>
      <c r="L79" s="6">
        <f t="shared" si="10"/>
        <v>261.72000000000003</v>
      </c>
      <c r="M79" s="3"/>
      <c r="N79" s="7">
        <f t="shared" si="11"/>
        <v>0</v>
      </c>
      <c r="O79" s="9"/>
      <c r="P79" s="6">
        <v>897.67</v>
      </c>
      <c r="Q79" s="3"/>
      <c r="R79" s="7">
        <f t="shared" si="12"/>
        <v>2.1562886632211335E-3</v>
      </c>
      <c r="S79" s="3"/>
      <c r="T79" s="6"/>
      <c r="U79" s="3"/>
      <c r="V79" s="7">
        <f t="shared" si="13"/>
        <v>0</v>
      </c>
      <c r="W79" s="3"/>
      <c r="X79" s="6">
        <f t="shared" si="14"/>
        <v>897.67</v>
      </c>
      <c r="Y79" s="3"/>
      <c r="Z79" s="7">
        <f t="shared" si="15"/>
        <v>0</v>
      </c>
    </row>
    <row r="80" spans="1:26" s="69" customFormat="1" ht="15" customHeight="1" outlineLevel="1" collapsed="1" x14ac:dyDescent="0.3">
      <c r="A80" s="20"/>
      <c r="B80" s="11" t="str">
        <f>CONCATENATE("     ","Telephone/Data Lines                              ")</f>
        <v xml:space="preserve">     Telephone/Data Lines                              </v>
      </c>
      <c r="C80" s="11"/>
      <c r="D80" s="2">
        <f>SUM(OSRRefD22_15x_0)</f>
        <v>325.33999999999997</v>
      </c>
      <c r="E80" s="2"/>
      <c r="F80" s="5">
        <f t="shared" si="8"/>
        <v>8.51385208496999E-3</v>
      </c>
      <c r="G80" s="2"/>
      <c r="H80" s="2">
        <f>SUM(OSRRefH22_15x_0)</f>
        <v>250</v>
      </c>
      <c r="I80" s="2"/>
      <c r="J80" s="5">
        <f t="shared" si="9"/>
        <v>4.1216717500618246E-3</v>
      </c>
      <c r="K80" s="2"/>
      <c r="L80" s="2">
        <f t="shared" si="10"/>
        <v>75.339999999999975</v>
      </c>
      <c r="M80" s="2"/>
      <c r="N80" s="5">
        <f t="shared" si="11"/>
        <v>0.30135999999999991</v>
      </c>
      <c r="O80" s="11"/>
      <c r="P80" s="2">
        <f>SUM(OSRRefP22_15x_0)</f>
        <v>3746.28</v>
      </c>
      <c r="Q80" s="2"/>
      <c r="R80" s="5">
        <f t="shared" si="12"/>
        <v>8.9989206426103908E-3</v>
      </c>
      <c r="S80" s="2"/>
      <c r="T80" s="2">
        <f>SUM(OSRRefT22_15x_0)</f>
        <v>3000</v>
      </c>
      <c r="U80" s="2"/>
      <c r="V80" s="5">
        <f t="shared" si="13"/>
        <v>7.0306018663904421E-3</v>
      </c>
      <c r="W80" s="2"/>
      <c r="X80" s="2">
        <f t="shared" si="14"/>
        <v>746.2800000000002</v>
      </c>
      <c r="Y80" s="2"/>
      <c r="Z80" s="5">
        <f t="shared" si="15"/>
        <v>0.24876000000000006</v>
      </c>
    </row>
    <row r="81" spans="1:26" s="70" customFormat="1" ht="15" hidden="1" customHeight="1" outlineLevel="2" x14ac:dyDescent="0.3">
      <c r="A81" s="21"/>
      <c r="B81" s="9" t="str">
        <f>CONCATENATE("          ","6309"," - ","TELEPHONE")</f>
        <v xml:space="preserve">          6309 - TELEPHONE</v>
      </c>
      <c r="C81" s="9"/>
      <c r="D81" s="6">
        <v>325.33999999999997</v>
      </c>
      <c r="E81" s="3"/>
      <c r="F81" s="7">
        <f t="shared" si="8"/>
        <v>8.51385208496999E-3</v>
      </c>
      <c r="G81" s="3"/>
      <c r="H81" s="6">
        <v>250</v>
      </c>
      <c r="I81" s="3"/>
      <c r="J81" s="7">
        <f t="shared" si="9"/>
        <v>4.1216717500618246E-3</v>
      </c>
      <c r="K81" s="3"/>
      <c r="L81" s="6">
        <f t="shared" si="10"/>
        <v>75.339999999999975</v>
      </c>
      <c r="M81" s="3"/>
      <c r="N81" s="7">
        <f t="shared" si="11"/>
        <v>0.30135999999999991</v>
      </c>
      <c r="O81" s="9"/>
      <c r="P81" s="6">
        <v>3746.28</v>
      </c>
      <c r="Q81" s="3"/>
      <c r="R81" s="7">
        <f t="shared" si="12"/>
        <v>8.9989206426103908E-3</v>
      </c>
      <c r="S81" s="3"/>
      <c r="T81" s="6">
        <v>3000</v>
      </c>
      <c r="U81" s="3"/>
      <c r="V81" s="7">
        <f t="shared" si="13"/>
        <v>7.0306018663904421E-3</v>
      </c>
      <c r="W81" s="3"/>
      <c r="X81" s="6">
        <f t="shared" si="14"/>
        <v>746.2800000000002</v>
      </c>
      <c r="Y81" s="3"/>
      <c r="Z81" s="7">
        <f t="shared" si="15"/>
        <v>0.24876000000000006</v>
      </c>
    </row>
    <row r="82" spans="1:26" s="69" customFormat="1" ht="15" customHeight="1" outlineLevel="1" collapsed="1" x14ac:dyDescent="0.3">
      <c r="A82" s="20"/>
      <c r="B82" s="11" t="str">
        <f>CONCATENATE("     ","Travel                                            ")</f>
        <v xml:space="preserve">     Travel                                            </v>
      </c>
      <c r="C82" s="11"/>
      <c r="D82" s="2">
        <f>SUM(OSRRefD22_16x_0)</f>
        <v>31.82</v>
      </c>
      <c r="E82" s="2"/>
      <c r="F82" s="5">
        <f t="shared" si="8"/>
        <v>8.3270047748123534E-4</v>
      </c>
      <c r="G82" s="2"/>
      <c r="H82" s="2">
        <f>SUM(OSRRefH22_16x_0)</f>
        <v>25</v>
      </c>
      <c r="I82" s="2"/>
      <c r="J82" s="5">
        <f t="shared" si="9"/>
        <v>4.1216717500618252E-4</v>
      </c>
      <c r="K82" s="2"/>
      <c r="L82" s="2">
        <f t="shared" si="10"/>
        <v>6.82</v>
      </c>
      <c r="M82" s="2"/>
      <c r="N82" s="5">
        <f t="shared" si="11"/>
        <v>0.27279999999999999</v>
      </c>
      <c r="O82" s="11"/>
      <c r="P82" s="2">
        <f>SUM(OSRRefP22_16x_0)</f>
        <v>376.62</v>
      </c>
      <c r="Q82" s="2"/>
      <c r="R82" s="5">
        <f t="shared" si="12"/>
        <v>9.0467703759994583E-4</v>
      </c>
      <c r="S82" s="2"/>
      <c r="T82" s="2">
        <f>SUM(OSRRefT22_16x_0)</f>
        <v>550</v>
      </c>
      <c r="U82" s="2"/>
      <c r="V82" s="5">
        <f t="shared" si="13"/>
        <v>1.2889436755049145E-3</v>
      </c>
      <c r="W82" s="2"/>
      <c r="X82" s="2">
        <f t="shared" si="14"/>
        <v>-173.38</v>
      </c>
      <c r="Y82" s="2"/>
      <c r="Z82" s="5">
        <f t="shared" si="15"/>
        <v>-0.31523636363636365</v>
      </c>
    </row>
    <row r="83" spans="1:26" s="70" customFormat="1" ht="15" hidden="1" customHeight="1" outlineLevel="2" x14ac:dyDescent="0.3">
      <c r="A83" s="21"/>
      <c r="B83" s="9" t="str">
        <f>CONCATENATE("          ","6294"," - ","TRAVEL OPERATIONAL")</f>
        <v xml:space="preserve">          6294 - TRAVEL OPERATIONAL</v>
      </c>
      <c r="C83" s="9"/>
      <c r="D83" s="6">
        <v>31.82</v>
      </c>
      <c r="E83" s="3"/>
      <c r="F83" s="7">
        <f t="shared" si="8"/>
        <v>8.3270047748123534E-4</v>
      </c>
      <c r="G83" s="3"/>
      <c r="H83" s="6"/>
      <c r="I83" s="3"/>
      <c r="J83" s="7">
        <f t="shared" si="9"/>
        <v>0</v>
      </c>
      <c r="K83" s="3"/>
      <c r="L83" s="6">
        <f t="shared" si="10"/>
        <v>31.82</v>
      </c>
      <c r="M83" s="3"/>
      <c r="N83" s="7">
        <f t="shared" si="11"/>
        <v>0</v>
      </c>
      <c r="O83" s="9"/>
      <c r="P83" s="6">
        <v>376.62</v>
      </c>
      <c r="Q83" s="3"/>
      <c r="R83" s="7">
        <f t="shared" si="12"/>
        <v>9.0467703759994583E-4</v>
      </c>
      <c r="S83" s="3"/>
      <c r="T83" s="6"/>
      <c r="U83" s="3"/>
      <c r="V83" s="7">
        <f t="shared" si="13"/>
        <v>0</v>
      </c>
      <c r="W83" s="3"/>
      <c r="X83" s="6">
        <f t="shared" si="14"/>
        <v>376.62</v>
      </c>
      <c r="Y83" s="3"/>
      <c r="Z83" s="7">
        <f t="shared" si="15"/>
        <v>0</v>
      </c>
    </row>
    <row r="84" spans="1:26" s="70" customFormat="1" ht="15" hidden="1" customHeight="1" outlineLevel="2" x14ac:dyDescent="0.3">
      <c r="A84" s="21"/>
      <c r="B84" s="9" t="str">
        <f>CONCATENATE("          ","6298"," - ","VEHICLE MILEAGE")</f>
        <v xml:space="preserve">          6298 - VEHICLE MILEAGE</v>
      </c>
      <c r="C84" s="9"/>
      <c r="D84" s="6"/>
      <c r="E84" s="3"/>
      <c r="F84" s="7">
        <f t="shared" si="8"/>
        <v>0</v>
      </c>
      <c r="G84" s="3"/>
      <c r="H84" s="6">
        <v>25</v>
      </c>
      <c r="I84" s="3"/>
      <c r="J84" s="7">
        <f t="shared" si="9"/>
        <v>4.1216717500618252E-4</v>
      </c>
      <c r="K84" s="3"/>
      <c r="L84" s="6">
        <f t="shared" si="10"/>
        <v>-25</v>
      </c>
      <c r="M84" s="3"/>
      <c r="N84" s="7">
        <f t="shared" si="11"/>
        <v>-1</v>
      </c>
      <c r="O84" s="9"/>
      <c r="P84" s="6"/>
      <c r="Q84" s="3"/>
      <c r="R84" s="7">
        <f t="shared" si="12"/>
        <v>0</v>
      </c>
      <c r="S84" s="3"/>
      <c r="T84" s="6">
        <v>550</v>
      </c>
      <c r="U84" s="3"/>
      <c r="V84" s="7">
        <f t="shared" si="13"/>
        <v>1.2889436755049145E-3</v>
      </c>
      <c r="W84" s="3"/>
      <c r="X84" s="6">
        <f t="shared" si="14"/>
        <v>-550</v>
      </c>
      <c r="Y84" s="3"/>
      <c r="Z84" s="7">
        <f t="shared" si="15"/>
        <v>-1</v>
      </c>
    </row>
    <row r="85" spans="1:26" s="69" customFormat="1" ht="15" customHeight="1" outlineLevel="1" collapsed="1" x14ac:dyDescent="0.3">
      <c r="A85" s="20"/>
      <c r="B85" s="11" t="str">
        <f>CONCATENATE("     ","Utilities                                         ")</f>
        <v xml:space="preserve">     Utilities                                         </v>
      </c>
      <c r="C85" s="11"/>
      <c r="D85" s="2">
        <f>SUM(OSRRefD22_17x_0)</f>
        <v>26.49</v>
      </c>
      <c r="E85" s="2"/>
      <c r="F85" s="5">
        <f t="shared" si="8"/>
        <v>6.932192221394696E-4</v>
      </c>
      <c r="G85" s="2"/>
      <c r="H85" s="2">
        <f>SUM(OSRRefH22_17x_0)</f>
        <v>120</v>
      </c>
      <c r="I85" s="2"/>
      <c r="J85" s="5">
        <f t="shared" si="9"/>
        <v>1.9784024400296761E-3</v>
      </c>
      <c r="K85" s="2"/>
      <c r="L85" s="2">
        <f t="shared" si="10"/>
        <v>-93.51</v>
      </c>
      <c r="M85" s="2"/>
      <c r="N85" s="5">
        <f t="shared" si="11"/>
        <v>-0.77925</v>
      </c>
      <c r="O85" s="11"/>
      <c r="P85" s="2">
        <f>SUM(OSRRefP22_17x_0)</f>
        <v>1330.38</v>
      </c>
      <c r="Q85" s="2"/>
      <c r="R85" s="5">
        <f t="shared" si="12"/>
        <v>3.195699212156062E-3</v>
      </c>
      <c r="S85" s="2"/>
      <c r="T85" s="2">
        <f>SUM(OSRRefT22_17x_0)</f>
        <v>4120</v>
      </c>
      <c r="U85" s="2"/>
      <c r="V85" s="5">
        <f t="shared" si="13"/>
        <v>9.6553598965095407E-3</v>
      </c>
      <c r="W85" s="2"/>
      <c r="X85" s="2">
        <f t="shared" si="14"/>
        <v>-2789.62</v>
      </c>
      <c r="Y85" s="2"/>
      <c r="Z85" s="5">
        <f t="shared" si="15"/>
        <v>-0.67709223300970867</v>
      </c>
    </row>
    <row r="86" spans="1:26" s="70" customFormat="1" ht="15" hidden="1" customHeight="1" outlineLevel="2" x14ac:dyDescent="0.3">
      <c r="A86" s="21"/>
      <c r="B86" s="9" t="str">
        <f>CONCATENATE("          ","6274"," - ","UTILITIES")</f>
        <v xml:space="preserve">          6274 - UTILITIES</v>
      </c>
      <c r="C86" s="9"/>
      <c r="D86" s="6">
        <v>26.49</v>
      </c>
      <c r="E86" s="3"/>
      <c r="F86" s="7">
        <f t="shared" si="8"/>
        <v>6.932192221394696E-4</v>
      </c>
      <c r="G86" s="3"/>
      <c r="H86" s="6">
        <v>120</v>
      </c>
      <c r="I86" s="3"/>
      <c r="J86" s="7">
        <f t="shared" si="9"/>
        <v>1.9784024400296761E-3</v>
      </c>
      <c r="K86" s="3"/>
      <c r="L86" s="6">
        <f t="shared" si="10"/>
        <v>-93.51</v>
      </c>
      <c r="M86" s="3"/>
      <c r="N86" s="7">
        <f t="shared" si="11"/>
        <v>-0.77925</v>
      </c>
      <c r="O86" s="9"/>
      <c r="P86" s="6">
        <v>1330.38</v>
      </c>
      <c r="Q86" s="3"/>
      <c r="R86" s="7">
        <f t="shared" si="12"/>
        <v>3.195699212156062E-3</v>
      </c>
      <c r="S86" s="3"/>
      <c r="T86" s="6">
        <v>4120</v>
      </c>
      <c r="U86" s="3"/>
      <c r="V86" s="7">
        <f t="shared" si="13"/>
        <v>9.6553598965095407E-3</v>
      </c>
      <c r="W86" s="3"/>
      <c r="X86" s="6">
        <f t="shared" si="14"/>
        <v>-2789.62</v>
      </c>
      <c r="Y86" s="3"/>
      <c r="Z86" s="7">
        <f t="shared" si="15"/>
        <v>-0.67709223300970867</v>
      </c>
    </row>
    <row r="87" spans="1:26" s="65" customFormat="1" ht="15" customHeight="1" x14ac:dyDescent="0.3">
      <c r="A87" s="36"/>
      <c r="B87" s="36"/>
      <c r="C87" s="36"/>
      <c r="D87" s="2"/>
      <c r="E87" s="2"/>
      <c r="F87" s="5"/>
      <c r="G87" s="2"/>
      <c r="H87" s="2"/>
      <c r="I87" s="2"/>
      <c r="J87" s="5"/>
      <c r="K87" s="2"/>
      <c r="L87" s="2"/>
      <c r="M87" s="2"/>
      <c r="N87" s="5"/>
      <c r="O87" s="36"/>
      <c r="P87" s="2"/>
      <c r="Q87" s="2"/>
      <c r="R87" s="5"/>
      <c r="S87" s="2"/>
      <c r="T87" s="2"/>
      <c r="U87" s="2"/>
      <c r="V87" s="5"/>
      <c r="W87" s="2"/>
      <c r="X87" s="2"/>
      <c r="Y87" s="2"/>
      <c r="Z87" s="5"/>
    </row>
    <row r="88" spans="1:26" s="63" customFormat="1" ht="15" customHeight="1" x14ac:dyDescent="0.3">
      <c r="A88" s="13"/>
      <c r="B88" s="28" t="s">
        <v>291</v>
      </c>
      <c r="C88" s="13"/>
      <c r="D88" s="8">
        <f>SUM(0)</f>
        <v>0</v>
      </c>
      <c r="E88" s="8"/>
      <c r="F88" s="14">
        <f>IF(D$12=0,0,D88/D$12)</f>
        <v>0</v>
      </c>
      <c r="G88" s="8"/>
      <c r="H88" s="8">
        <f>SUM(0)</f>
        <v>0</v>
      </c>
      <c r="I88" s="8"/>
      <c r="J88" s="14">
        <f>IF(H$12=0,0,H88/H$12)</f>
        <v>0</v>
      </c>
      <c r="K88" s="8"/>
      <c r="L88" s="8">
        <f>+D88-H88</f>
        <v>0</v>
      </c>
      <c r="M88" s="8"/>
      <c r="N88" s="14">
        <f>IF(H88=0,0,L88/H88)</f>
        <v>0</v>
      </c>
      <c r="O88" s="13"/>
      <c r="P88" s="8">
        <f>SUM(0)</f>
        <v>0</v>
      </c>
      <c r="Q88" s="8"/>
      <c r="R88" s="14">
        <f>IF(P$12=0,0,P88/P$12)</f>
        <v>0</v>
      </c>
      <c r="S88" s="8"/>
      <c r="T88" s="8">
        <f>SUM(0)</f>
        <v>0</v>
      </c>
      <c r="U88" s="8"/>
      <c r="V88" s="14">
        <f>IF(T$12=0,0,T88/T$12)</f>
        <v>0</v>
      </c>
      <c r="W88" s="8"/>
      <c r="X88" s="8">
        <f>+P88-T88</f>
        <v>0</v>
      </c>
      <c r="Y88" s="8"/>
      <c r="Z88" s="14">
        <f>IF(T88=0,0,X88/T88)</f>
        <v>0</v>
      </c>
    </row>
    <row r="89" spans="1:26" ht="15" customHeight="1" x14ac:dyDescent="0.3">
      <c r="A89" s="12"/>
      <c r="B89" s="13"/>
      <c r="C89" s="13"/>
      <c r="D89" s="4"/>
      <c r="E89" s="4"/>
      <c r="F89" s="10"/>
      <c r="G89" s="4"/>
      <c r="H89" s="4"/>
      <c r="I89" s="4"/>
      <c r="J89" s="10"/>
      <c r="K89" s="4"/>
      <c r="L89" s="4"/>
      <c r="M89" s="4"/>
      <c r="N89" s="10"/>
      <c r="O89" s="13"/>
      <c r="P89" s="4"/>
      <c r="Q89" s="4"/>
      <c r="R89" s="10"/>
      <c r="S89" s="4"/>
      <c r="T89" s="4"/>
      <c r="U89" s="4"/>
      <c r="V89" s="10"/>
      <c r="W89" s="4"/>
      <c r="X89" s="4"/>
      <c r="Y89" s="4"/>
      <c r="Z89" s="10"/>
    </row>
    <row r="90" spans="1:26" s="63" customFormat="1" ht="15" customHeight="1" x14ac:dyDescent="0.3">
      <c r="A90" s="13"/>
      <c r="B90" s="27" t="s">
        <v>292</v>
      </c>
      <c r="C90" s="27"/>
      <c r="D90" s="23">
        <f>+D24-D26+D88</f>
        <v>193462.68000000005</v>
      </c>
      <c r="E90" s="15"/>
      <c r="F90" s="22">
        <f>IF(D$12=0,0,D90/D$12)</f>
        <v>5.0627424893400219</v>
      </c>
      <c r="G90" s="15"/>
      <c r="H90" s="23">
        <f>+H24-H26+H88</f>
        <v>13310.937832730771</v>
      </c>
      <c r="I90" s="15"/>
      <c r="J90" s="22">
        <f>IF(H$12=0,0,H90/H$12)</f>
        <v>0.21945326572798238</v>
      </c>
      <c r="K90" s="17"/>
      <c r="L90" s="23">
        <f>+D90-H90</f>
        <v>180151.74216726929</v>
      </c>
      <c r="M90" s="17"/>
      <c r="N90" s="22">
        <f>IF(H90=0,0,L90/H90)</f>
        <v>13.534113405915496</v>
      </c>
      <c r="O90" s="28"/>
      <c r="P90" s="23">
        <f>+P24-P26+P88</f>
        <v>203748.05999999991</v>
      </c>
      <c r="Q90" s="15"/>
      <c r="R90" s="22">
        <f>IF(P$12=0,0,P90/P$12)</f>
        <v>0.48942220630220368</v>
      </c>
      <c r="S90" s="15"/>
      <c r="T90" s="23">
        <f>+T24-T26+T88</f>
        <v>-30678.055129099987</v>
      </c>
      <c r="U90" s="15"/>
      <c r="V90" s="22">
        <f>IF(T$12=0,0,T90/T$12)</f>
        <v>-7.1895063882626412E-2</v>
      </c>
      <c r="W90" s="17"/>
      <c r="X90" s="23">
        <f>+P90-T90</f>
        <v>234426.1151290999</v>
      </c>
      <c r="Y90" s="17"/>
      <c r="Z90" s="22">
        <f>IF(T90=0,0,X90/T90)</f>
        <v>-7.6414920744676733</v>
      </c>
    </row>
    <row r="91" spans="1:26" ht="15" customHeight="1" x14ac:dyDescent="0.3">
      <c r="A91" s="12"/>
      <c r="B91" s="13"/>
      <c r="C91" s="12"/>
      <c r="D91" s="4"/>
      <c r="E91" s="4"/>
      <c r="F91" s="10"/>
      <c r="G91" s="4"/>
      <c r="H91" s="4"/>
      <c r="I91" s="4"/>
      <c r="J91" s="10"/>
      <c r="K91" s="4"/>
      <c r="L91" s="4"/>
      <c r="M91" s="4"/>
      <c r="N91" s="10"/>
      <c r="P91" s="4"/>
      <c r="Q91" s="4"/>
      <c r="R91" s="10"/>
      <c r="S91" s="4"/>
      <c r="T91" s="4"/>
      <c r="U91" s="4"/>
      <c r="V91" s="10"/>
      <c r="W91" s="4"/>
      <c r="X91" s="4"/>
      <c r="Y91" s="4"/>
      <c r="Z91" s="10"/>
    </row>
    <row r="92" spans="1:26" s="63" customFormat="1" ht="15" customHeight="1" x14ac:dyDescent="0.3">
      <c r="A92" s="49"/>
      <c r="B92" s="13" t="s">
        <v>293</v>
      </c>
      <c r="C92" s="13"/>
      <c r="D92" s="8">
        <v>-90502</v>
      </c>
      <c r="E92" s="8"/>
      <c r="F92" s="14">
        <f>IF(D$12=0,0,D92/D$12)</f>
        <v>-2.3683550789756995</v>
      </c>
      <c r="G92" s="8"/>
      <c r="H92" s="8">
        <v>3009</v>
      </c>
      <c r="I92" s="8"/>
      <c r="J92" s="14">
        <f>IF(H$12=0,0,H92/H$12)</f>
        <v>4.9608441183744127E-2</v>
      </c>
      <c r="K92" s="8"/>
      <c r="L92" s="8">
        <f>+D92-H92</f>
        <v>-93511</v>
      </c>
      <c r="M92" s="8"/>
      <c r="N92" s="14">
        <f>IF(H92=0,0,L92/H92)</f>
        <v>-31.077102027251577</v>
      </c>
      <c r="O92" s="13"/>
      <c r="P92" s="8">
        <v>-47995.07</v>
      </c>
      <c r="Q92" s="8"/>
      <c r="R92" s="14">
        <f>IF(P$12=0,0,P92/P$12)</f>
        <v>-0.11528872005470245</v>
      </c>
      <c r="S92" s="8"/>
      <c r="T92" s="8">
        <v>48386</v>
      </c>
      <c r="U92" s="8"/>
      <c r="V92" s="14">
        <f>IF(T$12=0,0,T92/T$12)</f>
        <v>0.11339423396905597</v>
      </c>
      <c r="W92" s="8"/>
      <c r="X92" s="8">
        <f>+P92-T92</f>
        <v>-96381.07</v>
      </c>
      <c r="Y92" s="8"/>
      <c r="Z92" s="14">
        <f>IF(T92=0,0,X92/T92)</f>
        <v>-1.9919205968668625</v>
      </c>
    </row>
    <row r="93" spans="1:26" ht="15" customHeight="1" x14ac:dyDescent="0.3">
      <c r="A93" s="12"/>
      <c r="B93" s="13"/>
      <c r="C93" s="13"/>
      <c r="D93" s="4"/>
      <c r="E93" s="4"/>
      <c r="F93" s="10"/>
      <c r="G93" s="4"/>
      <c r="H93" s="4"/>
      <c r="I93" s="4"/>
      <c r="J93" s="10"/>
      <c r="K93" s="4"/>
      <c r="L93" s="4"/>
      <c r="M93" s="4"/>
      <c r="N93" s="10"/>
      <c r="O93" s="13"/>
      <c r="P93" s="4"/>
      <c r="Q93" s="4"/>
      <c r="R93" s="10"/>
      <c r="S93" s="4"/>
      <c r="T93" s="4"/>
      <c r="U93" s="4"/>
      <c r="V93" s="10"/>
      <c r="W93" s="4"/>
      <c r="X93" s="4"/>
      <c r="Y93" s="4"/>
      <c r="Z93" s="10"/>
    </row>
    <row r="94" spans="1:26" s="63" customFormat="1" ht="15" customHeight="1" x14ac:dyDescent="0.3">
      <c r="A94" s="13"/>
      <c r="B94" s="27" t="s">
        <v>294</v>
      </c>
      <c r="C94" s="27"/>
      <c r="D94" s="30">
        <f>+D90-D92</f>
        <v>283964.68000000005</v>
      </c>
      <c r="E94" s="15"/>
      <c r="F94" s="35">
        <f>IF(D$12=0,0,D94/D$12)</f>
        <v>7.431097568315721</v>
      </c>
      <c r="G94" s="15"/>
      <c r="H94" s="30">
        <f>+H90-H92</f>
        <v>10301.937832730771</v>
      </c>
      <c r="I94" s="15"/>
      <c r="J94" s="35">
        <f>IF(H$12=0,0,H94/H$12)</f>
        <v>0.16984482454423824</v>
      </c>
      <c r="K94" s="17"/>
      <c r="L94" s="30">
        <f>D94-H94</f>
        <v>273662.74216726929</v>
      </c>
      <c r="M94" s="17"/>
      <c r="N94" s="35">
        <f>IF(H94=0,0,L94/H94)</f>
        <v>26.564200503889911</v>
      </c>
      <c r="O94" s="28"/>
      <c r="P94" s="30">
        <f>+P90-P92</f>
        <v>251743.12999999992</v>
      </c>
      <c r="Q94" s="15"/>
      <c r="R94" s="35">
        <f>IF(P$12=0,0,P94/P$12)</f>
        <v>0.60471092635690615</v>
      </c>
      <c r="S94" s="15"/>
      <c r="T94" s="30">
        <f>+T90-T92</f>
        <v>-79064.055129099987</v>
      </c>
      <c r="U94" s="15"/>
      <c r="V94" s="35">
        <f>IF(T$12=0,0,T94/T$12)</f>
        <v>-0.18528929785168238</v>
      </c>
      <c r="W94" s="17"/>
      <c r="X94" s="30">
        <f>P94-T94</f>
        <v>330807.18512909987</v>
      </c>
      <c r="Y94" s="17"/>
      <c r="Z94" s="35">
        <f>IF(T94=0,0,X94/T94)</f>
        <v>-4.184040201188016</v>
      </c>
    </row>
    <row r="95" spans="1:26" ht="15" customHeight="1" x14ac:dyDescent="0.3">
      <c r="A95" s="12"/>
      <c r="B95" s="12"/>
      <c r="C95" s="12"/>
      <c r="D95" s="4"/>
      <c r="E95" s="4"/>
      <c r="F95" s="10"/>
      <c r="G95" s="4"/>
      <c r="H95" s="4"/>
      <c r="I95" s="4"/>
      <c r="J95" s="10"/>
      <c r="K95" s="4"/>
      <c r="L95" s="4"/>
      <c r="M95" s="4"/>
      <c r="N95" s="10"/>
      <c r="P95" s="4"/>
      <c r="Q95" s="4"/>
      <c r="R95" s="10"/>
      <c r="S95" s="4"/>
      <c r="T95" s="4"/>
      <c r="U95" s="4"/>
      <c r="V95" s="10"/>
      <c r="W95" s="4"/>
      <c r="X95" s="4"/>
      <c r="Y95" s="4"/>
      <c r="Z95" s="10"/>
    </row>
    <row r="96" spans="1:26" ht="15" customHeight="1" x14ac:dyDescent="0.3">
      <c r="A96" s="12"/>
      <c r="B96" s="12"/>
      <c r="C96" s="12"/>
      <c r="D96" s="4"/>
      <c r="E96" s="4"/>
      <c r="F96" s="10"/>
      <c r="G96" s="4"/>
      <c r="H96" s="4"/>
      <c r="I96" s="4"/>
      <c r="J96" s="10"/>
      <c r="K96" s="4"/>
      <c r="L96" s="4"/>
      <c r="M96" s="4"/>
      <c r="N96" s="10"/>
      <c r="P96" s="4"/>
      <c r="Q96" s="4"/>
      <c r="R96" s="10"/>
      <c r="S96" s="4"/>
      <c r="T96" s="4"/>
      <c r="U96" s="4"/>
      <c r="V96" s="10"/>
      <c r="W96" s="4"/>
      <c r="X96" s="4"/>
      <c r="Y96" s="4"/>
      <c r="Z96" s="10"/>
    </row>
    <row r="97" spans="1:26" s="63" customFormat="1" ht="15" customHeight="1" x14ac:dyDescent="0.3">
      <c r="A97" s="13"/>
      <c r="B97" s="27" t="s">
        <v>297</v>
      </c>
      <c r="C97" s="27"/>
      <c r="D97" s="33">
        <f>SUM(D94:D96)</f>
        <v>283964.68000000005</v>
      </c>
      <c r="E97" s="15"/>
      <c r="F97" s="31">
        <f>IF(D$12=0,0,D97/D$12)</f>
        <v>7.431097568315721</v>
      </c>
      <c r="G97" s="15"/>
      <c r="H97" s="33">
        <f>SUM(H94:H96)</f>
        <v>10301.937832730771</v>
      </c>
      <c r="I97" s="15"/>
      <c r="J97" s="31">
        <f>IF(H$12=0,0,H97/H$12)</f>
        <v>0.16984482454423824</v>
      </c>
      <c r="K97" s="17"/>
      <c r="L97" s="33">
        <f>+D97-H97</f>
        <v>273662.74216726929</v>
      </c>
      <c r="M97" s="17"/>
      <c r="N97" s="31">
        <f>IF(H97=0,0,L97/H97)</f>
        <v>26.564200503889911</v>
      </c>
      <c r="O97" s="28"/>
      <c r="P97" s="33">
        <f>SUM(P94:P96)</f>
        <v>251743.12999999992</v>
      </c>
      <c r="Q97" s="15"/>
      <c r="R97" s="31">
        <f>IF(P$12=0,0,P97/P$12)</f>
        <v>0.60471092635690615</v>
      </c>
      <c r="S97" s="15"/>
      <c r="T97" s="33">
        <f>SUM(T94:T96)</f>
        <v>-79064.055129099987</v>
      </c>
      <c r="U97" s="15"/>
      <c r="V97" s="31">
        <f>IF(T$12=0,0,T97/T$12)</f>
        <v>-0.18528929785168238</v>
      </c>
      <c r="W97" s="17"/>
      <c r="X97" s="33">
        <f>+P97-T97</f>
        <v>330807.18512909987</v>
      </c>
      <c r="Y97" s="17"/>
      <c r="Z97" s="31">
        <f>IF(T97=0,0,X97/T97)</f>
        <v>-4.184040201188016</v>
      </c>
    </row>
    <row r="98" spans="1:26" ht="15" customHeight="1" x14ac:dyDescent="0.3">
      <c r="A98" s="12"/>
      <c r="C98" s="12"/>
      <c r="D98" s="19"/>
      <c r="E98" s="19"/>
      <c r="G98" s="19"/>
      <c r="H98" s="19"/>
      <c r="I98" s="19"/>
      <c r="J98" s="41"/>
      <c r="K98" s="19"/>
      <c r="L98" s="19"/>
      <c r="M98" s="19"/>
      <c r="P98" s="19"/>
      <c r="Q98" s="19"/>
      <c r="R98" s="41"/>
      <c r="S98" s="19"/>
      <c r="T98" s="19"/>
      <c r="U98" s="19"/>
      <c r="V98" s="41"/>
      <c r="W98" s="19"/>
      <c r="X98" s="19"/>
    </row>
    <row r="99" spans="1:26" ht="15" customHeight="1" x14ac:dyDescent="0.3">
      <c r="A99" s="12"/>
      <c r="B99" s="50">
        <v>44767.799547766204</v>
      </c>
      <c r="D99" s="19"/>
      <c r="E99" s="19"/>
      <c r="G99" s="19"/>
      <c r="H99" s="19"/>
      <c r="I99" s="19"/>
      <c r="J99" s="41"/>
      <c r="K99" s="19"/>
      <c r="L99" s="19"/>
      <c r="M99" s="19"/>
      <c r="P99" s="19"/>
      <c r="Q99" s="19"/>
      <c r="R99" s="41"/>
      <c r="S99" s="19"/>
      <c r="T99" s="19"/>
      <c r="U99" s="19"/>
      <c r="V99" s="41"/>
      <c r="W99" s="19"/>
      <c r="X99" s="19"/>
    </row>
    <row r="100" spans="1:26" ht="15" customHeight="1" x14ac:dyDescent="0.3">
      <c r="A100" s="12"/>
      <c r="B100" s="57" t="s">
        <v>298</v>
      </c>
      <c r="D100" s="19"/>
      <c r="E100" s="19"/>
      <c r="G100" s="19"/>
      <c r="H100" s="19"/>
      <c r="I100" s="19"/>
      <c r="J100" s="41"/>
      <c r="K100" s="19"/>
      <c r="L100" s="19"/>
      <c r="M100" s="19"/>
      <c r="P100" s="19"/>
      <c r="Q100" s="19"/>
      <c r="R100" s="41"/>
      <c r="S100" s="19"/>
      <c r="T100" s="19"/>
      <c r="U100" s="19"/>
      <c r="V100" s="41"/>
      <c r="W100" s="19"/>
      <c r="X100" s="19"/>
    </row>
    <row r="101" spans="1:26" ht="15" customHeight="1" x14ac:dyDescent="0.3">
      <c r="A101" s="12"/>
      <c r="B101" s="51"/>
      <c r="D101" s="19"/>
      <c r="E101" s="19"/>
      <c r="G101" s="19"/>
      <c r="H101" s="19"/>
      <c r="I101" s="19"/>
      <c r="J101" s="41"/>
      <c r="K101" s="19"/>
      <c r="L101" s="19"/>
      <c r="M101" s="19"/>
      <c r="P101" s="19"/>
      <c r="Q101" s="19"/>
      <c r="R101" s="41"/>
      <c r="S101" s="19"/>
      <c r="T101" s="19"/>
      <c r="U101" s="19"/>
      <c r="V101" s="41"/>
      <c r="W101" s="19"/>
      <c r="X101" s="19"/>
    </row>
    <row r="102" spans="1:26" ht="15" customHeight="1" x14ac:dyDescent="0.3">
      <c r="D102" s="19"/>
      <c r="E102" s="19"/>
      <c r="G102" s="19"/>
      <c r="H102" s="19"/>
      <c r="I102" s="19"/>
      <c r="J102" s="41"/>
      <c r="K102" s="19"/>
      <c r="L102" s="19"/>
      <c r="M102" s="19"/>
      <c r="P102" s="19"/>
      <c r="Q102" s="19"/>
      <c r="R102" s="41"/>
      <c r="S102" s="19"/>
      <c r="T102" s="19"/>
      <c r="U102" s="19"/>
      <c r="V102" s="41"/>
      <c r="W102" s="19"/>
      <c r="X102" s="19"/>
    </row>
  </sheetData>
  <pageMargins left="0.25" right="0.25" top="0.75" bottom="0.75" header="0.3" footer="0.3"/>
  <pageSetup scale="55" orientation="landscape" r:id="rId1"/>
  <headerFooter>
    <oddHeader>&amp;RPre-Audit</oddHeader>
    <oddFooter>&amp;L&amp;C&amp;R</oddFooter>
    <evenHeader>&amp;L&amp;C&amp;R</evenHeader>
    <evenFooter>&amp;L&amp;C&amp;R</even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054392-28CC-28CF-BDC5-E76CA09D5339}">
  <sheetPr>
    <tabColor rgb="FFFFFF00"/>
    <outlinePr summaryBelow="0" summaryRight="0"/>
  </sheetPr>
  <dimension ref="A2:Z92"/>
  <sheetViews>
    <sheetView showGridLines="0" defaultGridColor="0" colorId="8" zoomScale="80" workbookViewId="0">
      <pane xSplit="3" ySplit="10" topLeftCell="D11" activePane="bottomRight" state="frozen"/>
      <selection activeCell="D78" sqref="D78"/>
      <selection pane="topRight" activeCell="D78" sqref="D78"/>
      <selection pane="bottomLeft" activeCell="D78" sqref="D78"/>
      <selection pane="bottomRight" activeCell="D78" sqref="D78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3" t="s">
        <v>276</v>
      </c>
    </row>
    <row r="3" spans="1:26" ht="15" customHeight="1" x14ac:dyDescent="0.3">
      <c r="D3" s="53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3" t="str">
        <f>CONCATENATE("Period ",RIGHT(202212,2),", ",2022)</f>
        <v>Period 12,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5"/>
      <c r="D5" s="60">
        <v>44742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5"/>
      <c r="B6" s="47"/>
      <c r="C6" s="47"/>
      <c r="D6" s="25" t="s">
        <v>307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4"/>
    </row>
    <row r="8" spans="1:26" ht="15" customHeight="1" x14ac:dyDescent="0.3">
      <c r="B8" s="54"/>
    </row>
    <row r="9" spans="1:26" ht="15" customHeight="1" x14ac:dyDescent="0.3">
      <c r="B9" s="12"/>
      <c r="C9" s="12"/>
      <c r="D9" s="16" t="s">
        <v>279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280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ht="15" customHeight="1" x14ac:dyDescent="0.3">
      <c r="A10" s="13"/>
      <c r="B10" s="52"/>
      <c r="C10" s="13"/>
      <c r="D10" s="40" t="s">
        <v>281</v>
      </c>
      <c r="E10" s="32"/>
      <c r="F10" s="39" t="s">
        <v>282</v>
      </c>
      <c r="G10" s="32"/>
      <c r="H10" s="45" t="s">
        <v>283</v>
      </c>
      <c r="I10" s="32"/>
      <c r="J10" s="42" t="s">
        <v>284</v>
      </c>
      <c r="K10" s="13"/>
      <c r="L10" s="40" t="s">
        <v>285</v>
      </c>
      <c r="M10" s="13"/>
      <c r="N10" s="39" t="s">
        <v>286</v>
      </c>
      <c r="O10" s="13"/>
      <c r="P10" s="55" t="s">
        <v>281</v>
      </c>
      <c r="Q10" s="32"/>
      <c r="R10" s="39" t="s">
        <v>282</v>
      </c>
      <c r="S10" s="32"/>
      <c r="T10" s="45" t="s">
        <v>283</v>
      </c>
      <c r="U10" s="32"/>
      <c r="V10" s="42" t="s">
        <v>284</v>
      </c>
      <c r="W10" s="13"/>
      <c r="X10" s="40" t="s">
        <v>285</v>
      </c>
      <c r="Y10" s="13"/>
      <c r="Z10" s="39" t="s">
        <v>286</v>
      </c>
    </row>
    <row r="11" spans="1:26" ht="16.5" customHeight="1" x14ac:dyDescent="0.3">
      <c r="A11" s="12"/>
      <c r="B11" s="58"/>
      <c r="C11" s="12"/>
      <c r="D11" s="12"/>
      <c r="E11" s="12"/>
      <c r="F11" s="10"/>
      <c r="G11" s="12"/>
      <c r="H11" s="12"/>
      <c r="I11" s="12"/>
      <c r="J11" s="43"/>
      <c r="K11" s="12"/>
      <c r="L11" s="12"/>
      <c r="M11" s="12"/>
      <c r="N11" s="10"/>
      <c r="P11" s="12"/>
      <c r="Q11" s="12"/>
      <c r="R11" s="10"/>
      <c r="S11" s="12"/>
      <c r="T11" s="12"/>
      <c r="U11" s="12"/>
      <c r="V11" s="43"/>
      <c r="W11" s="12"/>
      <c r="X11" s="12"/>
      <c r="Y11" s="12"/>
      <c r="Z11" s="10"/>
    </row>
    <row r="12" spans="1:26" s="63" customFormat="1" ht="15" customHeight="1" collapsed="1" x14ac:dyDescent="0.3">
      <c r="A12" s="13"/>
      <c r="B12" s="28" t="s">
        <v>287</v>
      </c>
      <c r="C12" s="13"/>
      <c r="D12" s="8">
        <f>SUM(OSRRefD13x_0)</f>
        <v>8536.74</v>
      </c>
      <c r="E12" s="8"/>
      <c r="F12" s="14"/>
      <c r="G12" s="8"/>
      <c r="H12" s="8">
        <f>SUM(OSRRefH13x_0)</f>
        <v>5600</v>
      </c>
      <c r="I12" s="8"/>
      <c r="J12" s="14"/>
      <c r="K12" s="8"/>
      <c r="L12" s="8">
        <f t="shared" ref="L12:L17" si="0">+D12-H12</f>
        <v>2936.74</v>
      </c>
      <c r="M12" s="8"/>
      <c r="N12" s="14">
        <f t="shared" ref="N12:N17" si="1">IF(H12=0,0,L12/H12)</f>
        <v>0.52441785714285716</v>
      </c>
      <c r="O12" s="13"/>
      <c r="P12" s="8">
        <f>SUM(OSRRefP13x_0)</f>
        <v>232003.74</v>
      </c>
      <c r="Q12" s="8"/>
      <c r="R12" s="14"/>
      <c r="S12" s="8"/>
      <c r="T12" s="8">
        <f>SUM(OSRRefT13x_0)</f>
        <v>405930</v>
      </c>
      <c r="U12" s="8"/>
      <c r="V12" s="14"/>
      <c r="W12" s="8"/>
      <c r="X12" s="8">
        <f t="shared" ref="X12:X17" si="2">+P12-T12</f>
        <v>-173926.26</v>
      </c>
      <c r="Y12" s="8"/>
      <c r="Z12" s="14">
        <f t="shared" ref="Z12:Z17" si="3">IF(T12=0,0,X12/T12)</f>
        <v>-0.4284636760032518</v>
      </c>
    </row>
    <row r="13" spans="1:26" s="70" customFormat="1" ht="15" hidden="1" customHeight="1" outlineLevel="1" x14ac:dyDescent="0.3">
      <c r="A13" s="48"/>
      <c r="B13" s="9" t="str">
        <f>CONCATENATE("          ","4000"," - ","TAXABLE SALES")</f>
        <v xml:space="preserve">          4000 - TAXABLE SALES</v>
      </c>
      <c r="C13" s="9"/>
      <c r="D13" s="3">
        <f>--7642.39</f>
        <v>7642.39</v>
      </c>
      <c r="E13" s="3"/>
      <c r="F13" s="26"/>
      <c r="G13" s="3"/>
      <c r="H13" s="3">
        <v>3100</v>
      </c>
      <c r="I13" s="3"/>
      <c r="J13" s="26"/>
      <c r="K13" s="3"/>
      <c r="L13" s="3">
        <f t="shared" si="0"/>
        <v>4542.3900000000003</v>
      </c>
      <c r="M13" s="3"/>
      <c r="N13" s="26">
        <f t="shared" si="1"/>
        <v>1.4652870967741936</v>
      </c>
      <c r="O13" s="9"/>
      <c r="P13" s="3">
        <f>--180921.31</f>
        <v>180921.31</v>
      </c>
      <c r="Q13" s="3"/>
      <c r="R13" s="26"/>
      <c r="S13" s="3"/>
      <c r="T13" s="3">
        <v>199430</v>
      </c>
      <c r="U13" s="3"/>
      <c r="V13" s="26"/>
      <c r="W13" s="3"/>
      <c r="X13" s="3">
        <f t="shared" si="2"/>
        <v>-18508.690000000002</v>
      </c>
      <c r="Y13" s="3"/>
      <c r="Z13" s="26">
        <f t="shared" si="3"/>
        <v>-9.2807952665095533E-2</v>
      </c>
    </row>
    <row r="14" spans="1:26" s="70" customFormat="1" ht="15" hidden="1" customHeight="1" outlineLevel="1" x14ac:dyDescent="0.3">
      <c r="A14" s="48"/>
      <c r="B14" s="9" t="str">
        <f>CONCATENATE("          ","4100"," - ","NON-TAXABLE SALES")</f>
        <v xml:space="preserve">          4100 - NON-TAXABLE SALES</v>
      </c>
      <c r="C14" s="9"/>
      <c r="D14" s="3">
        <f>--894.35</f>
        <v>894.35</v>
      </c>
      <c r="E14" s="3"/>
      <c r="F14" s="26"/>
      <c r="G14" s="3"/>
      <c r="H14" s="3">
        <v>2500</v>
      </c>
      <c r="I14" s="3"/>
      <c r="J14" s="26"/>
      <c r="K14" s="3"/>
      <c r="L14" s="3">
        <f t="shared" si="0"/>
        <v>-1605.65</v>
      </c>
      <c r="M14" s="3"/>
      <c r="N14" s="26">
        <f t="shared" si="1"/>
        <v>-0.64226000000000005</v>
      </c>
      <c r="O14" s="9"/>
      <c r="P14" s="3">
        <f>--52182.38</f>
        <v>52182.38</v>
      </c>
      <c r="Q14" s="3"/>
      <c r="R14" s="26"/>
      <c r="S14" s="3"/>
      <c r="T14" s="3">
        <v>206500</v>
      </c>
      <c r="U14" s="3"/>
      <c r="V14" s="26"/>
      <c r="W14" s="3"/>
      <c r="X14" s="3">
        <f t="shared" si="2"/>
        <v>-154317.62</v>
      </c>
      <c r="Y14" s="3"/>
      <c r="Z14" s="26">
        <f t="shared" si="3"/>
        <v>-0.74730082324455205</v>
      </c>
    </row>
    <row r="15" spans="1:26" s="70" customFormat="1" ht="15" hidden="1" customHeight="1" outlineLevel="1" x14ac:dyDescent="0.3">
      <c r="A15" s="48"/>
      <c r="B15" s="9" t="str">
        <f>CONCATENATE("          ","4141"," - ","NON-TAXABLE SALES-LOGO GIFTS")</f>
        <v xml:space="preserve">          4141 - NON-TAXABLE SALES-LOGO GIFTS</v>
      </c>
      <c r="C15" s="9"/>
      <c r="D15" s="3">
        <f>0</f>
        <v>0</v>
      </c>
      <c r="E15" s="3"/>
      <c r="F15" s="26"/>
      <c r="G15" s="3"/>
      <c r="H15" s="3"/>
      <c r="I15" s="3"/>
      <c r="J15" s="26"/>
      <c r="K15" s="3"/>
      <c r="L15" s="3">
        <f t="shared" si="0"/>
        <v>0</v>
      </c>
      <c r="M15" s="3"/>
      <c r="N15" s="26">
        <f t="shared" si="1"/>
        <v>0</v>
      </c>
      <c r="O15" s="9"/>
      <c r="P15" s="3">
        <f>0</f>
        <v>0</v>
      </c>
      <c r="Q15" s="3"/>
      <c r="R15" s="26"/>
      <c r="S15" s="3"/>
      <c r="T15" s="3"/>
      <c r="U15" s="3"/>
      <c r="V15" s="26"/>
      <c r="W15" s="3"/>
      <c r="X15" s="3">
        <f t="shared" si="2"/>
        <v>0</v>
      </c>
      <c r="Y15" s="3"/>
      <c r="Z15" s="26">
        <f t="shared" si="3"/>
        <v>0</v>
      </c>
    </row>
    <row r="16" spans="1:26" s="70" customFormat="1" ht="15" hidden="1" customHeight="1" outlineLevel="1" x14ac:dyDescent="0.3">
      <c r="A16" s="48"/>
      <c r="B16" s="9" t="str">
        <f>CONCATENATE("          ","4146"," - ","NON-TAXABLE SALES-COIN OP MACH")</f>
        <v xml:space="preserve">          4146 - NON-TAXABLE SALES-COIN OP MACH</v>
      </c>
      <c r="C16" s="9"/>
      <c r="D16" s="3">
        <f>0</f>
        <v>0</v>
      </c>
      <c r="E16" s="3"/>
      <c r="F16" s="26"/>
      <c r="G16" s="3"/>
      <c r="H16" s="3"/>
      <c r="I16" s="3"/>
      <c r="J16" s="26"/>
      <c r="K16" s="3"/>
      <c r="L16" s="3">
        <f t="shared" si="0"/>
        <v>0</v>
      </c>
      <c r="M16" s="3"/>
      <c r="N16" s="26">
        <f t="shared" si="1"/>
        <v>0</v>
      </c>
      <c r="O16" s="9"/>
      <c r="P16" s="3">
        <f>0</f>
        <v>0</v>
      </c>
      <c r="Q16" s="3"/>
      <c r="R16" s="26"/>
      <c r="S16" s="3"/>
      <c r="T16" s="3"/>
      <c r="U16" s="3"/>
      <c r="V16" s="26"/>
      <c r="W16" s="3"/>
      <c r="X16" s="3">
        <f t="shared" si="2"/>
        <v>0</v>
      </c>
      <c r="Y16" s="3"/>
      <c r="Z16" s="26">
        <f t="shared" si="3"/>
        <v>0</v>
      </c>
    </row>
    <row r="17" spans="1:26" s="70" customFormat="1" ht="15" hidden="1" customHeight="1" outlineLevel="1" x14ac:dyDescent="0.3">
      <c r="A17" s="48"/>
      <c r="B17" s="9" t="str">
        <f>CONCATENATE("          ","4200"," - ","TAXABLE RETURNS")</f>
        <v xml:space="preserve">          4200 - TAXABLE RETURNS</v>
      </c>
      <c r="C17" s="9"/>
      <c r="D17" s="3">
        <f>0</f>
        <v>0</v>
      </c>
      <c r="E17" s="3"/>
      <c r="F17" s="26"/>
      <c r="G17" s="3"/>
      <c r="H17" s="3"/>
      <c r="I17" s="3"/>
      <c r="J17" s="26"/>
      <c r="K17" s="3"/>
      <c r="L17" s="3">
        <f t="shared" si="0"/>
        <v>0</v>
      </c>
      <c r="M17" s="3"/>
      <c r="N17" s="26">
        <f t="shared" si="1"/>
        <v>0</v>
      </c>
      <c r="O17" s="9"/>
      <c r="P17" s="3">
        <f>-1099.95</f>
        <v>-1099.95</v>
      </c>
      <c r="Q17" s="3"/>
      <c r="R17" s="26"/>
      <c r="S17" s="3"/>
      <c r="T17" s="3"/>
      <c r="U17" s="3"/>
      <c r="V17" s="26"/>
      <c r="W17" s="3"/>
      <c r="X17" s="3">
        <f t="shared" si="2"/>
        <v>-1099.95</v>
      </c>
      <c r="Y17" s="3"/>
      <c r="Z17" s="26">
        <f t="shared" si="3"/>
        <v>0</v>
      </c>
    </row>
    <row r="18" spans="1:26" ht="15" customHeight="1" x14ac:dyDescent="0.3">
      <c r="A18" s="12"/>
      <c r="B18" s="13"/>
      <c r="C18" s="12"/>
      <c r="D18" s="4"/>
      <c r="E18" s="4"/>
      <c r="F18" s="10"/>
      <c r="G18" s="4"/>
      <c r="H18" s="4"/>
      <c r="I18" s="4"/>
      <c r="J18" s="10"/>
      <c r="K18" s="4"/>
      <c r="L18" s="4"/>
      <c r="M18" s="4"/>
      <c r="N18" s="10"/>
      <c r="P18" s="4"/>
      <c r="Q18" s="4"/>
      <c r="R18" s="10"/>
      <c r="S18" s="4"/>
      <c r="T18" s="4"/>
      <c r="U18" s="4"/>
      <c r="V18" s="10"/>
      <c r="W18" s="4"/>
      <c r="X18" s="4"/>
      <c r="Y18" s="4"/>
      <c r="Z18" s="10"/>
    </row>
    <row r="19" spans="1:26" s="63" customFormat="1" ht="15" customHeight="1" collapsed="1" x14ac:dyDescent="0.3">
      <c r="A19" s="13"/>
      <c r="B19" s="28" t="s">
        <v>288</v>
      </c>
      <c r="C19" s="13"/>
      <c r="D19" s="8">
        <f>SUM(OSRRefD16x_0)</f>
        <v>0</v>
      </c>
      <c r="E19" s="8"/>
      <c r="F19" s="14">
        <f>IF(D$12=0,0,D19/D$12)</f>
        <v>0</v>
      </c>
      <c r="G19" s="8"/>
      <c r="H19" s="8">
        <f>SUM(OSRRefH16x_0)</f>
        <v>0</v>
      </c>
      <c r="I19" s="8"/>
      <c r="J19" s="14">
        <f>IF(H$12=0,0,H19/H$12)</f>
        <v>0</v>
      </c>
      <c r="K19" s="8"/>
      <c r="L19" s="8">
        <f>+D19-H19</f>
        <v>0</v>
      </c>
      <c r="M19" s="8"/>
      <c r="N19" s="14">
        <f>IF(H19=0,0,L19/H19)</f>
        <v>0</v>
      </c>
      <c r="O19" s="13"/>
      <c r="P19" s="8">
        <f>SUM(OSRRefP16x_0)</f>
        <v>8.26</v>
      </c>
      <c r="Q19" s="8"/>
      <c r="R19" s="14">
        <f>IF(P$12=0,0,P19/P$12)</f>
        <v>3.5602874332974113E-5</v>
      </c>
      <c r="S19" s="8"/>
      <c r="T19" s="8">
        <f>SUM(OSRRefT16x_0)</f>
        <v>0</v>
      </c>
      <c r="U19" s="8"/>
      <c r="V19" s="14">
        <f>IF(T$12=0,0,T19/T$12)</f>
        <v>0</v>
      </c>
      <c r="W19" s="8"/>
      <c r="X19" s="8">
        <f>+P19-T19</f>
        <v>8.26</v>
      </c>
      <c r="Y19" s="8"/>
      <c r="Z19" s="14">
        <f>IF(T19=0,0,X19/T19)</f>
        <v>0</v>
      </c>
    </row>
    <row r="20" spans="1:26" s="70" customFormat="1" ht="15" hidden="1" customHeight="1" outlineLevel="1" x14ac:dyDescent="0.3">
      <c r="A20" s="48"/>
      <c r="B20" s="9" t="str">
        <f>CONCATENATE("          ","5000"," - ","PURCHASES @ COST")</f>
        <v xml:space="preserve">          5000 - PURCHASES @ COST</v>
      </c>
      <c r="C20" s="9"/>
      <c r="D20" s="3"/>
      <c r="E20" s="3"/>
      <c r="F20" s="26">
        <f>IF(D$12=0,0,D20/D$12)</f>
        <v>0</v>
      </c>
      <c r="G20" s="3"/>
      <c r="H20" s="3">
        <v>0</v>
      </c>
      <c r="I20" s="3"/>
      <c r="J20" s="26">
        <f>IF(H$12=0,0,H20/H$12)</f>
        <v>0</v>
      </c>
      <c r="K20" s="3"/>
      <c r="L20" s="3">
        <f>+D20-H20</f>
        <v>0</v>
      </c>
      <c r="M20" s="3"/>
      <c r="N20" s="26">
        <f>IF(H20=0,0,L20/H20)</f>
        <v>0</v>
      </c>
      <c r="O20" s="9"/>
      <c r="P20" s="3"/>
      <c r="Q20" s="3"/>
      <c r="R20" s="26">
        <f>IF(P$12=0,0,P20/P$12)</f>
        <v>0</v>
      </c>
      <c r="S20" s="3"/>
      <c r="T20" s="3">
        <v>0</v>
      </c>
      <c r="U20" s="3"/>
      <c r="V20" s="26">
        <f>IF(T$12=0,0,T20/T$12)</f>
        <v>0</v>
      </c>
      <c r="W20" s="3"/>
      <c r="X20" s="3">
        <f>+P20-T20</f>
        <v>0</v>
      </c>
      <c r="Y20" s="3"/>
      <c r="Z20" s="26">
        <f>IF(T20=0,0,X20/T20)</f>
        <v>0</v>
      </c>
    </row>
    <row r="21" spans="1:26" s="70" customFormat="1" ht="15" hidden="1" customHeight="1" outlineLevel="1" x14ac:dyDescent="0.3">
      <c r="A21" s="48"/>
      <c r="B21" s="9" t="str">
        <f>CONCATENATE("          ","5500"," - ","FREIGHT-IN")</f>
        <v xml:space="preserve">          5500 - FREIGHT-IN</v>
      </c>
      <c r="C21" s="9"/>
      <c r="D21" s="3"/>
      <c r="E21" s="3"/>
      <c r="F21" s="26">
        <f>IF(D$12=0,0,D21/D$12)</f>
        <v>0</v>
      </c>
      <c r="G21" s="3"/>
      <c r="H21" s="3"/>
      <c r="I21" s="3"/>
      <c r="J21" s="26">
        <f>IF(H$12=0,0,H21/H$12)</f>
        <v>0</v>
      </c>
      <c r="K21" s="3"/>
      <c r="L21" s="3">
        <f>+D21-H21</f>
        <v>0</v>
      </c>
      <c r="M21" s="3"/>
      <c r="N21" s="26">
        <f>IF(H21=0,0,L21/H21)</f>
        <v>0</v>
      </c>
      <c r="O21" s="9"/>
      <c r="P21" s="3">
        <v>8.26</v>
      </c>
      <c r="Q21" s="3"/>
      <c r="R21" s="26">
        <f>IF(P$12=0,0,P21/P$12)</f>
        <v>3.5602874332974113E-5</v>
      </c>
      <c r="S21" s="3"/>
      <c r="T21" s="3"/>
      <c r="U21" s="3"/>
      <c r="V21" s="26">
        <f>IF(T$12=0,0,T21/T$12)</f>
        <v>0</v>
      </c>
      <c r="W21" s="3"/>
      <c r="X21" s="3">
        <f>+P21-T21</f>
        <v>8.26</v>
      </c>
      <c r="Y21" s="3"/>
      <c r="Z21" s="26">
        <f>IF(T21=0,0,X21/T21)</f>
        <v>0</v>
      </c>
    </row>
    <row r="22" spans="1:26" ht="15" customHeight="1" x14ac:dyDescent="0.3">
      <c r="A22" s="12"/>
      <c r="B22" s="13"/>
      <c r="C22" s="13"/>
      <c r="D22" s="4"/>
      <c r="E22" s="4"/>
      <c r="F22" s="10"/>
      <c r="G22" s="4"/>
      <c r="H22" s="4"/>
      <c r="I22" s="4"/>
      <c r="J22" s="10"/>
      <c r="K22" s="4"/>
      <c r="L22" s="4"/>
      <c r="M22" s="4"/>
      <c r="N22" s="10"/>
      <c r="O22" s="13"/>
      <c r="P22" s="4"/>
      <c r="Q22" s="4"/>
      <c r="R22" s="10"/>
      <c r="S22" s="4"/>
      <c r="T22" s="4"/>
      <c r="U22" s="4"/>
      <c r="V22" s="10"/>
      <c r="W22" s="4"/>
      <c r="X22" s="4"/>
      <c r="Y22" s="4"/>
      <c r="Z22" s="10"/>
    </row>
    <row r="23" spans="1:26" s="63" customFormat="1" ht="15" customHeight="1" x14ac:dyDescent="0.3">
      <c r="A23" s="13"/>
      <c r="B23" s="27" t="s">
        <v>289</v>
      </c>
      <c r="C23" s="27"/>
      <c r="D23" s="23">
        <f>D12-D19</f>
        <v>8536.74</v>
      </c>
      <c r="E23" s="15"/>
      <c r="F23" s="22">
        <f>IF(D$12=0,0,D23/D$12)</f>
        <v>1</v>
      </c>
      <c r="G23" s="15"/>
      <c r="H23" s="23">
        <f>H12-H19</f>
        <v>5600</v>
      </c>
      <c r="I23" s="15"/>
      <c r="J23" s="22">
        <f>IF(H$12=0,0,H23/H$12)</f>
        <v>1</v>
      </c>
      <c r="K23" s="17"/>
      <c r="L23" s="23">
        <f>+D23-H23</f>
        <v>2936.74</v>
      </c>
      <c r="M23" s="17"/>
      <c r="N23" s="22">
        <f>IF(H23=0,0,L23/H23)</f>
        <v>0.52441785714285716</v>
      </c>
      <c r="O23" s="28"/>
      <c r="P23" s="23">
        <f>P12-P19</f>
        <v>231995.47999999998</v>
      </c>
      <c r="Q23" s="15"/>
      <c r="R23" s="22">
        <f>IF(P$12=0,0,P23/P$12)</f>
        <v>0.99996439712566698</v>
      </c>
      <c r="S23" s="15"/>
      <c r="T23" s="23">
        <f>T12-T19</f>
        <v>405930</v>
      </c>
      <c r="U23" s="15"/>
      <c r="V23" s="22">
        <f>IF(T$12=0,0,T23/T$12)</f>
        <v>1</v>
      </c>
      <c r="W23" s="17"/>
      <c r="X23" s="23">
        <f>+P23-T23</f>
        <v>-173934.52000000002</v>
      </c>
      <c r="Y23" s="17"/>
      <c r="Z23" s="22">
        <f>IF(T23=0,0,X23/T23)</f>
        <v>-0.42848402433917182</v>
      </c>
    </row>
    <row r="24" spans="1:26" ht="15" customHeight="1" x14ac:dyDescent="0.3">
      <c r="A24" s="12"/>
      <c r="B24" s="13"/>
      <c r="C24" s="12"/>
      <c r="D24" s="2"/>
      <c r="E24" s="2"/>
      <c r="F24" s="5"/>
      <c r="G24" s="2"/>
      <c r="H24" s="2"/>
      <c r="I24" s="2"/>
      <c r="J24" s="5"/>
      <c r="K24" s="2"/>
      <c r="L24" s="2"/>
      <c r="M24" s="2"/>
      <c r="N24" s="5"/>
      <c r="O24" s="36"/>
      <c r="P24" s="2"/>
      <c r="Q24" s="2"/>
      <c r="R24" s="5"/>
      <c r="S24" s="2"/>
      <c r="T24" s="2"/>
      <c r="U24" s="2"/>
      <c r="V24" s="5"/>
      <c r="W24" s="2"/>
      <c r="X24" s="2"/>
      <c r="Y24" s="2"/>
      <c r="Z24" s="5"/>
    </row>
    <row r="25" spans="1:26" s="63" customFormat="1" ht="15" customHeight="1" x14ac:dyDescent="0.3">
      <c r="A25" s="13"/>
      <c r="B25" s="28" t="s">
        <v>290</v>
      </c>
      <c r="C25" s="13"/>
      <c r="D25" s="24" cm="1">
        <f t="array" ref="D25">SUM(OSRRefD22x_0)</f>
        <v>30325.42</v>
      </c>
      <c r="E25" s="24"/>
      <c r="F25" s="34">
        <f t="shared" ref="F25:F56" si="4">IF(D$12=0,0,D25/D$12)</f>
        <v>3.5523419947192956</v>
      </c>
      <c r="G25" s="24"/>
      <c r="H25" s="24" cm="1">
        <f t="array" ref="H25">SUM(OSRRefH22x_0)</f>
        <v>24289.503919615392</v>
      </c>
      <c r="I25" s="24"/>
      <c r="J25" s="34">
        <f t="shared" ref="J25:J56" si="5">IF(H$12=0,0,H25/H$12)</f>
        <v>4.3374114142170344</v>
      </c>
      <c r="K25" s="8"/>
      <c r="L25" s="24">
        <f t="shared" ref="L25:L56" si="6">+D25-H25</f>
        <v>6035.9160803846062</v>
      </c>
      <c r="M25" s="8"/>
      <c r="N25" s="34">
        <f t="shared" ref="N25:N56" si="7">IF(H25=0,0,L25/H25)</f>
        <v>0.24849894425016239</v>
      </c>
      <c r="O25" s="13"/>
      <c r="P25" s="24" cm="1">
        <f t="array" ref="P25">SUM(OSRRefP22x_0)</f>
        <v>304553.09000000008</v>
      </c>
      <c r="Q25" s="24"/>
      <c r="R25" s="34">
        <f t="shared" ref="R25:R56" si="8">IF(P$12=0,0,P25/P$12)</f>
        <v>1.312707674453869</v>
      </c>
      <c r="S25" s="24"/>
      <c r="T25" s="24" cm="1">
        <f t="array" ref="T25">SUM(OSRRefT22x_0)</f>
        <v>358578.78508969286</v>
      </c>
      <c r="U25" s="24"/>
      <c r="V25" s="34">
        <f t="shared" ref="V25:V56" si="9">IF(T$12=0,0,T25/T$12)</f>
        <v>0.88335127999825802</v>
      </c>
      <c r="W25" s="8"/>
      <c r="X25" s="24">
        <f t="shared" ref="X25:X56" si="10">+P25-T25</f>
        <v>-54025.695089692774</v>
      </c>
      <c r="Y25" s="8"/>
      <c r="Z25" s="34">
        <f t="shared" ref="Z25:Z56" si="11">IF(T25=0,0,X25/T25)</f>
        <v>-0.1506661780790492</v>
      </c>
    </row>
    <row r="26" spans="1:26" s="69" customFormat="1" ht="15" customHeight="1" outlineLevel="1" collapsed="1" x14ac:dyDescent="0.3">
      <c r="A26" s="20"/>
      <c r="B26" s="11" t="str">
        <f>CONCATENATE("     ","*Benefits                                         ")</f>
        <v xml:space="preserve">     *Benefits                                         </v>
      </c>
      <c r="C26" s="11"/>
      <c r="D26" s="2">
        <f>SUM(OSRRefD22_0x_0)</f>
        <v>1722.6800000000003</v>
      </c>
      <c r="E26" s="2"/>
      <c r="F26" s="5">
        <f t="shared" si="4"/>
        <v>0.20179600175242543</v>
      </c>
      <c r="G26" s="2"/>
      <c r="H26" s="2">
        <f>SUM(OSRRefH22_0x_0)</f>
        <v>4161.6077657692331</v>
      </c>
      <c r="I26" s="2"/>
      <c r="J26" s="5">
        <f t="shared" si="5"/>
        <v>0.743144243887363</v>
      </c>
      <c r="K26" s="2"/>
      <c r="L26" s="2">
        <f t="shared" si="6"/>
        <v>-2438.9277657692328</v>
      </c>
      <c r="M26" s="2"/>
      <c r="N26" s="5">
        <f t="shared" si="7"/>
        <v>-0.58605421342931885</v>
      </c>
      <c r="O26" s="11"/>
      <c r="P26" s="2">
        <f>SUM(OSRRefP22_0x_0)</f>
        <v>79208.69</v>
      </c>
      <c r="Q26" s="2"/>
      <c r="R26" s="5">
        <f t="shared" si="8"/>
        <v>0.34141126345635636</v>
      </c>
      <c r="S26" s="2"/>
      <c r="T26" s="2">
        <f>SUM(OSRRefT22_0x_0)</f>
        <v>67519.216551230842</v>
      </c>
      <c r="U26" s="2"/>
      <c r="V26" s="5">
        <f t="shared" si="9"/>
        <v>0.16633216700226847</v>
      </c>
      <c r="W26" s="2"/>
      <c r="X26" s="2">
        <f t="shared" si="10"/>
        <v>11689.47344876916</v>
      </c>
      <c r="Y26" s="2"/>
      <c r="Z26" s="5">
        <f t="shared" si="11"/>
        <v>0.17312809664933926</v>
      </c>
    </row>
    <row r="27" spans="1:26" s="70" customFormat="1" ht="15" hidden="1" customHeight="1" outlineLevel="2" x14ac:dyDescent="0.3">
      <c r="A27" s="21"/>
      <c r="B27" s="9" t="str">
        <f>CONCATENATE("          ","6111"," - ","F.I.C.A.")</f>
        <v xml:space="preserve">          6111 - F.I.C.A.</v>
      </c>
      <c r="C27" s="9"/>
      <c r="D27" s="6">
        <v>750.09</v>
      </c>
      <c r="E27" s="3"/>
      <c r="F27" s="7">
        <f t="shared" si="4"/>
        <v>8.7866094082752907E-2</v>
      </c>
      <c r="G27" s="3"/>
      <c r="H27" s="6">
        <v>678.81226961538505</v>
      </c>
      <c r="I27" s="3"/>
      <c r="J27" s="7">
        <f t="shared" si="5"/>
        <v>0.12121647671703305</v>
      </c>
      <c r="K27" s="3"/>
      <c r="L27" s="6">
        <f t="shared" si="6"/>
        <v>71.277730384614983</v>
      </c>
      <c r="M27" s="3"/>
      <c r="N27" s="7">
        <f t="shared" si="7"/>
        <v>0.10500359757050493</v>
      </c>
      <c r="O27" s="9"/>
      <c r="P27" s="6">
        <v>13677.81</v>
      </c>
      <c r="Q27" s="3"/>
      <c r="R27" s="7">
        <f t="shared" si="8"/>
        <v>5.89551271888979E-2</v>
      </c>
      <c r="S27" s="3"/>
      <c r="T27" s="6">
        <v>11844.984909692301</v>
      </c>
      <c r="U27" s="3"/>
      <c r="V27" s="7">
        <f t="shared" si="9"/>
        <v>2.917987069123322E-2</v>
      </c>
      <c r="W27" s="3"/>
      <c r="X27" s="6">
        <f t="shared" si="10"/>
        <v>1832.8250903076987</v>
      </c>
      <c r="Y27" s="3"/>
      <c r="Z27" s="7">
        <f t="shared" si="11"/>
        <v>0.15473426975900725</v>
      </c>
    </row>
    <row r="28" spans="1:26" s="70" customFormat="1" ht="15" hidden="1" customHeight="1" outlineLevel="2" x14ac:dyDescent="0.3">
      <c r="A28" s="21"/>
      <c r="B28" s="9" t="str">
        <f>CONCATENATE("          ","6112"," - ","COMPENSATION INSURANCE")</f>
        <v xml:space="preserve">          6112 - COMPENSATION INSURANCE</v>
      </c>
      <c r="C28" s="9"/>
      <c r="D28" s="6">
        <v>-2600.54</v>
      </c>
      <c r="E28" s="3"/>
      <c r="F28" s="7">
        <f t="shared" si="4"/>
        <v>-0.30462916757450736</v>
      </c>
      <c r="G28" s="3"/>
      <c r="H28" s="6">
        <v>138.37020000000001</v>
      </c>
      <c r="I28" s="3"/>
      <c r="J28" s="7">
        <f t="shared" si="5"/>
        <v>2.4708964285714289E-2</v>
      </c>
      <c r="K28" s="3"/>
      <c r="L28" s="6">
        <f t="shared" si="6"/>
        <v>-2738.9101999999998</v>
      </c>
      <c r="M28" s="3"/>
      <c r="N28" s="7">
        <f t="shared" si="7"/>
        <v>-19.794075602983877</v>
      </c>
      <c r="O28" s="9"/>
      <c r="P28" s="6">
        <v>380.35</v>
      </c>
      <c r="Q28" s="3"/>
      <c r="R28" s="7">
        <f t="shared" si="8"/>
        <v>1.6394132267005697E-3</v>
      </c>
      <c r="S28" s="3"/>
      <c r="T28" s="6">
        <v>2421.0530399999998</v>
      </c>
      <c r="U28" s="3"/>
      <c r="V28" s="7">
        <f t="shared" si="9"/>
        <v>5.9642131401965847E-3</v>
      </c>
      <c r="W28" s="3"/>
      <c r="X28" s="6">
        <f t="shared" si="10"/>
        <v>-2040.7030399999999</v>
      </c>
      <c r="Y28" s="3"/>
      <c r="Z28" s="7">
        <f t="shared" si="11"/>
        <v>-0.84289893954574413</v>
      </c>
    </row>
    <row r="29" spans="1:26" s="70" customFormat="1" ht="15" hidden="1" customHeight="1" outlineLevel="2" x14ac:dyDescent="0.3">
      <c r="A29" s="21"/>
      <c r="B29" s="9" t="str">
        <f>CONCATENATE("          ","6113"," - ","GROUP INSURANCE")</f>
        <v xml:space="preserve">          6113 - GROUP INSURANCE</v>
      </c>
      <c r="C29" s="9"/>
      <c r="D29" s="6">
        <v>1287</v>
      </c>
      <c r="E29" s="3"/>
      <c r="F29" s="7">
        <f t="shared" si="4"/>
        <v>0.15076012623085627</v>
      </c>
      <c r="G29" s="3"/>
      <c r="H29" s="6">
        <v>1326</v>
      </c>
      <c r="I29" s="3"/>
      <c r="J29" s="7">
        <f t="shared" si="5"/>
        <v>0.23678571428571429</v>
      </c>
      <c r="K29" s="3"/>
      <c r="L29" s="6">
        <f t="shared" si="6"/>
        <v>-39</v>
      </c>
      <c r="M29" s="3"/>
      <c r="N29" s="7">
        <f t="shared" si="7"/>
        <v>-2.9411764705882353E-2</v>
      </c>
      <c r="O29" s="9"/>
      <c r="P29" s="6">
        <v>25608.02</v>
      </c>
      <c r="Q29" s="3"/>
      <c r="R29" s="7">
        <f t="shared" si="8"/>
        <v>0.11037761718841257</v>
      </c>
      <c r="S29" s="3"/>
      <c r="T29" s="6">
        <v>20854.5</v>
      </c>
      <c r="U29" s="3"/>
      <c r="V29" s="7">
        <f t="shared" si="9"/>
        <v>5.1374621240115291E-2</v>
      </c>
      <c r="W29" s="3"/>
      <c r="X29" s="6">
        <f t="shared" si="10"/>
        <v>4753.5200000000004</v>
      </c>
      <c r="Y29" s="3"/>
      <c r="Z29" s="7">
        <f t="shared" si="11"/>
        <v>0.22793737562636363</v>
      </c>
    </row>
    <row r="30" spans="1:26" s="70" customFormat="1" ht="15" hidden="1" customHeight="1" outlineLevel="2" x14ac:dyDescent="0.3">
      <c r="A30" s="21"/>
      <c r="B30" s="9" t="str">
        <f>CONCATENATE("          ","6114"," - ","STATE UNEMPLOYMENT INSURANCE")</f>
        <v xml:space="preserve">          6114 - STATE UNEMPLOYMENT INSURANCE</v>
      </c>
      <c r="C30" s="9"/>
      <c r="D30" s="6"/>
      <c r="E30" s="3"/>
      <c r="F30" s="7">
        <f t="shared" si="4"/>
        <v>0</v>
      </c>
      <c r="G30" s="3"/>
      <c r="H30" s="6">
        <v>18.626757692307699</v>
      </c>
      <c r="I30" s="3"/>
      <c r="J30" s="7">
        <f t="shared" si="5"/>
        <v>3.326206730769232E-3</v>
      </c>
      <c r="K30" s="3"/>
      <c r="L30" s="6">
        <f t="shared" si="6"/>
        <v>-18.626757692307699</v>
      </c>
      <c r="M30" s="3"/>
      <c r="N30" s="7">
        <f t="shared" si="7"/>
        <v>-1</v>
      </c>
      <c r="O30" s="9"/>
      <c r="P30" s="6">
        <v>523.66999999999996</v>
      </c>
      <c r="Q30" s="3"/>
      <c r="R30" s="7">
        <f t="shared" si="8"/>
        <v>2.2571618888557569E-3</v>
      </c>
      <c r="S30" s="3"/>
      <c r="T30" s="6">
        <v>325.91098615384601</v>
      </c>
      <c r="U30" s="3"/>
      <c r="V30" s="7">
        <f t="shared" si="9"/>
        <v>8.0287484579569387E-4</v>
      </c>
      <c r="W30" s="3"/>
      <c r="X30" s="6">
        <f t="shared" si="10"/>
        <v>197.75901384615395</v>
      </c>
      <c r="Y30" s="3"/>
      <c r="Z30" s="7">
        <f t="shared" si="11"/>
        <v>0.60678842459395332</v>
      </c>
    </row>
    <row r="31" spans="1:26" s="70" customFormat="1" ht="15" hidden="1" customHeight="1" outlineLevel="2" x14ac:dyDescent="0.3">
      <c r="A31" s="21"/>
      <c r="B31" s="9" t="str">
        <f>CONCATENATE("          ","6115"," - ","P.E.R.S.")</f>
        <v xml:space="preserve">          6115 - P.E.R.S.</v>
      </c>
      <c r="C31" s="9"/>
      <c r="D31" s="6">
        <v>752.91</v>
      </c>
      <c r="E31" s="3"/>
      <c r="F31" s="7">
        <f t="shared" si="4"/>
        <v>8.819643095607925E-2</v>
      </c>
      <c r="G31" s="3"/>
      <c r="H31" s="6">
        <v>762.81007692307799</v>
      </c>
      <c r="I31" s="3"/>
      <c r="J31" s="7">
        <f t="shared" si="5"/>
        <v>0.13621608516483535</v>
      </c>
      <c r="K31" s="3"/>
      <c r="L31" s="6">
        <f t="shared" si="6"/>
        <v>-9.9000769230780179</v>
      </c>
      <c r="M31" s="3"/>
      <c r="N31" s="7">
        <f t="shared" si="7"/>
        <v>-1.2978429654484421E-2</v>
      </c>
      <c r="O31" s="9"/>
      <c r="P31" s="6">
        <v>16772.27</v>
      </c>
      <c r="Q31" s="3"/>
      <c r="R31" s="7">
        <f t="shared" si="8"/>
        <v>7.2293101826720552E-2</v>
      </c>
      <c r="S31" s="3"/>
      <c r="T31" s="6">
        <v>11734.1244615385</v>
      </c>
      <c r="U31" s="3"/>
      <c r="V31" s="7">
        <f t="shared" si="9"/>
        <v>2.8906768313597172E-2</v>
      </c>
      <c r="W31" s="3"/>
      <c r="X31" s="6">
        <f t="shared" si="10"/>
        <v>5038.1455384615001</v>
      </c>
      <c r="Y31" s="3"/>
      <c r="Z31" s="7">
        <f t="shared" si="11"/>
        <v>0.42935845405213402</v>
      </c>
    </row>
    <row r="32" spans="1:26" s="70" customFormat="1" ht="15" hidden="1" customHeight="1" outlineLevel="2" x14ac:dyDescent="0.3">
      <c r="A32" s="21"/>
      <c r="B32" s="9" t="str">
        <f>CONCATENATE("          ","6116"," - ","EDUCATIONAL BENEFITS")</f>
        <v xml:space="preserve">          6116 - EDUCATIONAL BENEFITS</v>
      </c>
      <c r="C32" s="9"/>
      <c r="D32" s="6"/>
      <c r="E32" s="3"/>
      <c r="F32" s="7">
        <f t="shared" si="4"/>
        <v>0</v>
      </c>
      <c r="G32" s="3"/>
      <c r="H32" s="6">
        <v>0</v>
      </c>
      <c r="I32" s="3"/>
      <c r="J32" s="7">
        <f t="shared" si="5"/>
        <v>0</v>
      </c>
      <c r="K32" s="3"/>
      <c r="L32" s="6">
        <f t="shared" si="6"/>
        <v>0</v>
      </c>
      <c r="M32" s="3"/>
      <c r="N32" s="7">
        <f t="shared" si="7"/>
        <v>0</v>
      </c>
      <c r="O32" s="9"/>
      <c r="P32" s="6"/>
      <c r="Q32" s="3"/>
      <c r="R32" s="7">
        <f t="shared" si="8"/>
        <v>0</v>
      </c>
      <c r="S32" s="3"/>
      <c r="T32" s="6">
        <v>0</v>
      </c>
      <c r="U32" s="3"/>
      <c r="V32" s="7">
        <f t="shared" si="9"/>
        <v>0</v>
      </c>
      <c r="W32" s="3"/>
      <c r="X32" s="6">
        <f t="shared" si="10"/>
        <v>0</v>
      </c>
      <c r="Y32" s="3"/>
      <c r="Z32" s="7">
        <f t="shared" si="11"/>
        <v>0</v>
      </c>
    </row>
    <row r="33" spans="1:26" s="70" customFormat="1" ht="15" hidden="1" customHeight="1" outlineLevel="2" x14ac:dyDescent="0.3">
      <c r="A33" s="21"/>
      <c r="B33" s="9" t="str">
        <f>CONCATENATE("          ","6118"," - ","VACATION")</f>
        <v xml:space="preserve">          6118 - VACATION</v>
      </c>
      <c r="C33" s="9"/>
      <c r="D33" s="6">
        <v>656.44</v>
      </c>
      <c r="E33" s="3"/>
      <c r="F33" s="7">
        <f t="shared" si="4"/>
        <v>7.6895864229202263E-2</v>
      </c>
      <c r="G33" s="3"/>
      <c r="H33" s="6">
        <v>620.89192307692304</v>
      </c>
      <c r="I33" s="3"/>
      <c r="J33" s="7">
        <f t="shared" si="5"/>
        <v>0.11087355769230768</v>
      </c>
      <c r="K33" s="3"/>
      <c r="L33" s="6">
        <f t="shared" si="6"/>
        <v>35.548076923077019</v>
      </c>
      <c r="M33" s="3"/>
      <c r="N33" s="7">
        <f t="shared" si="7"/>
        <v>5.7253244247264794E-2</v>
      </c>
      <c r="O33" s="9"/>
      <c r="P33" s="6">
        <v>9814.77</v>
      </c>
      <c r="Q33" s="3"/>
      <c r="R33" s="7">
        <f t="shared" si="8"/>
        <v>4.2304361127971472E-2</v>
      </c>
      <c r="S33" s="3"/>
      <c r="T33" s="6">
        <v>10185.0757692308</v>
      </c>
      <c r="U33" s="3"/>
      <c r="V33" s="7">
        <f t="shared" si="9"/>
        <v>2.5090719506394698E-2</v>
      </c>
      <c r="W33" s="3"/>
      <c r="X33" s="6">
        <f t="shared" si="10"/>
        <v>-370.30576923079934</v>
      </c>
      <c r="Y33" s="3"/>
      <c r="Z33" s="7">
        <f t="shared" si="11"/>
        <v>-3.6357684284440597E-2</v>
      </c>
    </row>
    <row r="34" spans="1:26" s="70" customFormat="1" ht="15" hidden="1" customHeight="1" outlineLevel="2" x14ac:dyDescent="0.3">
      <c r="A34" s="21"/>
      <c r="B34" s="9" t="str">
        <f>CONCATENATE("          ","6119"," - ","SICK LEAVE")</f>
        <v xml:space="preserve">          6119 - SICK LEAVE</v>
      </c>
      <c r="C34" s="9"/>
      <c r="D34" s="6">
        <v>411.06</v>
      </c>
      <c r="E34" s="3"/>
      <c r="F34" s="7">
        <f t="shared" si="4"/>
        <v>4.8151870620400765E-2</v>
      </c>
      <c r="G34" s="3"/>
      <c r="H34" s="6">
        <v>266.09653846153901</v>
      </c>
      <c r="I34" s="3"/>
      <c r="J34" s="7">
        <f t="shared" si="5"/>
        <v>4.7517239010989108E-2</v>
      </c>
      <c r="K34" s="3"/>
      <c r="L34" s="6">
        <f t="shared" si="6"/>
        <v>144.96346153846099</v>
      </c>
      <c r="M34" s="3"/>
      <c r="N34" s="7">
        <f t="shared" si="7"/>
        <v>0.54477770502607903</v>
      </c>
      <c r="O34" s="9"/>
      <c r="P34" s="6">
        <v>7225.49</v>
      </c>
      <c r="Q34" s="3"/>
      <c r="R34" s="7">
        <f t="shared" si="8"/>
        <v>3.1143851387912973E-2</v>
      </c>
      <c r="S34" s="3"/>
      <c r="T34" s="6">
        <v>5078.5673846153904</v>
      </c>
      <c r="U34" s="3"/>
      <c r="V34" s="7">
        <f t="shared" si="9"/>
        <v>1.2510943720876482E-2</v>
      </c>
      <c r="W34" s="3"/>
      <c r="X34" s="6">
        <f t="shared" si="10"/>
        <v>2146.9226153846093</v>
      </c>
      <c r="Y34" s="3"/>
      <c r="Z34" s="7">
        <f t="shared" si="11"/>
        <v>0.42274177987444383</v>
      </c>
    </row>
    <row r="35" spans="1:26" s="70" customFormat="1" ht="15" hidden="1" customHeight="1" outlineLevel="2" x14ac:dyDescent="0.3">
      <c r="A35" s="21"/>
      <c r="B35" s="9" t="str">
        <f>CONCATENATE("          ","6156"," - ","EMPLOYEE MEALS")</f>
        <v xml:space="preserve">          6156 - EMPLOYEE MEALS</v>
      </c>
      <c r="C35" s="9"/>
      <c r="D35" s="6">
        <v>465.72</v>
      </c>
      <c r="E35" s="3"/>
      <c r="F35" s="7">
        <f t="shared" si="4"/>
        <v>5.455478320764133E-2</v>
      </c>
      <c r="G35" s="3"/>
      <c r="H35" s="6">
        <v>350</v>
      </c>
      <c r="I35" s="3"/>
      <c r="J35" s="7">
        <f t="shared" si="5"/>
        <v>6.25E-2</v>
      </c>
      <c r="K35" s="3"/>
      <c r="L35" s="6">
        <f t="shared" si="6"/>
        <v>115.72000000000003</v>
      </c>
      <c r="M35" s="3"/>
      <c r="N35" s="7">
        <f t="shared" si="7"/>
        <v>0.33062857142857149</v>
      </c>
      <c r="O35" s="9"/>
      <c r="P35" s="6">
        <v>5206.3100000000004</v>
      </c>
      <c r="Q35" s="3"/>
      <c r="R35" s="7">
        <f t="shared" si="8"/>
        <v>2.2440629620884563E-2</v>
      </c>
      <c r="S35" s="3"/>
      <c r="T35" s="6">
        <v>5075</v>
      </c>
      <c r="U35" s="3"/>
      <c r="V35" s="7">
        <f t="shared" si="9"/>
        <v>1.2502155544059321E-2</v>
      </c>
      <c r="W35" s="3"/>
      <c r="X35" s="6">
        <f t="shared" si="10"/>
        <v>131.3100000000004</v>
      </c>
      <c r="Y35" s="3"/>
      <c r="Z35" s="7">
        <f t="shared" si="11"/>
        <v>2.5873891625615843E-2</v>
      </c>
    </row>
    <row r="36" spans="1:26" s="69" customFormat="1" ht="15" customHeight="1" outlineLevel="1" collapsed="1" x14ac:dyDescent="0.3">
      <c r="A36" s="20"/>
      <c r="B36" s="11" t="str">
        <f>CONCATENATE("     ","*Payroll                                          ")</f>
        <v xml:space="preserve">     *Payroll                                          </v>
      </c>
      <c r="C36" s="11"/>
      <c r="D36" s="2">
        <f>SUM(OSRRefD22_1x_0)</f>
        <v>9778.94</v>
      </c>
      <c r="E36" s="2"/>
      <c r="F36" s="5">
        <f t="shared" si="4"/>
        <v>1.1455122212929059</v>
      </c>
      <c r="G36" s="2"/>
      <c r="H36" s="2">
        <f>SUM(OSRRefH22_1x_0)</f>
        <v>7982.8961538461599</v>
      </c>
      <c r="I36" s="2"/>
      <c r="J36" s="5">
        <f t="shared" si="5"/>
        <v>1.4255171703296714</v>
      </c>
      <c r="K36" s="2"/>
      <c r="L36" s="2">
        <f t="shared" si="6"/>
        <v>1796.0438461538406</v>
      </c>
      <c r="M36" s="2"/>
      <c r="N36" s="5">
        <f t="shared" si="7"/>
        <v>0.22498649757438052</v>
      </c>
      <c r="O36" s="11"/>
      <c r="P36" s="2">
        <f>SUM(OSRRefP22_1x_0)</f>
        <v>161949.43</v>
      </c>
      <c r="Q36" s="2"/>
      <c r="R36" s="5">
        <f t="shared" si="8"/>
        <v>0.69804663493786778</v>
      </c>
      <c r="S36" s="2"/>
      <c r="T36" s="2">
        <f>SUM(OSRRefT22_1x_0)</f>
        <v>141219.56853846202</v>
      </c>
      <c r="U36" s="2"/>
      <c r="V36" s="5">
        <f t="shared" si="9"/>
        <v>0.34789143088330998</v>
      </c>
      <c r="W36" s="2"/>
      <c r="X36" s="2">
        <f t="shared" si="10"/>
        <v>20729.861461537977</v>
      </c>
      <c r="Y36" s="2"/>
      <c r="Z36" s="5">
        <f t="shared" si="11"/>
        <v>0.14679170653245605</v>
      </c>
    </row>
    <row r="37" spans="1:26" s="70" customFormat="1" ht="15" hidden="1" customHeight="1" outlineLevel="2" x14ac:dyDescent="0.3">
      <c r="A37" s="21"/>
      <c r="B37" s="9" t="str">
        <f>CONCATENATE("          ","6001"," - ","ADMINISTRATIVE SALARIES")</f>
        <v xml:space="preserve">          6001 - ADMINISTRATIVE SALARIES</v>
      </c>
      <c r="C37" s="9"/>
      <c r="D37" s="6"/>
      <c r="E37" s="3"/>
      <c r="F37" s="7">
        <f t="shared" si="4"/>
        <v>0</v>
      </c>
      <c r="G37" s="3"/>
      <c r="H37" s="6">
        <v>0</v>
      </c>
      <c r="I37" s="3"/>
      <c r="J37" s="7">
        <f t="shared" si="5"/>
        <v>0</v>
      </c>
      <c r="K37" s="3"/>
      <c r="L37" s="6">
        <f t="shared" si="6"/>
        <v>0</v>
      </c>
      <c r="M37" s="3"/>
      <c r="N37" s="7">
        <f t="shared" si="7"/>
        <v>0</v>
      </c>
      <c r="O37" s="9"/>
      <c r="P37" s="6"/>
      <c r="Q37" s="3"/>
      <c r="R37" s="7">
        <f t="shared" si="8"/>
        <v>0</v>
      </c>
      <c r="S37" s="3"/>
      <c r="T37" s="6">
        <v>0</v>
      </c>
      <c r="U37" s="3"/>
      <c r="V37" s="7">
        <f t="shared" si="9"/>
        <v>0</v>
      </c>
      <c r="W37" s="3"/>
      <c r="X37" s="6">
        <f t="shared" si="10"/>
        <v>0</v>
      </c>
      <c r="Y37" s="3"/>
      <c r="Z37" s="7">
        <f t="shared" si="11"/>
        <v>0</v>
      </c>
    </row>
    <row r="38" spans="1:26" s="70" customFormat="1" ht="15" hidden="1" customHeight="1" outlineLevel="2" x14ac:dyDescent="0.3">
      <c r="A38" s="21"/>
      <c r="B38" s="9" t="str">
        <f>CONCATENATE("          ","6002"," - ","STAFF SALARIES")</f>
        <v xml:space="preserve">          6002 - STAFF SALARIES</v>
      </c>
      <c r="C38" s="9"/>
      <c r="D38" s="6">
        <v>8466.44</v>
      </c>
      <c r="E38" s="3"/>
      <c r="F38" s="7">
        <f t="shared" si="4"/>
        <v>0.99176500631388576</v>
      </c>
      <c r="G38" s="3"/>
      <c r="H38" s="6">
        <v>7982.8961538461599</v>
      </c>
      <c r="I38" s="3"/>
      <c r="J38" s="7">
        <f t="shared" si="5"/>
        <v>1.4255171703296714</v>
      </c>
      <c r="K38" s="3"/>
      <c r="L38" s="6">
        <f t="shared" si="6"/>
        <v>483.5438461538406</v>
      </c>
      <c r="M38" s="3"/>
      <c r="N38" s="7">
        <f t="shared" si="7"/>
        <v>6.0572483574256333E-2</v>
      </c>
      <c r="O38" s="9"/>
      <c r="P38" s="6">
        <v>129895.58</v>
      </c>
      <c r="Q38" s="3"/>
      <c r="R38" s="7">
        <f t="shared" si="8"/>
        <v>0.5598857156354462</v>
      </c>
      <c r="S38" s="3"/>
      <c r="T38" s="6">
        <v>121742.23653846201</v>
      </c>
      <c r="U38" s="3"/>
      <c r="V38" s="7">
        <f t="shared" si="9"/>
        <v>0.29990943398729342</v>
      </c>
      <c r="W38" s="3"/>
      <c r="X38" s="6">
        <f t="shared" si="10"/>
        <v>8153.3434615379956</v>
      </c>
      <c r="Y38" s="3"/>
      <c r="Z38" s="7">
        <f t="shared" si="11"/>
        <v>6.6972183963140114E-2</v>
      </c>
    </row>
    <row r="39" spans="1:26" s="70" customFormat="1" ht="15" hidden="1" customHeight="1" outlineLevel="2" x14ac:dyDescent="0.3">
      <c r="A39" s="21"/>
      <c r="B39" s="9" t="str">
        <f>CONCATENATE("          ","6003"," - ","STAFF HOURLY-9 MONTH")</f>
        <v xml:space="preserve">          6003 - STAFF HOURLY-9 MONTH</v>
      </c>
      <c r="C39" s="9"/>
      <c r="D39" s="6"/>
      <c r="E39" s="3"/>
      <c r="F39" s="7">
        <f t="shared" si="4"/>
        <v>0</v>
      </c>
      <c r="G39" s="3"/>
      <c r="H39" s="6">
        <v>0</v>
      </c>
      <c r="I39" s="3"/>
      <c r="J39" s="7">
        <f t="shared" si="5"/>
        <v>0</v>
      </c>
      <c r="K39" s="3"/>
      <c r="L39" s="6">
        <f t="shared" si="6"/>
        <v>0</v>
      </c>
      <c r="M39" s="3"/>
      <c r="N39" s="7">
        <f t="shared" si="7"/>
        <v>0</v>
      </c>
      <c r="O39" s="9"/>
      <c r="P39" s="6"/>
      <c r="Q39" s="3"/>
      <c r="R39" s="7">
        <f t="shared" si="8"/>
        <v>0</v>
      </c>
      <c r="S39" s="3"/>
      <c r="T39" s="6">
        <v>0</v>
      </c>
      <c r="U39" s="3"/>
      <c r="V39" s="7">
        <f t="shared" si="9"/>
        <v>0</v>
      </c>
      <c r="W39" s="3"/>
      <c r="X39" s="6">
        <f t="shared" si="10"/>
        <v>0</v>
      </c>
      <c r="Y39" s="3"/>
      <c r="Z39" s="7">
        <f t="shared" si="11"/>
        <v>0</v>
      </c>
    </row>
    <row r="40" spans="1:26" s="70" customFormat="1" ht="15" hidden="1" customHeight="1" outlineLevel="2" x14ac:dyDescent="0.3">
      <c r="A40" s="21"/>
      <c r="B40" s="9" t="str">
        <f>CONCATENATE("          ","6004"," - ","STAFF HOURLY")</f>
        <v xml:space="preserve">          6004 - STAFF HOURLY</v>
      </c>
      <c r="C40" s="9"/>
      <c r="D40" s="6"/>
      <c r="E40" s="3"/>
      <c r="F40" s="7">
        <f t="shared" si="4"/>
        <v>0</v>
      </c>
      <c r="G40" s="3"/>
      <c r="H40" s="6">
        <v>0</v>
      </c>
      <c r="I40" s="3"/>
      <c r="J40" s="7">
        <f t="shared" si="5"/>
        <v>0</v>
      </c>
      <c r="K40" s="3"/>
      <c r="L40" s="6">
        <f t="shared" si="6"/>
        <v>0</v>
      </c>
      <c r="M40" s="3"/>
      <c r="N40" s="7">
        <f t="shared" si="7"/>
        <v>0</v>
      </c>
      <c r="O40" s="9"/>
      <c r="P40" s="6"/>
      <c r="Q40" s="3"/>
      <c r="R40" s="7">
        <f t="shared" si="8"/>
        <v>0</v>
      </c>
      <c r="S40" s="3"/>
      <c r="T40" s="6">
        <v>8523.9</v>
      </c>
      <c r="U40" s="3"/>
      <c r="V40" s="7">
        <f t="shared" si="9"/>
        <v>2.0998448008277288E-2</v>
      </c>
      <c r="W40" s="3"/>
      <c r="X40" s="6">
        <f t="shared" si="10"/>
        <v>-8523.9</v>
      </c>
      <c r="Y40" s="3"/>
      <c r="Z40" s="7">
        <f t="shared" si="11"/>
        <v>-1</v>
      </c>
    </row>
    <row r="41" spans="1:26" s="70" customFormat="1" ht="15" hidden="1" customHeight="1" outlineLevel="2" x14ac:dyDescent="0.3">
      <c r="A41" s="21"/>
      <c r="B41" s="9" t="str">
        <f>CONCATENATE("          ","6005"," - ","TEMPORARY WAGES-HOURLY")</f>
        <v xml:space="preserve">          6005 - TEMPORARY WAGES-HOURLY</v>
      </c>
      <c r="C41" s="9"/>
      <c r="D41" s="6"/>
      <c r="E41" s="3"/>
      <c r="F41" s="7">
        <f t="shared" si="4"/>
        <v>0</v>
      </c>
      <c r="G41" s="3"/>
      <c r="H41" s="6">
        <v>0</v>
      </c>
      <c r="I41" s="3"/>
      <c r="J41" s="7">
        <f t="shared" si="5"/>
        <v>0</v>
      </c>
      <c r="K41" s="3"/>
      <c r="L41" s="6">
        <f t="shared" si="6"/>
        <v>0</v>
      </c>
      <c r="M41" s="3"/>
      <c r="N41" s="7">
        <f t="shared" si="7"/>
        <v>0</v>
      </c>
      <c r="O41" s="9"/>
      <c r="P41" s="6"/>
      <c r="Q41" s="3"/>
      <c r="R41" s="7">
        <f t="shared" si="8"/>
        <v>0</v>
      </c>
      <c r="S41" s="3"/>
      <c r="T41" s="6">
        <v>0</v>
      </c>
      <c r="U41" s="3"/>
      <c r="V41" s="7">
        <f t="shared" si="9"/>
        <v>0</v>
      </c>
      <c r="W41" s="3"/>
      <c r="X41" s="6">
        <f t="shared" si="10"/>
        <v>0</v>
      </c>
      <c r="Y41" s="3"/>
      <c r="Z41" s="7">
        <f t="shared" si="11"/>
        <v>0</v>
      </c>
    </row>
    <row r="42" spans="1:26" s="70" customFormat="1" ht="15" hidden="1" customHeight="1" outlineLevel="2" x14ac:dyDescent="0.3">
      <c r="A42" s="21"/>
      <c r="B42" s="9" t="str">
        <f>CONCATENATE("          ","6006"," - ","TEMPORARY PART TIME")</f>
        <v xml:space="preserve">          6006 - TEMPORARY PART TIME</v>
      </c>
      <c r="C42" s="9"/>
      <c r="D42" s="6"/>
      <c r="E42" s="3"/>
      <c r="F42" s="7">
        <f t="shared" si="4"/>
        <v>0</v>
      </c>
      <c r="G42" s="3"/>
      <c r="H42" s="6">
        <v>0</v>
      </c>
      <c r="I42" s="3"/>
      <c r="J42" s="7">
        <f t="shared" si="5"/>
        <v>0</v>
      </c>
      <c r="K42" s="3"/>
      <c r="L42" s="6">
        <f t="shared" si="6"/>
        <v>0</v>
      </c>
      <c r="M42" s="3"/>
      <c r="N42" s="7">
        <f t="shared" si="7"/>
        <v>0</v>
      </c>
      <c r="O42" s="9"/>
      <c r="P42" s="6"/>
      <c r="Q42" s="3"/>
      <c r="R42" s="7">
        <f t="shared" si="8"/>
        <v>0</v>
      </c>
      <c r="S42" s="3"/>
      <c r="T42" s="6">
        <v>0</v>
      </c>
      <c r="U42" s="3"/>
      <c r="V42" s="7">
        <f t="shared" si="9"/>
        <v>0</v>
      </c>
      <c r="W42" s="3"/>
      <c r="X42" s="6">
        <f t="shared" si="10"/>
        <v>0</v>
      </c>
      <c r="Y42" s="3"/>
      <c r="Z42" s="7">
        <f t="shared" si="11"/>
        <v>0</v>
      </c>
    </row>
    <row r="43" spans="1:26" s="70" customFormat="1" ht="15" hidden="1" customHeight="1" outlineLevel="2" x14ac:dyDescent="0.3">
      <c r="A43" s="21"/>
      <c r="B43" s="9" t="str">
        <f>CONCATENATE("          ","6007"," - ","STUDENT HOURLY")</f>
        <v xml:space="preserve">          6007 - STUDENT HOURLY</v>
      </c>
      <c r="C43" s="9"/>
      <c r="D43" s="6">
        <v>1312.5</v>
      </c>
      <c r="E43" s="3"/>
      <c r="F43" s="7">
        <f t="shared" si="4"/>
        <v>0.15374721497902011</v>
      </c>
      <c r="G43" s="3"/>
      <c r="H43" s="6">
        <v>0</v>
      </c>
      <c r="I43" s="3"/>
      <c r="J43" s="7">
        <f t="shared" si="5"/>
        <v>0</v>
      </c>
      <c r="K43" s="3"/>
      <c r="L43" s="6">
        <f t="shared" si="6"/>
        <v>1312.5</v>
      </c>
      <c r="M43" s="3"/>
      <c r="N43" s="7">
        <f t="shared" si="7"/>
        <v>0</v>
      </c>
      <c r="O43" s="9"/>
      <c r="P43" s="6">
        <v>31035.35</v>
      </c>
      <c r="Q43" s="3"/>
      <c r="R43" s="7">
        <f t="shared" si="8"/>
        <v>0.13377090386560148</v>
      </c>
      <c r="S43" s="3"/>
      <c r="T43" s="6">
        <v>10520.832</v>
      </c>
      <c r="U43" s="3"/>
      <c r="V43" s="7">
        <f t="shared" si="9"/>
        <v>2.5917847904811175E-2</v>
      </c>
      <c r="W43" s="3"/>
      <c r="X43" s="6">
        <f t="shared" si="10"/>
        <v>20514.517999999996</v>
      </c>
      <c r="Y43" s="3"/>
      <c r="Z43" s="7">
        <f t="shared" si="11"/>
        <v>1.9498950273134288</v>
      </c>
    </row>
    <row r="44" spans="1:26" s="70" customFormat="1" ht="15" hidden="1" customHeight="1" outlineLevel="2" x14ac:dyDescent="0.3">
      <c r="A44" s="21"/>
      <c r="B44" s="9" t="str">
        <f>CONCATENATE("          ","6008"," - ","STUDENT HOURLY-FICA EXEMPT")</f>
        <v xml:space="preserve">          6008 - STUDENT HOURLY-FICA EXEMPT</v>
      </c>
      <c r="C44" s="9"/>
      <c r="D44" s="6"/>
      <c r="E44" s="3"/>
      <c r="F44" s="7">
        <f t="shared" si="4"/>
        <v>0</v>
      </c>
      <c r="G44" s="3"/>
      <c r="H44" s="6">
        <v>0</v>
      </c>
      <c r="I44" s="3"/>
      <c r="J44" s="7">
        <f t="shared" si="5"/>
        <v>0</v>
      </c>
      <c r="K44" s="3"/>
      <c r="L44" s="6">
        <f t="shared" si="6"/>
        <v>0</v>
      </c>
      <c r="M44" s="3"/>
      <c r="N44" s="7">
        <f t="shared" si="7"/>
        <v>0</v>
      </c>
      <c r="O44" s="9"/>
      <c r="P44" s="6">
        <v>1018.5</v>
      </c>
      <c r="Q44" s="3"/>
      <c r="R44" s="7">
        <f t="shared" si="8"/>
        <v>4.3900154368201137E-3</v>
      </c>
      <c r="S44" s="3"/>
      <c r="T44" s="6">
        <v>432.6</v>
      </c>
      <c r="U44" s="3"/>
      <c r="V44" s="7">
        <f t="shared" si="9"/>
        <v>1.0657009829280911E-3</v>
      </c>
      <c r="W44" s="3"/>
      <c r="X44" s="6">
        <f t="shared" si="10"/>
        <v>585.9</v>
      </c>
      <c r="Y44" s="3"/>
      <c r="Z44" s="7">
        <f t="shared" si="11"/>
        <v>1.3543689320388348</v>
      </c>
    </row>
    <row r="45" spans="1:26" s="70" customFormat="1" ht="15" hidden="1" customHeight="1" outlineLevel="2" x14ac:dyDescent="0.3">
      <c r="A45" s="21"/>
      <c r="B45" s="9" t="str">
        <f>CONCATENATE("          ","6009"," - ","TEMPORARY-SEASONAL")</f>
        <v xml:space="preserve">          6009 - TEMPORARY-SEASONAL</v>
      </c>
      <c r="C45" s="9"/>
      <c r="D45" s="6"/>
      <c r="E45" s="3"/>
      <c r="F45" s="7">
        <f t="shared" si="4"/>
        <v>0</v>
      </c>
      <c r="G45" s="3"/>
      <c r="H45" s="6">
        <v>0</v>
      </c>
      <c r="I45" s="3"/>
      <c r="J45" s="7">
        <f t="shared" si="5"/>
        <v>0</v>
      </c>
      <c r="K45" s="3"/>
      <c r="L45" s="6">
        <f t="shared" si="6"/>
        <v>0</v>
      </c>
      <c r="M45" s="3"/>
      <c r="N45" s="7">
        <f t="shared" si="7"/>
        <v>0</v>
      </c>
      <c r="O45" s="9"/>
      <c r="P45" s="6"/>
      <c r="Q45" s="3"/>
      <c r="R45" s="7">
        <f t="shared" si="8"/>
        <v>0</v>
      </c>
      <c r="S45" s="3"/>
      <c r="T45" s="6">
        <v>0</v>
      </c>
      <c r="U45" s="3"/>
      <c r="V45" s="7">
        <f t="shared" si="9"/>
        <v>0</v>
      </c>
      <c r="W45" s="3"/>
      <c r="X45" s="6">
        <f t="shared" si="10"/>
        <v>0</v>
      </c>
      <c r="Y45" s="3"/>
      <c r="Z45" s="7">
        <f t="shared" si="11"/>
        <v>0</v>
      </c>
    </row>
    <row r="46" spans="1:26" s="70" customFormat="1" ht="15" hidden="1" customHeight="1" outlineLevel="2" x14ac:dyDescent="0.3">
      <c r="A46" s="21"/>
      <c r="B46" s="9" t="str">
        <f>CONCATENATE("          ","6010"," - ","GRATUITY")</f>
        <v xml:space="preserve">          6010 - GRATUITY</v>
      </c>
      <c r="C46" s="9"/>
      <c r="D46" s="6"/>
      <c r="E46" s="3"/>
      <c r="F46" s="7">
        <f t="shared" si="4"/>
        <v>0</v>
      </c>
      <c r="G46" s="3"/>
      <c r="H46" s="6">
        <v>0</v>
      </c>
      <c r="I46" s="3"/>
      <c r="J46" s="7">
        <f t="shared" si="5"/>
        <v>0</v>
      </c>
      <c r="K46" s="3"/>
      <c r="L46" s="6">
        <f t="shared" si="6"/>
        <v>0</v>
      </c>
      <c r="M46" s="3"/>
      <c r="N46" s="7">
        <f t="shared" si="7"/>
        <v>0</v>
      </c>
      <c r="O46" s="9"/>
      <c r="P46" s="6"/>
      <c r="Q46" s="3"/>
      <c r="R46" s="7">
        <f t="shared" si="8"/>
        <v>0</v>
      </c>
      <c r="S46" s="3"/>
      <c r="T46" s="6">
        <v>0</v>
      </c>
      <c r="U46" s="3"/>
      <c r="V46" s="7">
        <f t="shared" si="9"/>
        <v>0</v>
      </c>
      <c r="W46" s="3"/>
      <c r="X46" s="6">
        <f t="shared" si="10"/>
        <v>0</v>
      </c>
      <c r="Y46" s="3"/>
      <c r="Z46" s="7">
        <f t="shared" si="11"/>
        <v>0</v>
      </c>
    </row>
    <row r="47" spans="1:26" s="69" customFormat="1" ht="15" customHeight="1" outlineLevel="1" collapsed="1" x14ac:dyDescent="0.3">
      <c r="A47" s="20"/>
      <c r="B47" s="11" t="str">
        <f>CONCATENATE("     ","Advertising/Promo                                 ")</f>
        <v xml:space="preserve">     Advertising/Promo                                 </v>
      </c>
      <c r="C47" s="11"/>
      <c r="D47" s="2">
        <f>SUM(OSRRefD22_2x_0)</f>
        <v>36.700000000000003</v>
      </c>
      <c r="E47" s="2"/>
      <c r="F47" s="5">
        <f t="shared" si="4"/>
        <v>4.2990649826514576E-3</v>
      </c>
      <c r="G47" s="2"/>
      <c r="H47" s="2">
        <f>SUM(OSRRefH22_2x_0)</f>
        <v>50</v>
      </c>
      <c r="I47" s="2"/>
      <c r="J47" s="5">
        <f t="shared" si="5"/>
        <v>8.9285714285714281E-3</v>
      </c>
      <c r="K47" s="2"/>
      <c r="L47" s="2">
        <f t="shared" si="6"/>
        <v>-13.299999999999997</v>
      </c>
      <c r="M47" s="2"/>
      <c r="N47" s="5">
        <f t="shared" si="7"/>
        <v>-0.26599999999999996</v>
      </c>
      <c r="O47" s="11"/>
      <c r="P47" s="2">
        <f>SUM(OSRRefP22_2x_0)</f>
        <v>188.55</v>
      </c>
      <c r="Q47" s="2"/>
      <c r="R47" s="5">
        <f t="shared" si="8"/>
        <v>8.1270241591795036E-4</v>
      </c>
      <c r="S47" s="2"/>
      <c r="T47" s="2">
        <f>SUM(OSRRefT22_2x_0)</f>
        <v>600</v>
      </c>
      <c r="U47" s="2"/>
      <c r="V47" s="5">
        <f t="shared" si="9"/>
        <v>1.4780873549626783E-3</v>
      </c>
      <c r="W47" s="2"/>
      <c r="X47" s="2">
        <f t="shared" si="10"/>
        <v>-411.45</v>
      </c>
      <c r="Y47" s="2"/>
      <c r="Z47" s="5">
        <f t="shared" si="11"/>
        <v>-0.68574999999999997</v>
      </c>
    </row>
    <row r="48" spans="1:26" s="70" customFormat="1" ht="15" hidden="1" customHeight="1" outlineLevel="2" x14ac:dyDescent="0.3">
      <c r="A48" s="21"/>
      <c r="B48" s="9" t="str">
        <f>CONCATENATE("          ","6362"," - ","ADVERTISING EXPENSE")</f>
        <v xml:space="preserve">          6362 - ADVERTISING EXPENSE</v>
      </c>
      <c r="C48" s="9"/>
      <c r="D48" s="6">
        <v>36.700000000000003</v>
      </c>
      <c r="E48" s="3"/>
      <c r="F48" s="7">
        <f t="shared" si="4"/>
        <v>4.2990649826514576E-3</v>
      </c>
      <c r="G48" s="3"/>
      <c r="H48" s="6">
        <v>50</v>
      </c>
      <c r="I48" s="3"/>
      <c r="J48" s="7">
        <f t="shared" si="5"/>
        <v>8.9285714285714281E-3</v>
      </c>
      <c r="K48" s="3"/>
      <c r="L48" s="6">
        <f t="shared" si="6"/>
        <v>-13.299999999999997</v>
      </c>
      <c r="M48" s="3"/>
      <c r="N48" s="7">
        <f t="shared" si="7"/>
        <v>-0.26599999999999996</v>
      </c>
      <c r="O48" s="9"/>
      <c r="P48" s="6">
        <v>188.55</v>
      </c>
      <c r="Q48" s="3"/>
      <c r="R48" s="7">
        <f t="shared" si="8"/>
        <v>8.1270241591795036E-4</v>
      </c>
      <c r="S48" s="3"/>
      <c r="T48" s="6">
        <v>600</v>
      </c>
      <c r="U48" s="3"/>
      <c r="V48" s="7">
        <f t="shared" si="9"/>
        <v>1.4780873549626783E-3</v>
      </c>
      <c r="W48" s="3"/>
      <c r="X48" s="6">
        <f t="shared" si="10"/>
        <v>-411.45</v>
      </c>
      <c r="Y48" s="3"/>
      <c r="Z48" s="7">
        <f t="shared" si="11"/>
        <v>-0.68574999999999997</v>
      </c>
    </row>
    <row r="49" spans="1:26" s="69" customFormat="1" ht="15" customHeight="1" outlineLevel="1" collapsed="1" x14ac:dyDescent="0.3">
      <c r="A49" s="20"/>
      <c r="B49" s="11" t="str">
        <f>CONCATENATE("     ","Depreciation                                      ")</f>
        <v xml:space="preserve">     Depreciation                                      </v>
      </c>
      <c r="C49" s="11"/>
      <c r="D49" s="2">
        <f>SUM(OSRRefD22_3x_0)</f>
        <v>169.92</v>
      </c>
      <c r="E49" s="2"/>
      <c r="F49" s="5">
        <f t="shared" si="4"/>
        <v>1.9904553728941024E-2</v>
      </c>
      <c r="G49" s="2"/>
      <c r="H49" s="2">
        <f>SUM(OSRRefH22_3x_0)</f>
        <v>170</v>
      </c>
      <c r="I49" s="2"/>
      <c r="J49" s="5">
        <f t="shared" si="5"/>
        <v>3.0357142857142857E-2</v>
      </c>
      <c r="K49" s="2"/>
      <c r="L49" s="2">
        <f t="shared" si="6"/>
        <v>-8.0000000000012506E-2</v>
      </c>
      <c r="M49" s="2"/>
      <c r="N49" s="5">
        <f t="shared" si="7"/>
        <v>-4.7058823529419122E-4</v>
      </c>
      <c r="O49" s="11"/>
      <c r="P49" s="2">
        <f>SUM(OSRRefP22_3x_0)</f>
        <v>2038.6</v>
      </c>
      <c r="Q49" s="2"/>
      <c r="R49" s="5">
        <f t="shared" si="8"/>
        <v>8.7869273141889873E-3</v>
      </c>
      <c r="S49" s="2"/>
      <c r="T49" s="2">
        <f>SUM(OSRRefT22_3x_0)</f>
        <v>2040</v>
      </c>
      <c r="U49" s="2"/>
      <c r="V49" s="5">
        <f t="shared" si="9"/>
        <v>5.0254970068731065E-3</v>
      </c>
      <c r="W49" s="2"/>
      <c r="X49" s="2">
        <f t="shared" si="10"/>
        <v>-1.4000000000000909</v>
      </c>
      <c r="Y49" s="2"/>
      <c r="Z49" s="5">
        <f t="shared" si="11"/>
        <v>-6.8627450980396614E-4</v>
      </c>
    </row>
    <row r="50" spans="1:26" s="70" customFormat="1" ht="15" hidden="1" customHeight="1" outlineLevel="2" x14ac:dyDescent="0.3">
      <c r="A50" s="21"/>
      <c r="B50" s="9" t="str">
        <f>CONCATENATE("          ","6322"," - ","EQUIPMENT DEPRECIATION EXPENSE")</f>
        <v xml:space="preserve">          6322 - EQUIPMENT DEPRECIATION EXPENSE</v>
      </c>
      <c r="C50" s="9"/>
      <c r="D50" s="6">
        <v>169.92</v>
      </c>
      <c r="E50" s="3"/>
      <c r="F50" s="7">
        <f t="shared" si="4"/>
        <v>1.9904553728941024E-2</v>
      </c>
      <c r="G50" s="3"/>
      <c r="H50" s="6">
        <v>170</v>
      </c>
      <c r="I50" s="3"/>
      <c r="J50" s="7">
        <f t="shared" si="5"/>
        <v>3.0357142857142857E-2</v>
      </c>
      <c r="K50" s="3"/>
      <c r="L50" s="6">
        <f t="shared" si="6"/>
        <v>-8.0000000000012506E-2</v>
      </c>
      <c r="M50" s="3"/>
      <c r="N50" s="7">
        <f t="shared" si="7"/>
        <v>-4.7058823529419122E-4</v>
      </c>
      <c r="O50" s="9"/>
      <c r="P50" s="6">
        <v>2038.6</v>
      </c>
      <c r="Q50" s="3"/>
      <c r="R50" s="7">
        <f t="shared" si="8"/>
        <v>8.7869273141889873E-3</v>
      </c>
      <c r="S50" s="3"/>
      <c r="T50" s="6">
        <v>2040</v>
      </c>
      <c r="U50" s="3"/>
      <c r="V50" s="7">
        <f t="shared" si="9"/>
        <v>5.0254970068731065E-3</v>
      </c>
      <c r="W50" s="3"/>
      <c r="X50" s="6">
        <f t="shared" si="10"/>
        <v>-1.4000000000000909</v>
      </c>
      <c r="Y50" s="3"/>
      <c r="Z50" s="7">
        <f t="shared" si="11"/>
        <v>-6.8627450980396614E-4</v>
      </c>
    </row>
    <row r="51" spans="1:26" s="69" customFormat="1" ht="15" customHeight="1" outlineLevel="1" collapsed="1" x14ac:dyDescent="0.3">
      <c r="A51" s="20"/>
      <c r="B51" s="11" t="str">
        <f>CONCATENATE("     ","Equipment Rental                                  ")</f>
        <v xml:space="preserve">     Equipment Rental                                  </v>
      </c>
      <c r="C51" s="11"/>
      <c r="D51" s="2">
        <f>SUM(OSRRefD22_4x_0)</f>
        <v>1609.35</v>
      </c>
      <c r="E51" s="2"/>
      <c r="F51" s="5">
        <f t="shared" si="4"/>
        <v>0.1885204422297036</v>
      </c>
      <c r="G51" s="2"/>
      <c r="H51" s="2">
        <f>SUM(OSRRefH22_4x_0)</f>
        <v>1300</v>
      </c>
      <c r="I51" s="2"/>
      <c r="J51" s="5">
        <f t="shared" si="5"/>
        <v>0.23214285714285715</v>
      </c>
      <c r="K51" s="2"/>
      <c r="L51" s="2">
        <f t="shared" si="6"/>
        <v>309.34999999999991</v>
      </c>
      <c r="M51" s="2"/>
      <c r="N51" s="5">
        <f t="shared" si="7"/>
        <v>0.23796153846153839</v>
      </c>
      <c r="O51" s="11"/>
      <c r="P51" s="2">
        <f>SUM(OSRRefP22_4x_0)</f>
        <v>14962.65</v>
      </c>
      <c r="Q51" s="2"/>
      <c r="R51" s="5">
        <f t="shared" si="8"/>
        <v>6.4493141360565998E-2</v>
      </c>
      <c r="S51" s="2"/>
      <c r="T51" s="2">
        <f>SUM(OSRRefT22_4x_0)</f>
        <v>15400</v>
      </c>
      <c r="U51" s="2"/>
      <c r="V51" s="5">
        <f t="shared" si="9"/>
        <v>3.7937575444042075E-2</v>
      </c>
      <c r="W51" s="2"/>
      <c r="X51" s="2">
        <f t="shared" si="10"/>
        <v>-437.35000000000036</v>
      </c>
      <c r="Y51" s="2"/>
      <c r="Z51" s="5">
        <f t="shared" si="11"/>
        <v>-2.8399350649350674E-2</v>
      </c>
    </row>
    <row r="52" spans="1:26" s="70" customFormat="1" ht="15" hidden="1" customHeight="1" outlineLevel="2" x14ac:dyDescent="0.3">
      <c r="A52" s="21"/>
      <c r="B52" s="9" t="str">
        <f>CONCATENATE("          ","6351"," - ","EQUIPMENT RENTAL")</f>
        <v xml:space="preserve">          6351 - EQUIPMENT RENTAL</v>
      </c>
      <c r="C52" s="9"/>
      <c r="D52" s="6">
        <v>1609.35</v>
      </c>
      <c r="E52" s="3"/>
      <c r="F52" s="7">
        <f t="shared" si="4"/>
        <v>0.1885204422297036</v>
      </c>
      <c r="G52" s="3"/>
      <c r="H52" s="6">
        <v>1300</v>
      </c>
      <c r="I52" s="3"/>
      <c r="J52" s="7">
        <f t="shared" si="5"/>
        <v>0.23214285714285715</v>
      </c>
      <c r="K52" s="3"/>
      <c r="L52" s="6">
        <f t="shared" si="6"/>
        <v>309.34999999999991</v>
      </c>
      <c r="M52" s="3"/>
      <c r="N52" s="7">
        <f t="shared" si="7"/>
        <v>0.23796153846153839</v>
      </c>
      <c r="O52" s="9"/>
      <c r="P52" s="6">
        <v>14962.65</v>
      </c>
      <c r="Q52" s="3"/>
      <c r="R52" s="7">
        <f t="shared" si="8"/>
        <v>6.4493141360565998E-2</v>
      </c>
      <c r="S52" s="3"/>
      <c r="T52" s="6">
        <v>15400</v>
      </c>
      <c r="U52" s="3"/>
      <c r="V52" s="7">
        <f t="shared" si="9"/>
        <v>3.7937575444042075E-2</v>
      </c>
      <c r="W52" s="3"/>
      <c r="X52" s="6">
        <f t="shared" si="10"/>
        <v>-437.35000000000036</v>
      </c>
      <c r="Y52" s="3"/>
      <c r="Z52" s="7">
        <f t="shared" si="11"/>
        <v>-2.8399350649350674E-2</v>
      </c>
    </row>
    <row r="53" spans="1:26" s="69" customFormat="1" ht="15" customHeight="1" outlineLevel="1" collapsed="1" x14ac:dyDescent="0.3">
      <c r="A53" s="20"/>
      <c r="B53" s="11" t="str">
        <f>CONCATENATE("     ","Freight out/Postage                               ")</f>
        <v xml:space="preserve">     Freight out/Postage                               </v>
      </c>
      <c r="C53" s="11"/>
      <c r="D53" s="2">
        <f>SUM(OSRRefD22_5x_0)</f>
        <v>-1027.2299999999996</v>
      </c>
      <c r="E53" s="2"/>
      <c r="F53" s="5">
        <f t="shared" si="4"/>
        <v>-0.12033047744220857</v>
      </c>
      <c r="G53" s="2"/>
      <c r="H53" s="2">
        <f>SUM(OSRRefH22_5x_0)</f>
        <v>-3000</v>
      </c>
      <c r="I53" s="2"/>
      <c r="J53" s="5">
        <f t="shared" si="5"/>
        <v>-0.5357142857142857</v>
      </c>
      <c r="K53" s="2"/>
      <c r="L53" s="2">
        <f t="shared" si="6"/>
        <v>1972.7700000000004</v>
      </c>
      <c r="M53" s="2"/>
      <c r="N53" s="5">
        <f t="shared" si="7"/>
        <v>-0.65759000000000012</v>
      </c>
      <c r="O53" s="11"/>
      <c r="P53" s="2">
        <f>SUM(OSRRefP22_5x_0)</f>
        <v>-71731.819999999978</v>
      </c>
      <c r="Q53" s="2"/>
      <c r="R53" s="5">
        <f t="shared" si="8"/>
        <v>-0.3091838950527262</v>
      </c>
      <c r="S53" s="2"/>
      <c r="T53" s="2">
        <f>SUM(OSRRefT22_5x_0)</f>
        <v>-35700</v>
      </c>
      <c r="U53" s="2"/>
      <c r="V53" s="5">
        <f t="shared" si="9"/>
        <v>-8.7946197620279359E-2</v>
      </c>
      <c r="W53" s="2"/>
      <c r="X53" s="2">
        <f t="shared" si="10"/>
        <v>-36031.819999999978</v>
      </c>
      <c r="Y53" s="2"/>
      <c r="Z53" s="5">
        <f t="shared" si="11"/>
        <v>1.0092946778711478</v>
      </c>
    </row>
    <row r="54" spans="1:26" s="70" customFormat="1" ht="15" hidden="1" customHeight="1" outlineLevel="2" x14ac:dyDescent="0.3">
      <c r="A54" s="21"/>
      <c r="B54" s="9" t="str">
        <f>CONCATENATE("          ","6305"," - ","FREIGHT OUT")</f>
        <v xml:space="preserve">          6305 - FREIGHT OUT</v>
      </c>
      <c r="C54" s="9"/>
      <c r="D54" s="6">
        <v>12430.73</v>
      </c>
      <c r="E54" s="3"/>
      <c r="F54" s="7">
        <f t="shared" si="4"/>
        <v>1.4561448515475461</v>
      </c>
      <c r="G54" s="3"/>
      <c r="H54" s="6">
        <v>1500</v>
      </c>
      <c r="I54" s="3"/>
      <c r="J54" s="7">
        <f t="shared" si="5"/>
        <v>0.26785714285714285</v>
      </c>
      <c r="K54" s="3"/>
      <c r="L54" s="6">
        <f t="shared" si="6"/>
        <v>10930.73</v>
      </c>
      <c r="M54" s="3"/>
      <c r="N54" s="7">
        <f t="shared" si="7"/>
        <v>7.2871533333333334</v>
      </c>
      <c r="O54" s="9"/>
      <c r="P54" s="6">
        <v>132752.45000000001</v>
      </c>
      <c r="Q54" s="3"/>
      <c r="R54" s="7">
        <f t="shared" si="8"/>
        <v>0.57219961195453151</v>
      </c>
      <c r="S54" s="3"/>
      <c r="T54" s="6">
        <v>138800</v>
      </c>
      <c r="U54" s="3"/>
      <c r="V54" s="7">
        <f t="shared" si="9"/>
        <v>0.34193087478136625</v>
      </c>
      <c r="W54" s="3"/>
      <c r="X54" s="6">
        <f t="shared" si="10"/>
        <v>-6047.5499999999884</v>
      </c>
      <c r="Y54" s="3"/>
      <c r="Z54" s="7">
        <f t="shared" si="11"/>
        <v>-4.3570244956772253E-2</v>
      </c>
    </row>
    <row r="55" spans="1:26" s="70" customFormat="1" ht="15" hidden="1" customHeight="1" outlineLevel="2" x14ac:dyDescent="0.3">
      <c r="A55" s="21"/>
      <c r="B55" s="9" t="str">
        <f>CONCATENATE("          ","6307"," - ","POSTAGE")</f>
        <v xml:space="preserve">          6307 - POSTAGE</v>
      </c>
      <c r="C55" s="9"/>
      <c r="D55" s="6">
        <v>-13457.96</v>
      </c>
      <c r="E55" s="3"/>
      <c r="F55" s="7">
        <f t="shared" si="4"/>
        <v>-1.5764753289897548</v>
      </c>
      <c r="G55" s="3"/>
      <c r="H55" s="6">
        <v>-4500</v>
      </c>
      <c r="I55" s="3"/>
      <c r="J55" s="7">
        <f t="shared" si="5"/>
        <v>-0.8035714285714286</v>
      </c>
      <c r="K55" s="3"/>
      <c r="L55" s="6">
        <f t="shared" si="6"/>
        <v>-8957.9599999999991</v>
      </c>
      <c r="M55" s="3"/>
      <c r="N55" s="7">
        <f t="shared" si="7"/>
        <v>1.9906577777777776</v>
      </c>
      <c r="O55" s="9"/>
      <c r="P55" s="6">
        <v>-204484.27</v>
      </c>
      <c r="Q55" s="3"/>
      <c r="R55" s="7">
        <f t="shared" si="8"/>
        <v>-0.88138350700725776</v>
      </c>
      <c r="S55" s="3"/>
      <c r="T55" s="6">
        <v>-174500</v>
      </c>
      <c r="U55" s="3"/>
      <c r="V55" s="7">
        <f t="shared" si="9"/>
        <v>-0.42987707240164558</v>
      </c>
      <c r="W55" s="3"/>
      <c r="X55" s="6">
        <f t="shared" si="10"/>
        <v>-29984.26999999999</v>
      </c>
      <c r="Y55" s="3"/>
      <c r="Z55" s="7">
        <f t="shared" si="11"/>
        <v>0.17182962750716327</v>
      </c>
    </row>
    <row r="56" spans="1:26" s="69" customFormat="1" ht="15" customHeight="1" outlineLevel="1" collapsed="1" x14ac:dyDescent="0.3">
      <c r="A56" s="20"/>
      <c r="B56" s="11" t="str">
        <f>CONCATENATE("     ","General                                           ")</f>
        <v xml:space="preserve">     General                                           </v>
      </c>
      <c r="C56" s="11"/>
      <c r="D56" s="2">
        <f>SUM(OSRRefD22_6x_0)</f>
        <v>0</v>
      </c>
      <c r="E56" s="2"/>
      <c r="F56" s="5">
        <f t="shared" si="4"/>
        <v>0</v>
      </c>
      <c r="G56" s="2"/>
      <c r="H56" s="2">
        <f>SUM(OSRRefH22_6x_0)</f>
        <v>0</v>
      </c>
      <c r="I56" s="2"/>
      <c r="J56" s="5">
        <f t="shared" si="5"/>
        <v>0</v>
      </c>
      <c r="K56" s="2"/>
      <c r="L56" s="2">
        <f t="shared" si="6"/>
        <v>0</v>
      </c>
      <c r="M56" s="2"/>
      <c r="N56" s="5">
        <f t="shared" si="7"/>
        <v>0</v>
      </c>
      <c r="O56" s="11"/>
      <c r="P56" s="2">
        <f>SUM(OSRRefP22_6x_0)</f>
        <v>91.31</v>
      </c>
      <c r="Q56" s="2"/>
      <c r="R56" s="5">
        <f t="shared" si="8"/>
        <v>3.9357124156705407E-4</v>
      </c>
      <c r="S56" s="2"/>
      <c r="T56" s="2">
        <f>SUM(OSRRefT22_6x_0)</f>
        <v>0</v>
      </c>
      <c r="U56" s="2"/>
      <c r="V56" s="5">
        <f t="shared" si="9"/>
        <v>0</v>
      </c>
      <c r="W56" s="2"/>
      <c r="X56" s="2">
        <f t="shared" si="10"/>
        <v>91.31</v>
      </c>
      <c r="Y56" s="2"/>
      <c r="Z56" s="5">
        <f t="shared" si="11"/>
        <v>0</v>
      </c>
    </row>
    <row r="57" spans="1:26" s="70" customFormat="1" ht="15" hidden="1" customHeight="1" outlineLevel="2" x14ac:dyDescent="0.3">
      <c r="A57" s="21"/>
      <c r="B57" s="9" t="str">
        <f>CONCATENATE("          ","6279"," - ","GENERAL EXPENSE")</f>
        <v xml:space="preserve">          6279 - GENERAL EXPENSE</v>
      </c>
      <c r="C57" s="9"/>
      <c r="D57" s="6"/>
      <c r="E57" s="3"/>
      <c r="F57" s="7">
        <f t="shared" ref="F57:F75" si="12">IF(D$12=0,0,D57/D$12)</f>
        <v>0</v>
      </c>
      <c r="G57" s="3"/>
      <c r="H57" s="6"/>
      <c r="I57" s="3"/>
      <c r="J57" s="7">
        <f t="shared" ref="J57:J75" si="13">IF(H$12=0,0,H57/H$12)</f>
        <v>0</v>
      </c>
      <c r="K57" s="3"/>
      <c r="L57" s="6">
        <f t="shared" ref="L57:L75" si="14">+D57-H57</f>
        <v>0</v>
      </c>
      <c r="M57" s="3"/>
      <c r="N57" s="7">
        <f t="shared" ref="N57:N75" si="15">IF(H57=0,0,L57/H57)</f>
        <v>0</v>
      </c>
      <c r="O57" s="9"/>
      <c r="P57" s="6">
        <v>91.31</v>
      </c>
      <c r="Q57" s="3"/>
      <c r="R57" s="7">
        <f t="shared" ref="R57:R75" si="16">IF(P$12=0,0,P57/P$12)</f>
        <v>3.9357124156705407E-4</v>
      </c>
      <c r="S57" s="3"/>
      <c r="T57" s="6"/>
      <c r="U57" s="3"/>
      <c r="V57" s="7">
        <f t="shared" ref="V57:V75" si="17">IF(T$12=0,0,T57/T$12)</f>
        <v>0</v>
      </c>
      <c r="W57" s="3"/>
      <c r="X57" s="6">
        <f t="shared" ref="X57:X75" si="18">+P57-T57</f>
        <v>91.31</v>
      </c>
      <c r="Y57" s="3"/>
      <c r="Z57" s="7">
        <f t="shared" ref="Z57:Z75" si="19">IF(T57=0,0,X57/T57)</f>
        <v>0</v>
      </c>
    </row>
    <row r="58" spans="1:26" s="69" customFormat="1" ht="15" customHeight="1" outlineLevel="1" collapsed="1" x14ac:dyDescent="0.3">
      <c r="A58" s="20"/>
      <c r="B58" s="11" t="str">
        <f>CONCATENATE("     ","Professional Services                             ")</f>
        <v xml:space="preserve">     Professional Services                             </v>
      </c>
      <c r="C58" s="11"/>
      <c r="D58" s="2">
        <f>SUM(OSRRefD22_7x_0)</f>
        <v>150</v>
      </c>
      <c r="E58" s="2"/>
      <c r="F58" s="5">
        <f t="shared" si="12"/>
        <v>1.7571110283316583E-2</v>
      </c>
      <c r="G58" s="2"/>
      <c r="H58" s="2">
        <f>SUM(OSRRefH22_7x_0)</f>
        <v>0</v>
      </c>
      <c r="I58" s="2"/>
      <c r="J58" s="5">
        <f t="shared" si="13"/>
        <v>0</v>
      </c>
      <c r="K58" s="2"/>
      <c r="L58" s="2">
        <f t="shared" si="14"/>
        <v>150</v>
      </c>
      <c r="M58" s="2"/>
      <c r="N58" s="5">
        <f t="shared" si="15"/>
        <v>0</v>
      </c>
      <c r="O58" s="11"/>
      <c r="P58" s="2">
        <f>SUM(OSRRefP22_7x_0)</f>
        <v>150</v>
      </c>
      <c r="Q58" s="2"/>
      <c r="R58" s="5">
        <f t="shared" si="16"/>
        <v>6.4654130144626122E-4</v>
      </c>
      <c r="S58" s="2"/>
      <c r="T58" s="2">
        <f>SUM(OSRRefT22_7x_0)</f>
        <v>0</v>
      </c>
      <c r="U58" s="2"/>
      <c r="V58" s="5">
        <f t="shared" si="17"/>
        <v>0</v>
      </c>
      <c r="W58" s="2"/>
      <c r="X58" s="2">
        <f t="shared" si="18"/>
        <v>150</v>
      </c>
      <c r="Y58" s="2"/>
      <c r="Z58" s="5">
        <f t="shared" si="19"/>
        <v>0</v>
      </c>
    </row>
    <row r="59" spans="1:26" s="70" customFormat="1" ht="15" hidden="1" customHeight="1" outlineLevel="2" x14ac:dyDescent="0.3">
      <c r="A59" s="21"/>
      <c r="B59" s="9" t="str">
        <f>CONCATENATE("          ","6336"," - ","PROFESSIONAL SERVICES")</f>
        <v xml:space="preserve">          6336 - PROFESSIONAL SERVICES</v>
      </c>
      <c r="C59" s="9"/>
      <c r="D59" s="6">
        <v>150</v>
      </c>
      <c r="E59" s="3"/>
      <c r="F59" s="7">
        <f t="shared" si="12"/>
        <v>1.7571110283316583E-2</v>
      </c>
      <c r="G59" s="3"/>
      <c r="H59" s="6"/>
      <c r="I59" s="3"/>
      <c r="J59" s="7">
        <f t="shared" si="13"/>
        <v>0</v>
      </c>
      <c r="K59" s="3"/>
      <c r="L59" s="6">
        <f t="shared" si="14"/>
        <v>150</v>
      </c>
      <c r="M59" s="3"/>
      <c r="N59" s="7">
        <f t="shared" si="15"/>
        <v>0</v>
      </c>
      <c r="O59" s="9"/>
      <c r="P59" s="6">
        <v>150</v>
      </c>
      <c r="Q59" s="3"/>
      <c r="R59" s="7">
        <f t="shared" si="16"/>
        <v>6.4654130144626122E-4</v>
      </c>
      <c r="S59" s="3"/>
      <c r="T59" s="6"/>
      <c r="U59" s="3"/>
      <c r="V59" s="7">
        <f t="shared" si="17"/>
        <v>0</v>
      </c>
      <c r="W59" s="3"/>
      <c r="X59" s="6">
        <f t="shared" si="18"/>
        <v>150</v>
      </c>
      <c r="Y59" s="3"/>
      <c r="Z59" s="7">
        <f t="shared" si="19"/>
        <v>0</v>
      </c>
    </row>
    <row r="60" spans="1:26" s="69" customFormat="1" ht="15" customHeight="1" outlineLevel="1" collapsed="1" x14ac:dyDescent="0.3">
      <c r="A60" s="20"/>
      <c r="B60" s="11" t="str">
        <f>CONCATENATE("     ","Repair and Maintenance                            ")</f>
        <v xml:space="preserve">     Repair and Maintenance                            </v>
      </c>
      <c r="C60" s="11"/>
      <c r="D60" s="2">
        <f>SUM(OSRRefD22_8x_0)</f>
        <v>2089.2200000000003</v>
      </c>
      <c r="E60" s="2"/>
      <c r="F60" s="5">
        <f t="shared" si="12"/>
        <v>0.24473276684073783</v>
      </c>
      <c r="G60" s="2"/>
      <c r="H60" s="2">
        <f>SUM(OSRRefH22_8x_0)</f>
        <v>5600</v>
      </c>
      <c r="I60" s="2"/>
      <c r="J60" s="5">
        <f t="shared" si="13"/>
        <v>1</v>
      </c>
      <c r="K60" s="2"/>
      <c r="L60" s="2">
        <f t="shared" si="14"/>
        <v>-3510.7799999999997</v>
      </c>
      <c r="M60" s="2"/>
      <c r="N60" s="5">
        <f t="shared" si="15"/>
        <v>-0.62692499999999995</v>
      </c>
      <c r="O60" s="11"/>
      <c r="P60" s="2">
        <f>SUM(OSRRefP22_8x_0)</f>
        <v>33448.79</v>
      </c>
      <c r="Q60" s="2"/>
      <c r="R60" s="5">
        <f t="shared" si="16"/>
        <v>0.14417349478935124</v>
      </c>
      <c r="S60" s="2"/>
      <c r="T60" s="2">
        <f>SUM(OSRRefT22_8x_0)</f>
        <v>66100</v>
      </c>
      <c r="U60" s="2"/>
      <c r="V60" s="5">
        <f t="shared" si="17"/>
        <v>0.1628359569383884</v>
      </c>
      <c r="W60" s="2"/>
      <c r="X60" s="2">
        <f t="shared" si="18"/>
        <v>-32651.21</v>
      </c>
      <c r="Y60" s="2"/>
      <c r="Z60" s="5">
        <f t="shared" si="19"/>
        <v>-0.49396686838124054</v>
      </c>
    </row>
    <row r="61" spans="1:26" s="70" customFormat="1" ht="15" hidden="1" customHeight="1" outlineLevel="2" x14ac:dyDescent="0.3">
      <c r="A61" s="21"/>
      <c r="B61" s="9" t="str">
        <f>CONCATENATE("          ","6371"," - ","COMPUTER SOFTWARE MAINTENANCE")</f>
        <v xml:space="preserve">          6371 - COMPUTER SOFTWARE MAINTENANCE</v>
      </c>
      <c r="C61" s="9"/>
      <c r="D61" s="6"/>
      <c r="E61" s="3"/>
      <c r="F61" s="7">
        <f t="shared" si="12"/>
        <v>0</v>
      </c>
      <c r="G61" s="3"/>
      <c r="H61" s="6"/>
      <c r="I61" s="3"/>
      <c r="J61" s="7">
        <f t="shared" si="13"/>
        <v>0</v>
      </c>
      <c r="K61" s="3"/>
      <c r="L61" s="6">
        <f t="shared" si="14"/>
        <v>0</v>
      </c>
      <c r="M61" s="3"/>
      <c r="N61" s="7">
        <f t="shared" si="15"/>
        <v>0</v>
      </c>
      <c r="O61" s="9"/>
      <c r="P61" s="6"/>
      <c r="Q61" s="3"/>
      <c r="R61" s="7">
        <f t="shared" si="16"/>
        <v>0</v>
      </c>
      <c r="S61" s="3"/>
      <c r="T61" s="6">
        <v>100</v>
      </c>
      <c r="U61" s="3"/>
      <c r="V61" s="7">
        <f t="shared" si="17"/>
        <v>2.4634789249377973E-4</v>
      </c>
      <c r="W61" s="3"/>
      <c r="X61" s="6">
        <f t="shared" si="18"/>
        <v>-100</v>
      </c>
      <c r="Y61" s="3"/>
      <c r="Z61" s="7">
        <f t="shared" si="19"/>
        <v>-1</v>
      </c>
    </row>
    <row r="62" spans="1:26" s="70" customFormat="1" ht="15" hidden="1" customHeight="1" outlineLevel="2" x14ac:dyDescent="0.3">
      <c r="A62" s="21"/>
      <c r="B62" s="9" t="str">
        <f>CONCATENATE("          ","6373"," - ","MAINTENANCE CONTRACTS")</f>
        <v xml:space="preserve">          6373 - MAINTENANCE CONTRACTS</v>
      </c>
      <c r="C62" s="9"/>
      <c r="D62" s="6">
        <v>513.59</v>
      </c>
      <c r="E62" s="3"/>
      <c r="F62" s="7">
        <f t="shared" si="12"/>
        <v>6.0162310202723765E-2</v>
      </c>
      <c r="G62" s="3"/>
      <c r="H62" s="6">
        <v>5600</v>
      </c>
      <c r="I62" s="3"/>
      <c r="J62" s="7">
        <f t="shared" si="13"/>
        <v>1</v>
      </c>
      <c r="K62" s="3"/>
      <c r="L62" s="6">
        <f t="shared" si="14"/>
        <v>-5086.41</v>
      </c>
      <c r="M62" s="3"/>
      <c r="N62" s="7">
        <f t="shared" si="15"/>
        <v>-0.90828750000000003</v>
      </c>
      <c r="O62" s="9"/>
      <c r="P62" s="6">
        <v>11056.42</v>
      </c>
      <c r="Q62" s="3"/>
      <c r="R62" s="7">
        <f t="shared" si="16"/>
        <v>4.7656214507576476E-2</v>
      </c>
      <c r="S62" s="3"/>
      <c r="T62" s="6">
        <v>66000</v>
      </c>
      <c r="U62" s="3"/>
      <c r="V62" s="7">
        <f t="shared" si="17"/>
        <v>0.16258960904589462</v>
      </c>
      <c r="W62" s="3"/>
      <c r="X62" s="6">
        <f t="shared" si="18"/>
        <v>-54943.58</v>
      </c>
      <c r="Y62" s="3"/>
      <c r="Z62" s="7">
        <f t="shared" si="19"/>
        <v>-0.83247848484848486</v>
      </c>
    </row>
    <row r="63" spans="1:26" s="70" customFormat="1" ht="15" hidden="1" customHeight="1" outlineLevel="2" x14ac:dyDescent="0.3">
      <c r="A63" s="21"/>
      <c r="B63" s="9" t="str">
        <f>CONCATENATE("          ","6375"," - ","OUTSIDE REPAIRS &amp; MAINTENANCE")</f>
        <v xml:space="preserve">          6375 - OUTSIDE REPAIRS &amp; MAINTENANCE</v>
      </c>
      <c r="C63" s="9"/>
      <c r="D63" s="6">
        <v>1575.63</v>
      </c>
      <c r="E63" s="3"/>
      <c r="F63" s="7">
        <f t="shared" si="12"/>
        <v>0.18457045663801405</v>
      </c>
      <c r="G63" s="3"/>
      <c r="H63" s="6"/>
      <c r="I63" s="3"/>
      <c r="J63" s="7">
        <f t="shared" si="13"/>
        <v>0</v>
      </c>
      <c r="K63" s="3"/>
      <c r="L63" s="6">
        <f t="shared" si="14"/>
        <v>1575.63</v>
      </c>
      <c r="M63" s="3"/>
      <c r="N63" s="7">
        <f t="shared" si="15"/>
        <v>0</v>
      </c>
      <c r="O63" s="9"/>
      <c r="P63" s="6">
        <v>22392.37</v>
      </c>
      <c r="Q63" s="3"/>
      <c r="R63" s="7">
        <f t="shared" si="16"/>
        <v>9.6517280281774767E-2</v>
      </c>
      <c r="S63" s="3"/>
      <c r="T63" s="6"/>
      <c r="U63" s="3"/>
      <c r="V63" s="7">
        <f t="shared" si="17"/>
        <v>0</v>
      </c>
      <c r="W63" s="3"/>
      <c r="X63" s="6">
        <f t="shared" si="18"/>
        <v>22392.37</v>
      </c>
      <c r="Y63" s="3"/>
      <c r="Z63" s="7">
        <f t="shared" si="19"/>
        <v>0</v>
      </c>
    </row>
    <row r="64" spans="1:26" s="69" customFormat="1" ht="15" customHeight="1" outlineLevel="1" collapsed="1" x14ac:dyDescent="0.3">
      <c r="A64" s="20"/>
      <c r="B64" s="11" t="str">
        <f>CONCATENATE("     ","Royalty &amp; Commissions                             ")</f>
        <v xml:space="preserve">     Royalty &amp; Commissions                             </v>
      </c>
      <c r="C64" s="11"/>
      <c r="D64" s="2">
        <f>SUM(OSRRefD22_9x_0)</f>
        <v>395.53</v>
      </c>
      <c r="E64" s="2"/>
      <c r="F64" s="5">
        <f t="shared" si="12"/>
        <v>4.6332675002401381E-2</v>
      </c>
      <c r="G64" s="2"/>
      <c r="H64" s="2">
        <f>SUM(OSRRefH22_9x_0)</f>
        <v>6500</v>
      </c>
      <c r="I64" s="2"/>
      <c r="J64" s="5">
        <f t="shared" si="13"/>
        <v>1.1607142857142858</v>
      </c>
      <c r="K64" s="2"/>
      <c r="L64" s="2">
        <f t="shared" si="14"/>
        <v>-6104.47</v>
      </c>
      <c r="M64" s="2"/>
      <c r="N64" s="5">
        <f t="shared" si="15"/>
        <v>-0.93914923076923085</v>
      </c>
      <c r="O64" s="11"/>
      <c r="P64" s="2">
        <f>SUM(OSRRefP22_9x_0)</f>
        <v>13706.99</v>
      </c>
      <c r="Q64" s="2"/>
      <c r="R64" s="5">
        <f t="shared" si="16"/>
        <v>5.9080901023405914E-2</v>
      </c>
      <c r="S64" s="2"/>
      <c r="T64" s="2">
        <f>SUM(OSRRefT22_9x_0)</f>
        <v>47000</v>
      </c>
      <c r="U64" s="2"/>
      <c r="V64" s="5">
        <f t="shared" si="17"/>
        <v>0.11578350947207647</v>
      </c>
      <c r="W64" s="2"/>
      <c r="X64" s="2">
        <f t="shared" si="18"/>
        <v>-33293.01</v>
      </c>
      <c r="Y64" s="2"/>
      <c r="Z64" s="5">
        <f t="shared" si="19"/>
        <v>-0.70836191489361711</v>
      </c>
    </row>
    <row r="65" spans="1:26" s="70" customFormat="1" ht="15" hidden="1" customHeight="1" outlineLevel="2" x14ac:dyDescent="0.3">
      <c r="A65" s="21"/>
      <c r="B65" s="9" t="str">
        <f>CONCATENATE("          ","6259"," - ","ROYALTY &amp; COMMISSIONS")</f>
        <v xml:space="preserve">          6259 - ROYALTY &amp; COMMISSIONS</v>
      </c>
      <c r="C65" s="9"/>
      <c r="D65" s="6">
        <v>395.53</v>
      </c>
      <c r="E65" s="3"/>
      <c r="F65" s="7">
        <f t="shared" si="12"/>
        <v>4.6332675002401381E-2</v>
      </c>
      <c r="G65" s="3"/>
      <c r="H65" s="6">
        <v>6500</v>
      </c>
      <c r="I65" s="3"/>
      <c r="J65" s="7">
        <f t="shared" si="13"/>
        <v>1.1607142857142858</v>
      </c>
      <c r="K65" s="3"/>
      <c r="L65" s="6">
        <f t="shared" si="14"/>
        <v>-6104.47</v>
      </c>
      <c r="M65" s="3"/>
      <c r="N65" s="7">
        <f t="shared" si="15"/>
        <v>-0.93914923076923085</v>
      </c>
      <c r="O65" s="9"/>
      <c r="P65" s="6">
        <v>13706.99</v>
      </c>
      <c r="Q65" s="3"/>
      <c r="R65" s="7">
        <f t="shared" si="16"/>
        <v>5.9080901023405914E-2</v>
      </c>
      <c r="S65" s="3"/>
      <c r="T65" s="6">
        <v>47000</v>
      </c>
      <c r="U65" s="3"/>
      <c r="V65" s="7">
        <f t="shared" si="17"/>
        <v>0.11578350947207647</v>
      </c>
      <c r="W65" s="3"/>
      <c r="X65" s="6">
        <f t="shared" si="18"/>
        <v>-33293.01</v>
      </c>
      <c r="Y65" s="3"/>
      <c r="Z65" s="7">
        <f t="shared" si="19"/>
        <v>-0.70836191489361711</v>
      </c>
    </row>
    <row r="66" spans="1:26" s="69" customFormat="1" ht="15" customHeight="1" outlineLevel="1" collapsed="1" x14ac:dyDescent="0.3">
      <c r="A66" s="20"/>
      <c r="B66" s="11" t="str">
        <f>CONCATENATE("     ","Subscriptions &amp; Dues                              ")</f>
        <v xml:space="preserve">     Subscriptions &amp; Dues                              </v>
      </c>
      <c r="C66" s="11"/>
      <c r="D66" s="2">
        <f>SUM(OSRRefD22_10x_0)</f>
        <v>0</v>
      </c>
      <c r="E66" s="2"/>
      <c r="F66" s="5">
        <f t="shared" si="12"/>
        <v>0</v>
      </c>
      <c r="G66" s="2"/>
      <c r="H66" s="2">
        <f>SUM(OSRRefH22_10x_0)</f>
        <v>0</v>
      </c>
      <c r="I66" s="2"/>
      <c r="J66" s="5">
        <f t="shared" si="13"/>
        <v>0</v>
      </c>
      <c r="K66" s="2"/>
      <c r="L66" s="2">
        <f t="shared" si="14"/>
        <v>0</v>
      </c>
      <c r="M66" s="2"/>
      <c r="N66" s="5">
        <f t="shared" si="15"/>
        <v>0</v>
      </c>
      <c r="O66" s="11"/>
      <c r="P66" s="2">
        <f>SUM(OSRRefP22_10x_0)</f>
        <v>5.28</v>
      </c>
      <c r="Q66" s="2"/>
      <c r="R66" s="5">
        <f t="shared" si="16"/>
        <v>2.2758253810908395E-5</v>
      </c>
      <c r="S66" s="2"/>
      <c r="T66" s="2">
        <f>SUM(OSRRefT22_10x_0)</f>
        <v>0</v>
      </c>
      <c r="U66" s="2"/>
      <c r="V66" s="5">
        <f t="shared" si="17"/>
        <v>0</v>
      </c>
      <c r="W66" s="2"/>
      <c r="X66" s="2">
        <f t="shared" si="18"/>
        <v>5.28</v>
      </c>
      <c r="Y66" s="2"/>
      <c r="Z66" s="5">
        <f t="shared" si="19"/>
        <v>0</v>
      </c>
    </row>
    <row r="67" spans="1:26" s="70" customFormat="1" ht="15" hidden="1" customHeight="1" outlineLevel="2" x14ac:dyDescent="0.3">
      <c r="A67" s="21"/>
      <c r="B67" s="9" t="str">
        <f>CONCATENATE("          ","6258"," - ","MEMBERSHIP DUES")</f>
        <v xml:space="preserve">          6258 - MEMBERSHIP DUES</v>
      </c>
      <c r="C67" s="9"/>
      <c r="D67" s="6"/>
      <c r="E67" s="3"/>
      <c r="F67" s="7">
        <f t="shared" si="12"/>
        <v>0</v>
      </c>
      <c r="G67" s="3"/>
      <c r="H67" s="6"/>
      <c r="I67" s="3"/>
      <c r="J67" s="7">
        <f t="shared" si="13"/>
        <v>0</v>
      </c>
      <c r="K67" s="3"/>
      <c r="L67" s="6">
        <f t="shared" si="14"/>
        <v>0</v>
      </c>
      <c r="M67" s="3"/>
      <c r="N67" s="7">
        <f t="shared" si="15"/>
        <v>0</v>
      </c>
      <c r="O67" s="9"/>
      <c r="P67" s="6">
        <v>5.28</v>
      </c>
      <c r="Q67" s="3"/>
      <c r="R67" s="7">
        <f t="shared" si="16"/>
        <v>2.2758253810908395E-5</v>
      </c>
      <c r="S67" s="3"/>
      <c r="T67" s="6"/>
      <c r="U67" s="3"/>
      <c r="V67" s="7">
        <f t="shared" si="17"/>
        <v>0</v>
      </c>
      <c r="W67" s="3"/>
      <c r="X67" s="6">
        <f t="shared" si="18"/>
        <v>5.28</v>
      </c>
      <c r="Y67" s="3"/>
      <c r="Z67" s="7">
        <f t="shared" si="19"/>
        <v>0</v>
      </c>
    </row>
    <row r="68" spans="1:26" s="69" customFormat="1" ht="15" customHeight="1" outlineLevel="1" collapsed="1" x14ac:dyDescent="0.3">
      <c r="A68" s="20"/>
      <c r="B68" s="11" t="str">
        <f>CONCATENATE("     ","Supplies                                          ")</f>
        <v xml:space="preserve">     Supplies                                          </v>
      </c>
      <c r="C68" s="11"/>
      <c r="D68" s="2">
        <f>SUM(OSRRefD22_11x_0)</f>
        <v>15341.210000000001</v>
      </c>
      <c r="E68" s="2"/>
      <c r="F68" s="5">
        <f t="shared" si="12"/>
        <v>1.7970806185967947</v>
      </c>
      <c r="G68" s="2"/>
      <c r="H68" s="2">
        <f>SUM(OSRRefH22_11x_0)</f>
        <v>1350</v>
      </c>
      <c r="I68" s="2"/>
      <c r="J68" s="5">
        <f t="shared" si="13"/>
        <v>0.24107142857142858</v>
      </c>
      <c r="K68" s="2"/>
      <c r="L68" s="2">
        <f t="shared" si="14"/>
        <v>13991.210000000001</v>
      </c>
      <c r="M68" s="2"/>
      <c r="N68" s="5">
        <f t="shared" si="15"/>
        <v>10.363859259259259</v>
      </c>
      <c r="O68" s="11"/>
      <c r="P68" s="2">
        <f>SUM(OSRRefP22_11x_0)</f>
        <v>69219.22</v>
      </c>
      <c r="Q68" s="2"/>
      <c r="R68" s="5">
        <f t="shared" si="16"/>
        <v>0.29835389722596717</v>
      </c>
      <c r="S68" s="2"/>
      <c r="T68" s="2">
        <f>SUM(OSRRefT22_11x_0)</f>
        <v>52300</v>
      </c>
      <c r="U68" s="2"/>
      <c r="V68" s="5">
        <f t="shared" si="17"/>
        <v>0.12883994777424679</v>
      </c>
      <c r="W68" s="2"/>
      <c r="X68" s="2">
        <f t="shared" si="18"/>
        <v>16919.22</v>
      </c>
      <c r="Y68" s="2"/>
      <c r="Z68" s="5">
        <f t="shared" si="19"/>
        <v>0.32350325047801148</v>
      </c>
    </row>
    <row r="69" spans="1:26" s="70" customFormat="1" ht="15" hidden="1" customHeight="1" outlineLevel="2" x14ac:dyDescent="0.3">
      <c r="A69" s="21"/>
      <c r="B69" s="9" t="str">
        <f>CONCATENATE("          ","6234"," - ","EXPENDABLE SUPPLIES &amp; EQUIPMEN")</f>
        <v xml:space="preserve">          6234 - EXPENDABLE SUPPLIES &amp; EQUIPMEN</v>
      </c>
      <c r="C69" s="9"/>
      <c r="D69" s="6"/>
      <c r="E69" s="3"/>
      <c r="F69" s="7">
        <f t="shared" si="12"/>
        <v>0</v>
      </c>
      <c r="G69" s="3"/>
      <c r="H69" s="6"/>
      <c r="I69" s="3"/>
      <c r="J69" s="7">
        <f t="shared" si="13"/>
        <v>0</v>
      </c>
      <c r="K69" s="3"/>
      <c r="L69" s="6">
        <f t="shared" si="14"/>
        <v>0</v>
      </c>
      <c r="M69" s="3"/>
      <c r="N69" s="7">
        <f t="shared" si="15"/>
        <v>0</v>
      </c>
      <c r="O69" s="9"/>
      <c r="P69" s="6">
        <v>4993.3100000000004</v>
      </c>
      <c r="Q69" s="3"/>
      <c r="R69" s="7">
        <f t="shared" si="16"/>
        <v>2.1522540972830871E-2</v>
      </c>
      <c r="S69" s="3"/>
      <c r="T69" s="6"/>
      <c r="U69" s="3"/>
      <c r="V69" s="7">
        <f t="shared" si="17"/>
        <v>0</v>
      </c>
      <c r="W69" s="3"/>
      <c r="X69" s="6">
        <f t="shared" si="18"/>
        <v>4993.3100000000004</v>
      </c>
      <c r="Y69" s="3"/>
      <c r="Z69" s="7">
        <f t="shared" si="19"/>
        <v>0</v>
      </c>
    </row>
    <row r="70" spans="1:26" s="70" customFormat="1" ht="15" hidden="1" customHeight="1" outlineLevel="2" x14ac:dyDescent="0.3">
      <c r="A70" s="21"/>
      <c r="B70" s="9" t="str">
        <f>CONCATENATE("          ","6241"," - ","OFFICE EXPENSE")</f>
        <v xml:space="preserve">          6241 - OFFICE EXPENSE</v>
      </c>
      <c r="C70" s="9"/>
      <c r="D70" s="6">
        <v>3343.05</v>
      </c>
      <c r="E70" s="3"/>
      <c r="F70" s="7">
        <f t="shared" si="12"/>
        <v>0.39160733488427668</v>
      </c>
      <c r="G70" s="3"/>
      <c r="H70" s="6">
        <v>50</v>
      </c>
      <c r="I70" s="3"/>
      <c r="J70" s="7">
        <f t="shared" si="13"/>
        <v>8.9285714285714281E-3</v>
      </c>
      <c r="K70" s="3"/>
      <c r="L70" s="6">
        <f t="shared" si="14"/>
        <v>3293.05</v>
      </c>
      <c r="M70" s="3"/>
      <c r="N70" s="7">
        <f t="shared" si="15"/>
        <v>65.861000000000004</v>
      </c>
      <c r="O70" s="9"/>
      <c r="P70" s="6">
        <v>14366.35</v>
      </c>
      <c r="Q70" s="3"/>
      <c r="R70" s="7">
        <f t="shared" si="16"/>
        <v>6.1922924173549963E-2</v>
      </c>
      <c r="S70" s="3"/>
      <c r="T70" s="6">
        <v>100</v>
      </c>
      <c r="U70" s="3"/>
      <c r="V70" s="7">
        <f t="shared" si="17"/>
        <v>2.4634789249377973E-4</v>
      </c>
      <c r="W70" s="3"/>
      <c r="X70" s="6">
        <f t="shared" si="18"/>
        <v>14266.35</v>
      </c>
      <c r="Y70" s="3"/>
      <c r="Z70" s="7">
        <f t="shared" si="19"/>
        <v>142.6635</v>
      </c>
    </row>
    <row r="71" spans="1:26" s="70" customFormat="1" ht="15" hidden="1" customHeight="1" outlineLevel="2" x14ac:dyDescent="0.3">
      <c r="A71" s="21"/>
      <c r="B71" s="9" t="str">
        <f>CONCATENATE("          ","6243"," - ","PAPER SUPPLIES")</f>
        <v xml:space="preserve">          6243 - PAPER SUPPLIES</v>
      </c>
      <c r="C71" s="9"/>
      <c r="D71" s="6">
        <v>742</v>
      </c>
      <c r="E71" s="3"/>
      <c r="F71" s="7">
        <f t="shared" si="12"/>
        <v>8.6918425534806026E-2</v>
      </c>
      <c r="G71" s="3"/>
      <c r="H71" s="6">
        <v>1250</v>
      </c>
      <c r="I71" s="3"/>
      <c r="J71" s="7">
        <f t="shared" si="13"/>
        <v>0.22321428571428573</v>
      </c>
      <c r="K71" s="3"/>
      <c r="L71" s="6">
        <f t="shared" si="14"/>
        <v>-508</v>
      </c>
      <c r="M71" s="3"/>
      <c r="N71" s="7">
        <f t="shared" si="15"/>
        <v>-0.40639999999999998</v>
      </c>
      <c r="O71" s="9"/>
      <c r="P71" s="6">
        <v>10832.94</v>
      </c>
      <c r="Q71" s="3"/>
      <c r="R71" s="7">
        <f t="shared" si="16"/>
        <v>4.6692954173928408E-2</v>
      </c>
      <c r="S71" s="3"/>
      <c r="T71" s="6">
        <v>38600</v>
      </c>
      <c r="U71" s="3"/>
      <c r="V71" s="7">
        <f t="shared" si="17"/>
        <v>9.5090286502598972E-2</v>
      </c>
      <c r="W71" s="3"/>
      <c r="X71" s="6">
        <f t="shared" si="18"/>
        <v>-27767.059999999998</v>
      </c>
      <c r="Y71" s="3"/>
      <c r="Z71" s="7">
        <f t="shared" si="19"/>
        <v>-0.71935388601036265</v>
      </c>
    </row>
    <row r="72" spans="1:26" s="70" customFormat="1" ht="15" hidden="1" customHeight="1" outlineLevel="2" x14ac:dyDescent="0.3">
      <c r="A72" s="21"/>
      <c r="B72" s="9" t="str">
        <f>CONCATENATE("          ","6245"," - ","PRINTING")</f>
        <v xml:space="preserve">          6245 - PRINTING</v>
      </c>
      <c r="C72" s="9"/>
      <c r="D72" s="6">
        <v>4517.24</v>
      </c>
      <c r="E72" s="3"/>
      <c r="F72" s="7">
        <f t="shared" si="12"/>
        <v>0.52915281477472664</v>
      </c>
      <c r="G72" s="3"/>
      <c r="H72" s="6">
        <v>50</v>
      </c>
      <c r="I72" s="3"/>
      <c r="J72" s="7">
        <f t="shared" si="13"/>
        <v>8.9285714285714281E-3</v>
      </c>
      <c r="K72" s="3"/>
      <c r="L72" s="6">
        <f t="shared" si="14"/>
        <v>4467.24</v>
      </c>
      <c r="M72" s="3"/>
      <c r="N72" s="7">
        <f t="shared" si="15"/>
        <v>89.344799999999992</v>
      </c>
      <c r="O72" s="9"/>
      <c r="P72" s="6">
        <v>14566.65</v>
      </c>
      <c r="Q72" s="3"/>
      <c r="R72" s="7">
        <f t="shared" si="16"/>
        <v>6.2786272324747872E-2</v>
      </c>
      <c r="S72" s="3"/>
      <c r="T72" s="6">
        <v>10395</v>
      </c>
      <c r="U72" s="3"/>
      <c r="V72" s="7">
        <f t="shared" si="17"/>
        <v>2.56078634247284E-2</v>
      </c>
      <c r="W72" s="3"/>
      <c r="X72" s="6">
        <f t="shared" si="18"/>
        <v>4171.6499999999996</v>
      </c>
      <c r="Y72" s="3"/>
      <c r="Z72" s="7">
        <f t="shared" si="19"/>
        <v>0.40131313131313129</v>
      </c>
    </row>
    <row r="73" spans="1:26" s="70" customFormat="1" ht="15" hidden="1" customHeight="1" outlineLevel="2" x14ac:dyDescent="0.3">
      <c r="A73" s="21"/>
      <c r="B73" s="9" t="str">
        <f>CONCATENATE("          ","6247"," - ","STORE SUPPLIES")</f>
        <v xml:space="preserve">          6247 - STORE SUPPLIES</v>
      </c>
      <c r="C73" s="9"/>
      <c r="D73" s="6">
        <v>6738.92</v>
      </c>
      <c r="E73" s="3"/>
      <c r="F73" s="7">
        <f t="shared" si="12"/>
        <v>0.78940204340298525</v>
      </c>
      <c r="G73" s="3"/>
      <c r="H73" s="6"/>
      <c r="I73" s="3"/>
      <c r="J73" s="7">
        <f t="shared" si="13"/>
        <v>0</v>
      </c>
      <c r="K73" s="3"/>
      <c r="L73" s="6">
        <f t="shared" si="14"/>
        <v>6738.92</v>
      </c>
      <c r="M73" s="3"/>
      <c r="N73" s="7">
        <f t="shared" si="15"/>
        <v>0</v>
      </c>
      <c r="O73" s="9"/>
      <c r="P73" s="6">
        <v>24459.97</v>
      </c>
      <c r="Q73" s="3"/>
      <c r="R73" s="7">
        <f t="shared" si="16"/>
        <v>0.10542920558091004</v>
      </c>
      <c r="S73" s="3"/>
      <c r="T73" s="6">
        <v>3205</v>
      </c>
      <c r="U73" s="3"/>
      <c r="V73" s="7">
        <f t="shared" si="17"/>
        <v>7.8954499544256398E-3</v>
      </c>
      <c r="W73" s="3"/>
      <c r="X73" s="6">
        <f t="shared" si="18"/>
        <v>21254.97</v>
      </c>
      <c r="Y73" s="3"/>
      <c r="Z73" s="7">
        <f t="shared" si="19"/>
        <v>6.6318159126365055</v>
      </c>
    </row>
    <row r="74" spans="1:26" s="69" customFormat="1" ht="15" customHeight="1" outlineLevel="1" collapsed="1" x14ac:dyDescent="0.3">
      <c r="A74" s="20"/>
      <c r="B74" s="11" t="str">
        <f>CONCATENATE("     ","Telephone/Data Lines                              ")</f>
        <v xml:space="preserve">     Telephone/Data Lines                              </v>
      </c>
      <c r="C74" s="11"/>
      <c r="D74" s="2">
        <f>SUM(OSRRefD22_12x_0)</f>
        <v>59.1</v>
      </c>
      <c r="E74" s="2"/>
      <c r="F74" s="5">
        <f t="shared" si="12"/>
        <v>6.9230174516267335E-3</v>
      </c>
      <c r="G74" s="2"/>
      <c r="H74" s="2">
        <f>SUM(OSRRefH22_12x_0)</f>
        <v>175</v>
      </c>
      <c r="I74" s="2"/>
      <c r="J74" s="5">
        <f t="shared" si="13"/>
        <v>3.125E-2</v>
      </c>
      <c r="K74" s="2"/>
      <c r="L74" s="2">
        <f t="shared" si="14"/>
        <v>-115.9</v>
      </c>
      <c r="M74" s="2"/>
      <c r="N74" s="5">
        <f t="shared" si="15"/>
        <v>-0.66228571428571437</v>
      </c>
      <c r="O74" s="11"/>
      <c r="P74" s="2">
        <f>SUM(OSRRefP22_12x_0)</f>
        <v>1315.4</v>
      </c>
      <c r="Q74" s="2"/>
      <c r="R74" s="5">
        <f t="shared" si="16"/>
        <v>5.6697361861494135E-3</v>
      </c>
      <c r="S74" s="2"/>
      <c r="T74" s="2">
        <f>SUM(OSRRefT22_12x_0)</f>
        <v>2100</v>
      </c>
      <c r="U74" s="2"/>
      <c r="V74" s="5">
        <f t="shared" si="17"/>
        <v>5.1733057423693739E-3</v>
      </c>
      <c r="W74" s="2"/>
      <c r="X74" s="2">
        <f t="shared" si="18"/>
        <v>-784.59999999999991</v>
      </c>
      <c r="Y74" s="2"/>
      <c r="Z74" s="5">
        <f t="shared" si="19"/>
        <v>-0.37361904761904757</v>
      </c>
    </row>
    <row r="75" spans="1:26" s="70" customFormat="1" ht="15" hidden="1" customHeight="1" outlineLevel="2" x14ac:dyDescent="0.3">
      <c r="A75" s="21"/>
      <c r="B75" s="9" t="str">
        <f>CONCATENATE("          ","6309"," - ","TELEPHONE")</f>
        <v xml:space="preserve">          6309 - TELEPHONE</v>
      </c>
      <c r="C75" s="9"/>
      <c r="D75" s="6">
        <v>59.1</v>
      </c>
      <c r="E75" s="3"/>
      <c r="F75" s="7">
        <f t="shared" si="12"/>
        <v>6.9230174516267335E-3</v>
      </c>
      <c r="G75" s="3"/>
      <c r="H75" s="6">
        <v>175</v>
      </c>
      <c r="I75" s="3"/>
      <c r="J75" s="7">
        <f t="shared" si="13"/>
        <v>3.125E-2</v>
      </c>
      <c r="K75" s="3"/>
      <c r="L75" s="6">
        <f t="shared" si="14"/>
        <v>-115.9</v>
      </c>
      <c r="M75" s="3"/>
      <c r="N75" s="7">
        <f t="shared" si="15"/>
        <v>-0.66228571428571437</v>
      </c>
      <c r="O75" s="9"/>
      <c r="P75" s="6">
        <v>1315.4</v>
      </c>
      <c r="Q75" s="3"/>
      <c r="R75" s="7">
        <f t="shared" si="16"/>
        <v>5.6697361861494135E-3</v>
      </c>
      <c r="S75" s="3"/>
      <c r="T75" s="6">
        <v>2100</v>
      </c>
      <c r="U75" s="3"/>
      <c r="V75" s="7">
        <f t="shared" si="17"/>
        <v>5.1733057423693739E-3</v>
      </c>
      <c r="W75" s="3"/>
      <c r="X75" s="6">
        <f t="shared" si="18"/>
        <v>-784.59999999999991</v>
      </c>
      <c r="Y75" s="3"/>
      <c r="Z75" s="7">
        <f t="shared" si="19"/>
        <v>-0.37361904761904757</v>
      </c>
    </row>
    <row r="76" spans="1:26" s="65" customFormat="1" ht="15" customHeight="1" x14ac:dyDescent="0.3">
      <c r="A76" s="36"/>
      <c r="B76" s="36"/>
      <c r="C76" s="36"/>
      <c r="D76" s="2"/>
      <c r="E76" s="2"/>
      <c r="F76" s="5"/>
      <c r="G76" s="2"/>
      <c r="H76" s="2"/>
      <c r="I76" s="2"/>
      <c r="J76" s="5"/>
      <c r="K76" s="2"/>
      <c r="L76" s="2"/>
      <c r="M76" s="2"/>
      <c r="N76" s="5"/>
      <c r="O76" s="36"/>
      <c r="P76" s="2"/>
      <c r="Q76" s="2"/>
      <c r="R76" s="5"/>
      <c r="S76" s="2"/>
      <c r="T76" s="2"/>
      <c r="U76" s="2"/>
      <c r="V76" s="5"/>
      <c r="W76" s="2"/>
      <c r="X76" s="2"/>
      <c r="Y76" s="2"/>
      <c r="Z76" s="5"/>
    </row>
    <row r="77" spans="1:26" s="63" customFormat="1" ht="15" customHeight="1" collapsed="1" x14ac:dyDescent="0.3">
      <c r="A77" s="13"/>
      <c r="B77" s="28" t="s">
        <v>291</v>
      </c>
      <c r="C77" s="13"/>
      <c r="D77" s="8">
        <f>SUM(OSRRefD25x_0)</f>
        <v>121.72</v>
      </c>
      <c r="E77" s="8"/>
      <c r="F77" s="14">
        <f>IF(D$12=0,0,D77/D$12)</f>
        <v>1.4258370291235296E-2</v>
      </c>
      <c r="G77" s="8"/>
      <c r="H77" s="8">
        <f>SUM(OSRRefH25x_0)</f>
        <v>0</v>
      </c>
      <c r="I77" s="8"/>
      <c r="J77" s="14">
        <f>IF(H$12=0,0,H77/H$12)</f>
        <v>0</v>
      </c>
      <c r="K77" s="8"/>
      <c r="L77" s="8">
        <f>+D77-H77</f>
        <v>121.72</v>
      </c>
      <c r="M77" s="8"/>
      <c r="N77" s="14">
        <f>IF(H77=0,0,L77/H77)</f>
        <v>0</v>
      </c>
      <c r="O77" s="13"/>
      <c r="P77" s="8">
        <f>SUM(OSRRefP25x_0)</f>
        <v>18516.169999999998</v>
      </c>
      <c r="Q77" s="8"/>
      <c r="R77" s="14">
        <f>IF(P$12=0,0,P77/P$12)</f>
        <v>7.9809790997334776E-2</v>
      </c>
      <c r="S77" s="8"/>
      <c r="T77" s="8">
        <f>SUM(OSRRefT25x_0)</f>
        <v>33910</v>
      </c>
      <c r="U77" s="8"/>
      <c r="V77" s="14">
        <f>IF(T$12=0,0,T77/T$12)</f>
        <v>8.3536570344640695E-2</v>
      </c>
      <c r="W77" s="8"/>
      <c r="X77" s="8">
        <f>+P77-T77</f>
        <v>-15393.830000000002</v>
      </c>
      <c r="Y77" s="8"/>
      <c r="Z77" s="14">
        <f>IF(T77=0,0,X77/T77)</f>
        <v>-0.45396136832792694</v>
      </c>
    </row>
    <row r="78" spans="1:26" s="70" customFormat="1" ht="15" hidden="1" customHeight="1" outlineLevel="1" x14ac:dyDescent="0.3">
      <c r="A78" s="48"/>
      <c r="B78" s="9" t="str">
        <f>CONCATENATE("          ","9150"," - ","MISC. INCOME")</f>
        <v xml:space="preserve">          9150 - MISC. INCOME</v>
      </c>
      <c r="C78" s="9"/>
      <c r="D78" s="3">
        <f>--121.72</f>
        <v>121.72</v>
      </c>
      <c r="E78" s="3"/>
      <c r="F78" s="26">
        <f>IF(D$12=0,0,D78/D$12)</f>
        <v>1.4258370291235296E-2</v>
      </c>
      <c r="G78" s="3"/>
      <c r="H78" s="3"/>
      <c r="I78" s="3"/>
      <c r="J78" s="26">
        <f>IF(H$12=0,0,H78/H$12)</f>
        <v>0</v>
      </c>
      <c r="K78" s="3"/>
      <c r="L78" s="3">
        <f>+D78-H78</f>
        <v>121.72</v>
      </c>
      <c r="M78" s="3"/>
      <c r="N78" s="26">
        <f>IF(H78=0,0,L78/H78)</f>
        <v>0</v>
      </c>
      <c r="O78" s="9"/>
      <c r="P78" s="3">
        <f>--18516.17</f>
        <v>18516.169999999998</v>
      </c>
      <c r="Q78" s="3"/>
      <c r="R78" s="26">
        <f>IF(P$12=0,0,P78/P$12)</f>
        <v>7.9809790997334776E-2</v>
      </c>
      <c r="S78" s="3"/>
      <c r="T78" s="3">
        <v>33910</v>
      </c>
      <c r="U78" s="3"/>
      <c r="V78" s="26">
        <f>IF(T$12=0,0,T78/T$12)</f>
        <v>8.3536570344640695E-2</v>
      </c>
      <c r="W78" s="3"/>
      <c r="X78" s="3">
        <f>+P78-T78</f>
        <v>-15393.830000000002</v>
      </c>
      <c r="Y78" s="3"/>
      <c r="Z78" s="26">
        <f>IF(T78=0,0,X78/T78)</f>
        <v>-0.45396136832792694</v>
      </c>
    </row>
    <row r="79" spans="1:26" ht="15" customHeight="1" x14ac:dyDescent="0.3">
      <c r="A79" s="12"/>
      <c r="B79" s="13"/>
      <c r="C79" s="13"/>
      <c r="D79" s="4"/>
      <c r="E79" s="4"/>
      <c r="F79" s="10"/>
      <c r="G79" s="4"/>
      <c r="H79" s="4"/>
      <c r="I79" s="4"/>
      <c r="J79" s="10"/>
      <c r="K79" s="4"/>
      <c r="L79" s="4"/>
      <c r="M79" s="4"/>
      <c r="N79" s="10"/>
      <c r="O79" s="13"/>
      <c r="P79" s="4"/>
      <c r="Q79" s="4"/>
      <c r="R79" s="10"/>
      <c r="S79" s="4"/>
      <c r="T79" s="4"/>
      <c r="U79" s="4"/>
      <c r="V79" s="10"/>
      <c r="W79" s="4"/>
      <c r="X79" s="4"/>
      <c r="Y79" s="4"/>
      <c r="Z79" s="10"/>
    </row>
    <row r="80" spans="1:26" s="63" customFormat="1" ht="15" customHeight="1" x14ac:dyDescent="0.3">
      <c r="A80" s="13"/>
      <c r="B80" s="27" t="s">
        <v>292</v>
      </c>
      <c r="C80" s="27"/>
      <c r="D80" s="23">
        <f>+D23-D25+D77</f>
        <v>-21666.959999999999</v>
      </c>
      <c r="E80" s="15"/>
      <c r="F80" s="22">
        <f>IF(D$12=0,0,D80/D$12)</f>
        <v>-2.5380836244280602</v>
      </c>
      <c r="G80" s="15"/>
      <c r="H80" s="23">
        <f>+H23-H25+H77</f>
        <v>-18689.503919615392</v>
      </c>
      <c r="I80" s="15"/>
      <c r="J80" s="22">
        <f>IF(H$12=0,0,H80/H$12)</f>
        <v>-3.3374114142170344</v>
      </c>
      <c r="K80" s="17"/>
      <c r="L80" s="23">
        <f>+D80-H80</f>
        <v>-2977.456080384607</v>
      </c>
      <c r="M80" s="17"/>
      <c r="N80" s="22">
        <f>IF(H80=0,0,L80/H80)</f>
        <v>0.1593116699721305</v>
      </c>
      <c r="O80" s="28"/>
      <c r="P80" s="23">
        <f>+P23-P25+P77</f>
        <v>-54041.440000000104</v>
      </c>
      <c r="Q80" s="15"/>
      <c r="R80" s="22">
        <f>IF(P$12=0,0,P80/P$12)</f>
        <v>-0.23293348633086736</v>
      </c>
      <c r="S80" s="15"/>
      <c r="T80" s="23">
        <f>+T23-T25+T77</f>
        <v>81261.214910307142</v>
      </c>
      <c r="U80" s="15"/>
      <c r="V80" s="22">
        <f>IF(T$12=0,0,T80/T$12)</f>
        <v>0.20018529034638274</v>
      </c>
      <c r="W80" s="17"/>
      <c r="X80" s="23">
        <f>+P80-T80</f>
        <v>-135302.65491030726</v>
      </c>
      <c r="Y80" s="17"/>
      <c r="Z80" s="22">
        <f>IF(T80=0,0,X80/T80)</f>
        <v>-1.6650336210164822</v>
      </c>
    </row>
    <row r="81" spans="1:26" ht="15" customHeight="1" x14ac:dyDescent="0.3">
      <c r="A81" s="12"/>
      <c r="B81" s="13"/>
      <c r="C81" s="12"/>
      <c r="D81" s="4"/>
      <c r="E81" s="4"/>
      <c r="F81" s="10"/>
      <c r="G81" s="4"/>
      <c r="H81" s="4"/>
      <c r="I81" s="4"/>
      <c r="J81" s="10"/>
      <c r="K81" s="4"/>
      <c r="L81" s="4"/>
      <c r="M81" s="4"/>
      <c r="N81" s="10"/>
      <c r="P81" s="4"/>
      <c r="Q81" s="4"/>
      <c r="R81" s="10"/>
      <c r="S81" s="4"/>
      <c r="T81" s="4"/>
      <c r="U81" s="4"/>
      <c r="V81" s="10"/>
      <c r="W81" s="4"/>
      <c r="X81" s="4"/>
      <c r="Y81" s="4"/>
      <c r="Z81" s="10"/>
    </row>
    <row r="82" spans="1:26" s="63" customFormat="1" ht="15" customHeight="1" x14ac:dyDescent="0.3">
      <c r="A82" s="49"/>
      <c r="B82" s="13" t="s">
        <v>293</v>
      </c>
      <c r="C82" s="13"/>
      <c r="D82" s="8">
        <v>-51870.78</v>
      </c>
      <c r="E82" s="8"/>
      <c r="F82" s="14">
        <f>IF(D$12=0,0,D82/D$12)</f>
        <v>-6.0761813057443472</v>
      </c>
      <c r="G82" s="8"/>
      <c r="H82" s="8">
        <v>-3596</v>
      </c>
      <c r="I82" s="8"/>
      <c r="J82" s="14">
        <f>IF(H$12=0,0,H82/H$12)</f>
        <v>-0.64214285714285713</v>
      </c>
      <c r="K82" s="8"/>
      <c r="L82" s="8">
        <f>+D82-H82</f>
        <v>-48274.78</v>
      </c>
      <c r="M82" s="8"/>
      <c r="N82" s="14">
        <f>IF(H82=0,0,L82/H82)</f>
        <v>13.424577308120133</v>
      </c>
      <c r="O82" s="13"/>
      <c r="P82" s="8">
        <v>-26747.42</v>
      </c>
      <c r="Q82" s="8"/>
      <c r="R82" s="14">
        <f>IF(P$12=0,0,P82/P$12)</f>
        <v>-0.11528874491419837</v>
      </c>
      <c r="S82" s="8"/>
      <c r="T82" s="8">
        <v>46031</v>
      </c>
      <c r="U82" s="8"/>
      <c r="V82" s="14">
        <f>IF(T$12=0,0,T82/T$12)</f>
        <v>0.11339639839381174</v>
      </c>
      <c r="W82" s="8"/>
      <c r="X82" s="8">
        <f>+P82-T82</f>
        <v>-72778.42</v>
      </c>
      <c r="Y82" s="8"/>
      <c r="Z82" s="14">
        <f>IF(T82=0,0,X82/T82)</f>
        <v>-1.58107405878647</v>
      </c>
    </row>
    <row r="83" spans="1:26" ht="15" customHeight="1" x14ac:dyDescent="0.3">
      <c r="A83" s="12"/>
      <c r="B83" s="13"/>
      <c r="C83" s="13"/>
      <c r="D83" s="4"/>
      <c r="E83" s="4"/>
      <c r="F83" s="10"/>
      <c r="G83" s="4"/>
      <c r="H83" s="4"/>
      <c r="I83" s="4"/>
      <c r="J83" s="10"/>
      <c r="K83" s="4"/>
      <c r="L83" s="4"/>
      <c r="M83" s="4"/>
      <c r="N83" s="10"/>
      <c r="O83" s="13"/>
      <c r="P83" s="4"/>
      <c r="Q83" s="4"/>
      <c r="R83" s="10"/>
      <c r="S83" s="4"/>
      <c r="T83" s="4"/>
      <c r="U83" s="4"/>
      <c r="V83" s="10"/>
      <c r="W83" s="4"/>
      <c r="X83" s="4"/>
      <c r="Y83" s="4"/>
      <c r="Z83" s="10"/>
    </row>
    <row r="84" spans="1:26" s="63" customFormat="1" ht="15" customHeight="1" x14ac:dyDescent="0.3">
      <c r="A84" s="13"/>
      <c r="B84" s="27" t="s">
        <v>294</v>
      </c>
      <c r="C84" s="27"/>
      <c r="D84" s="30">
        <f>+D80-D82</f>
        <v>30203.82</v>
      </c>
      <c r="E84" s="15"/>
      <c r="F84" s="35">
        <f>IF(D$12=0,0,D84/D$12)</f>
        <v>3.538097681316287</v>
      </c>
      <c r="G84" s="15"/>
      <c r="H84" s="30">
        <f>+H80-H82</f>
        <v>-15093.503919615392</v>
      </c>
      <c r="I84" s="15"/>
      <c r="J84" s="35">
        <f>IF(H$12=0,0,H84/H$12)</f>
        <v>-2.695268557074177</v>
      </c>
      <c r="K84" s="17"/>
      <c r="L84" s="30">
        <f>D84-H84</f>
        <v>45297.323919615388</v>
      </c>
      <c r="M84" s="17"/>
      <c r="N84" s="35">
        <f>IF(H84=0,0,L84/H84)</f>
        <v>-3.001113867320587</v>
      </c>
      <c r="O84" s="28"/>
      <c r="P84" s="30">
        <f>+P80-P82</f>
        <v>-27294.020000000106</v>
      </c>
      <c r="Q84" s="15"/>
      <c r="R84" s="35">
        <f>IF(P$12=0,0,P84/P$12)</f>
        <v>-0.117644741416669</v>
      </c>
      <c r="S84" s="15"/>
      <c r="T84" s="30">
        <f>+T80-T82</f>
        <v>35230.214910307142</v>
      </c>
      <c r="U84" s="15"/>
      <c r="V84" s="35">
        <f>IF(T$12=0,0,T84/T$12)</f>
        <v>8.6788891952570987E-2</v>
      </c>
      <c r="W84" s="17"/>
      <c r="X84" s="30">
        <f>P84-T84</f>
        <v>-62524.234910307248</v>
      </c>
      <c r="Y84" s="17"/>
      <c r="Z84" s="35">
        <f>IF(T84=0,0,X84/T84)</f>
        <v>-1.7747332813463712</v>
      </c>
    </row>
    <row r="85" spans="1:26" ht="15" customHeight="1" x14ac:dyDescent="0.3">
      <c r="A85" s="12"/>
      <c r="B85" s="12"/>
      <c r="C85" s="12"/>
      <c r="D85" s="4"/>
      <c r="E85" s="4"/>
      <c r="F85" s="10"/>
      <c r="G85" s="4"/>
      <c r="H85" s="4"/>
      <c r="I85" s="4"/>
      <c r="J85" s="10"/>
      <c r="K85" s="4"/>
      <c r="L85" s="4"/>
      <c r="M85" s="4"/>
      <c r="N85" s="10"/>
      <c r="P85" s="4"/>
      <c r="Q85" s="4"/>
      <c r="R85" s="10"/>
      <c r="S85" s="4"/>
      <c r="T85" s="4"/>
      <c r="U85" s="4"/>
      <c r="V85" s="10"/>
      <c r="W85" s="4"/>
      <c r="X85" s="4"/>
      <c r="Y85" s="4"/>
      <c r="Z85" s="10"/>
    </row>
    <row r="86" spans="1:26" ht="15" customHeight="1" x14ac:dyDescent="0.3">
      <c r="A86" s="12"/>
      <c r="B86" s="12"/>
      <c r="C86" s="12"/>
      <c r="D86" s="4"/>
      <c r="E86" s="4"/>
      <c r="F86" s="10"/>
      <c r="G86" s="4"/>
      <c r="H86" s="4"/>
      <c r="I86" s="4"/>
      <c r="J86" s="10"/>
      <c r="K86" s="4"/>
      <c r="L86" s="4"/>
      <c r="M86" s="4"/>
      <c r="N86" s="10"/>
      <c r="P86" s="4"/>
      <c r="Q86" s="4"/>
      <c r="R86" s="10"/>
      <c r="S86" s="4"/>
      <c r="T86" s="4"/>
      <c r="U86" s="4"/>
      <c r="V86" s="10"/>
      <c r="W86" s="4"/>
      <c r="X86" s="4"/>
      <c r="Y86" s="4"/>
      <c r="Z86" s="10"/>
    </row>
    <row r="87" spans="1:26" s="63" customFormat="1" ht="15" customHeight="1" x14ac:dyDescent="0.3">
      <c r="A87" s="13"/>
      <c r="B87" s="27" t="s">
        <v>297</v>
      </c>
      <c r="C87" s="27"/>
      <c r="D87" s="33">
        <f>SUM(D84:D86)</f>
        <v>30203.82</v>
      </c>
      <c r="E87" s="15"/>
      <c r="F87" s="31">
        <f>IF(D$12=0,0,D87/D$12)</f>
        <v>3.538097681316287</v>
      </c>
      <c r="G87" s="15"/>
      <c r="H87" s="33">
        <f>SUM(H84:H86)</f>
        <v>-15093.503919615392</v>
      </c>
      <c r="I87" s="15"/>
      <c r="J87" s="31">
        <f>IF(H$12=0,0,H87/H$12)</f>
        <v>-2.695268557074177</v>
      </c>
      <c r="K87" s="17"/>
      <c r="L87" s="33">
        <f>+D87-H87</f>
        <v>45297.323919615388</v>
      </c>
      <c r="M87" s="17"/>
      <c r="N87" s="31">
        <f>IF(H87=0,0,L87/H87)</f>
        <v>-3.001113867320587</v>
      </c>
      <c r="O87" s="28"/>
      <c r="P87" s="33">
        <f>SUM(P84:P86)</f>
        <v>-27294.020000000106</v>
      </c>
      <c r="Q87" s="15"/>
      <c r="R87" s="31">
        <f>IF(P$12=0,0,P87/P$12)</f>
        <v>-0.117644741416669</v>
      </c>
      <c r="S87" s="15"/>
      <c r="T87" s="33">
        <f>SUM(T84:T86)</f>
        <v>35230.214910307142</v>
      </c>
      <c r="U87" s="15"/>
      <c r="V87" s="31">
        <f>IF(T$12=0,0,T87/T$12)</f>
        <v>8.6788891952570987E-2</v>
      </c>
      <c r="W87" s="17"/>
      <c r="X87" s="33">
        <f>+P87-T87</f>
        <v>-62524.234910307248</v>
      </c>
      <c r="Y87" s="17"/>
      <c r="Z87" s="31">
        <f>IF(T87=0,0,X87/T87)</f>
        <v>-1.7747332813463712</v>
      </c>
    </row>
    <row r="88" spans="1:26" ht="15" customHeight="1" x14ac:dyDescent="0.3">
      <c r="A88" s="12"/>
      <c r="C88" s="12"/>
      <c r="D88" s="19"/>
      <c r="E88" s="19"/>
      <c r="G88" s="19"/>
      <c r="H88" s="19"/>
      <c r="I88" s="19"/>
      <c r="J88" s="41"/>
      <c r="K88" s="19"/>
      <c r="L88" s="19"/>
      <c r="M88" s="19"/>
      <c r="P88" s="19"/>
      <c r="Q88" s="19"/>
      <c r="R88" s="41"/>
      <c r="S88" s="19"/>
      <c r="T88" s="19"/>
      <c r="U88" s="19"/>
      <c r="V88" s="41"/>
      <c r="W88" s="19"/>
      <c r="X88" s="19"/>
    </row>
    <row r="89" spans="1:26" ht="15" customHeight="1" x14ac:dyDescent="0.3">
      <c r="A89" s="12"/>
      <c r="B89" s="50">
        <v>44767.799526932868</v>
      </c>
      <c r="D89" s="19"/>
      <c r="E89" s="19"/>
      <c r="G89" s="19"/>
      <c r="H89" s="19"/>
      <c r="I89" s="19"/>
      <c r="J89" s="41"/>
      <c r="K89" s="19"/>
      <c r="L89" s="19"/>
      <c r="M89" s="19"/>
      <c r="P89" s="19"/>
      <c r="Q89" s="19"/>
      <c r="R89" s="41"/>
      <c r="S89" s="19"/>
      <c r="T89" s="19"/>
      <c r="U89" s="19"/>
      <c r="V89" s="41"/>
      <c r="W89" s="19"/>
      <c r="X89" s="19"/>
    </row>
    <row r="90" spans="1:26" ht="15" customHeight="1" x14ac:dyDescent="0.3">
      <c r="A90" s="12"/>
      <c r="B90" s="57" t="s">
        <v>298</v>
      </c>
      <c r="D90" s="19"/>
      <c r="E90" s="19"/>
      <c r="G90" s="19"/>
      <c r="H90" s="19"/>
      <c r="I90" s="19"/>
      <c r="J90" s="41"/>
      <c r="K90" s="19"/>
      <c r="L90" s="19"/>
      <c r="M90" s="19"/>
      <c r="P90" s="19"/>
      <c r="Q90" s="19"/>
      <c r="R90" s="41"/>
      <c r="S90" s="19"/>
      <c r="T90" s="19"/>
      <c r="U90" s="19"/>
      <c r="V90" s="41"/>
      <c r="W90" s="19"/>
      <c r="X90" s="19"/>
    </row>
    <row r="91" spans="1:26" ht="15" customHeight="1" x14ac:dyDescent="0.3">
      <c r="A91" s="12"/>
      <c r="B91" s="51"/>
      <c r="D91" s="19"/>
      <c r="E91" s="19"/>
      <c r="G91" s="19"/>
      <c r="H91" s="19"/>
      <c r="I91" s="19"/>
      <c r="J91" s="41"/>
      <c r="K91" s="19"/>
      <c r="L91" s="19"/>
      <c r="M91" s="19"/>
      <c r="P91" s="19"/>
      <c r="Q91" s="19"/>
      <c r="R91" s="41"/>
      <c r="S91" s="19"/>
      <c r="T91" s="19"/>
      <c r="U91" s="19"/>
      <c r="V91" s="41"/>
      <c r="W91" s="19"/>
      <c r="X91" s="19"/>
    </row>
    <row r="92" spans="1:26" ht="15" customHeight="1" x14ac:dyDescent="0.3">
      <c r="D92" s="19"/>
      <c r="E92" s="19"/>
      <c r="G92" s="19"/>
      <c r="H92" s="19"/>
      <c r="I92" s="19"/>
      <c r="J92" s="41"/>
      <c r="K92" s="19"/>
      <c r="L92" s="19"/>
      <c r="M92" s="19"/>
      <c r="P92" s="19"/>
      <c r="Q92" s="19"/>
      <c r="R92" s="41"/>
      <c r="S92" s="19"/>
      <c r="T92" s="19"/>
      <c r="U92" s="19"/>
      <c r="V92" s="41"/>
      <c r="W92" s="19"/>
      <c r="X92" s="19"/>
    </row>
  </sheetData>
  <pageMargins left="0.25" right="0.25" top="0.75" bottom="0.75" header="0.3" footer="0.3"/>
  <pageSetup scale="55" orientation="landscape" r:id="rId1"/>
  <headerFooter>
    <oddHeader>&amp;RPre-Audit</oddHeader>
    <oddFooter>&amp;L&amp;C&amp;R</oddFooter>
    <evenHeader>&amp;L&amp;C&amp;R</evenHeader>
    <evenFooter>&amp;L&amp;C&amp;R</even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8E2F01-5DDC-3D9A-2E5A-38B45C91A1D7}">
  <sheetPr>
    <tabColor rgb="FF92D050"/>
    <outlinePr summaryBelow="0" summaryRight="0"/>
  </sheetPr>
  <dimension ref="A2:Z92"/>
  <sheetViews>
    <sheetView showGridLines="0" defaultGridColor="0" colorId="8" zoomScale="80" workbookViewId="0">
      <pane xSplit="3" ySplit="10" topLeftCell="D11" activePane="bottomRight" state="frozen"/>
      <selection activeCell="D78" sqref="D78"/>
      <selection pane="topRight" activeCell="D78" sqref="D78"/>
      <selection pane="bottomLeft" activeCell="D78" sqref="D78"/>
      <selection pane="bottomRight" activeCell="D78" sqref="D78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3" t="s">
        <v>276</v>
      </c>
    </row>
    <row r="3" spans="1:26" ht="15" customHeight="1" x14ac:dyDescent="0.3">
      <c r="D3" s="53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3" t="str">
        <f>CONCATENATE("Period ",RIGHT(202212,2),", ",2022)</f>
        <v>Period 12,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5"/>
      <c r="D5" s="60">
        <v>44742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5"/>
      <c r="B6" s="47"/>
      <c r="C6" s="47"/>
      <c r="D6" s="25" t="str">
        <f>CONCATENATE("Department ","316"," - ","Campus Copy Center")</f>
        <v>Department 316 - Campus Copy Center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4"/>
    </row>
    <row r="8" spans="1:26" ht="15" customHeight="1" x14ac:dyDescent="0.3">
      <c r="B8" s="54"/>
    </row>
    <row r="9" spans="1:26" ht="15" customHeight="1" x14ac:dyDescent="0.3">
      <c r="B9" s="12"/>
      <c r="C9" s="12"/>
      <c r="D9" s="16" t="s">
        <v>279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280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ht="15" customHeight="1" x14ac:dyDescent="0.3">
      <c r="A10" s="13"/>
      <c r="B10" s="52"/>
      <c r="C10" s="13"/>
      <c r="D10" s="40" t="s">
        <v>281</v>
      </c>
      <c r="E10" s="32"/>
      <c r="F10" s="39" t="s">
        <v>282</v>
      </c>
      <c r="G10" s="32"/>
      <c r="H10" s="45" t="s">
        <v>283</v>
      </c>
      <c r="I10" s="32"/>
      <c r="J10" s="42" t="s">
        <v>284</v>
      </c>
      <c r="K10" s="13"/>
      <c r="L10" s="40" t="s">
        <v>285</v>
      </c>
      <c r="M10" s="13"/>
      <c r="N10" s="39" t="s">
        <v>286</v>
      </c>
      <c r="O10" s="13"/>
      <c r="P10" s="55" t="s">
        <v>281</v>
      </c>
      <c r="Q10" s="32"/>
      <c r="R10" s="39" t="s">
        <v>282</v>
      </c>
      <c r="S10" s="32"/>
      <c r="T10" s="45" t="s">
        <v>283</v>
      </c>
      <c r="U10" s="32"/>
      <c r="V10" s="42" t="s">
        <v>284</v>
      </c>
      <c r="W10" s="13"/>
      <c r="X10" s="40" t="s">
        <v>285</v>
      </c>
      <c r="Y10" s="13"/>
      <c r="Z10" s="39" t="s">
        <v>286</v>
      </c>
    </row>
    <row r="11" spans="1:26" ht="16.5" customHeight="1" x14ac:dyDescent="0.3">
      <c r="A11" s="12"/>
      <c r="B11" s="58"/>
      <c r="C11" s="12"/>
      <c r="D11" s="12"/>
      <c r="E11" s="12"/>
      <c r="F11" s="10"/>
      <c r="G11" s="12"/>
      <c r="H11" s="12"/>
      <c r="I11" s="12"/>
      <c r="J11" s="43"/>
      <c r="K11" s="12"/>
      <c r="L11" s="12"/>
      <c r="M11" s="12"/>
      <c r="N11" s="10"/>
      <c r="P11" s="12"/>
      <c r="Q11" s="12"/>
      <c r="R11" s="10"/>
      <c r="S11" s="12"/>
      <c r="T11" s="12"/>
      <c r="U11" s="12"/>
      <c r="V11" s="43"/>
      <c r="W11" s="12"/>
      <c r="X11" s="12"/>
      <c r="Y11" s="12"/>
      <c r="Z11" s="10"/>
    </row>
    <row r="12" spans="1:26" s="63" customFormat="1" ht="15" customHeight="1" collapsed="1" x14ac:dyDescent="0.3">
      <c r="A12" s="13"/>
      <c r="B12" s="28" t="s">
        <v>287</v>
      </c>
      <c r="C12" s="13"/>
      <c r="D12" s="8">
        <f>SUM(OSRRefD13x_0)</f>
        <v>8536.74</v>
      </c>
      <c r="E12" s="8"/>
      <c r="F12" s="14"/>
      <c r="G12" s="8"/>
      <c r="H12" s="8">
        <f>SUM(OSRRefH13x_0)</f>
        <v>5600</v>
      </c>
      <c r="I12" s="8"/>
      <c r="J12" s="14"/>
      <c r="K12" s="8"/>
      <c r="L12" s="8">
        <f t="shared" ref="L12:L17" si="0">+D12-H12</f>
        <v>2936.74</v>
      </c>
      <c r="M12" s="8"/>
      <c r="N12" s="14">
        <f t="shared" ref="N12:N17" si="1">IF(H12=0,0,L12/H12)</f>
        <v>0.52441785714285716</v>
      </c>
      <c r="O12" s="13"/>
      <c r="P12" s="8">
        <f>SUM(OSRRefP13x_0)</f>
        <v>232003.74</v>
      </c>
      <c r="Q12" s="8"/>
      <c r="R12" s="14"/>
      <c r="S12" s="8"/>
      <c r="T12" s="8">
        <f>SUM(OSRRefT13x_0)</f>
        <v>405930</v>
      </c>
      <c r="U12" s="8"/>
      <c r="V12" s="14"/>
      <c r="W12" s="8"/>
      <c r="X12" s="8">
        <f t="shared" ref="X12:X17" si="2">+P12-T12</f>
        <v>-173926.26</v>
      </c>
      <c r="Y12" s="8"/>
      <c r="Z12" s="14">
        <f t="shared" ref="Z12:Z17" si="3">IF(T12=0,0,X12/T12)</f>
        <v>-0.4284636760032518</v>
      </c>
    </row>
    <row r="13" spans="1:26" s="70" customFormat="1" ht="15" hidden="1" customHeight="1" outlineLevel="1" x14ac:dyDescent="0.3">
      <c r="A13" s="48"/>
      <c r="B13" s="9" t="str">
        <f>CONCATENATE("          ","4000"," - ","TAXABLE SALES")</f>
        <v xml:space="preserve">          4000 - TAXABLE SALES</v>
      </c>
      <c r="C13" s="9"/>
      <c r="D13" s="3">
        <f>--7642.39</f>
        <v>7642.39</v>
      </c>
      <c r="E13" s="3"/>
      <c r="F13" s="26"/>
      <c r="G13" s="3"/>
      <c r="H13" s="3">
        <v>3100</v>
      </c>
      <c r="I13" s="3"/>
      <c r="J13" s="26"/>
      <c r="K13" s="3"/>
      <c r="L13" s="3">
        <f t="shared" si="0"/>
        <v>4542.3900000000003</v>
      </c>
      <c r="M13" s="3"/>
      <c r="N13" s="26">
        <f t="shared" si="1"/>
        <v>1.4652870967741936</v>
      </c>
      <c r="O13" s="9"/>
      <c r="P13" s="3">
        <f>--180921.31</f>
        <v>180921.31</v>
      </c>
      <c r="Q13" s="3"/>
      <c r="R13" s="26"/>
      <c r="S13" s="3"/>
      <c r="T13" s="3">
        <v>199430</v>
      </c>
      <c r="U13" s="3"/>
      <c r="V13" s="26"/>
      <c r="W13" s="3"/>
      <c r="X13" s="3">
        <f t="shared" si="2"/>
        <v>-18508.690000000002</v>
      </c>
      <c r="Y13" s="3"/>
      <c r="Z13" s="26">
        <f t="shared" si="3"/>
        <v>-9.2807952665095533E-2</v>
      </c>
    </row>
    <row r="14" spans="1:26" s="70" customFormat="1" ht="15" hidden="1" customHeight="1" outlineLevel="1" x14ac:dyDescent="0.3">
      <c r="A14" s="48"/>
      <c r="B14" s="9" t="str">
        <f>CONCATENATE("          ","4100"," - ","NON-TAXABLE SALES")</f>
        <v xml:space="preserve">          4100 - NON-TAXABLE SALES</v>
      </c>
      <c r="C14" s="9"/>
      <c r="D14" s="3">
        <f>--894.35</f>
        <v>894.35</v>
      </c>
      <c r="E14" s="3"/>
      <c r="F14" s="26"/>
      <c r="G14" s="3"/>
      <c r="H14" s="3">
        <v>2500</v>
      </c>
      <c r="I14" s="3"/>
      <c r="J14" s="26"/>
      <c r="K14" s="3"/>
      <c r="L14" s="3">
        <f t="shared" si="0"/>
        <v>-1605.65</v>
      </c>
      <c r="M14" s="3"/>
      <c r="N14" s="26">
        <f t="shared" si="1"/>
        <v>-0.64226000000000005</v>
      </c>
      <c r="O14" s="9"/>
      <c r="P14" s="3">
        <f>--52182.38</f>
        <v>52182.38</v>
      </c>
      <c r="Q14" s="3"/>
      <c r="R14" s="26"/>
      <c r="S14" s="3"/>
      <c r="T14" s="3">
        <v>206500</v>
      </c>
      <c r="U14" s="3"/>
      <c r="V14" s="26"/>
      <c r="W14" s="3"/>
      <c r="X14" s="3">
        <f t="shared" si="2"/>
        <v>-154317.62</v>
      </c>
      <c r="Y14" s="3"/>
      <c r="Z14" s="26">
        <f t="shared" si="3"/>
        <v>-0.74730082324455205</v>
      </c>
    </row>
    <row r="15" spans="1:26" s="70" customFormat="1" ht="15" hidden="1" customHeight="1" outlineLevel="1" x14ac:dyDescent="0.3">
      <c r="A15" s="48"/>
      <c r="B15" s="9" t="str">
        <f>CONCATENATE("          ","4141"," - ","NON-TAXABLE SALES-LOGO GIFTS")</f>
        <v xml:space="preserve">          4141 - NON-TAXABLE SALES-LOGO GIFTS</v>
      </c>
      <c r="C15" s="9"/>
      <c r="D15" s="3">
        <f>0</f>
        <v>0</v>
      </c>
      <c r="E15" s="3"/>
      <c r="F15" s="26"/>
      <c r="G15" s="3"/>
      <c r="H15" s="3"/>
      <c r="I15" s="3"/>
      <c r="J15" s="26"/>
      <c r="K15" s="3"/>
      <c r="L15" s="3">
        <f t="shared" si="0"/>
        <v>0</v>
      </c>
      <c r="M15" s="3"/>
      <c r="N15" s="26">
        <f t="shared" si="1"/>
        <v>0</v>
      </c>
      <c r="O15" s="9"/>
      <c r="P15" s="3">
        <f>0</f>
        <v>0</v>
      </c>
      <c r="Q15" s="3"/>
      <c r="R15" s="26"/>
      <c r="S15" s="3"/>
      <c r="T15" s="3"/>
      <c r="U15" s="3"/>
      <c r="V15" s="26"/>
      <c r="W15" s="3"/>
      <c r="X15" s="3">
        <f t="shared" si="2"/>
        <v>0</v>
      </c>
      <c r="Y15" s="3"/>
      <c r="Z15" s="26">
        <f t="shared" si="3"/>
        <v>0</v>
      </c>
    </row>
    <row r="16" spans="1:26" s="70" customFormat="1" ht="15" hidden="1" customHeight="1" outlineLevel="1" x14ac:dyDescent="0.3">
      <c r="A16" s="48"/>
      <c r="B16" s="9" t="str">
        <f>CONCATENATE("          ","4146"," - ","NON-TAXABLE SALES-COIN OP MACH")</f>
        <v xml:space="preserve">          4146 - NON-TAXABLE SALES-COIN OP MACH</v>
      </c>
      <c r="C16" s="9"/>
      <c r="D16" s="3">
        <f>0</f>
        <v>0</v>
      </c>
      <c r="E16" s="3"/>
      <c r="F16" s="26"/>
      <c r="G16" s="3"/>
      <c r="H16" s="3"/>
      <c r="I16" s="3"/>
      <c r="J16" s="26"/>
      <c r="K16" s="3"/>
      <c r="L16" s="3">
        <f t="shared" si="0"/>
        <v>0</v>
      </c>
      <c r="M16" s="3"/>
      <c r="N16" s="26">
        <f t="shared" si="1"/>
        <v>0</v>
      </c>
      <c r="O16" s="9"/>
      <c r="P16" s="3">
        <f>0</f>
        <v>0</v>
      </c>
      <c r="Q16" s="3"/>
      <c r="R16" s="26"/>
      <c r="S16" s="3"/>
      <c r="T16" s="3"/>
      <c r="U16" s="3"/>
      <c r="V16" s="26"/>
      <c r="W16" s="3"/>
      <c r="X16" s="3">
        <f t="shared" si="2"/>
        <v>0</v>
      </c>
      <c r="Y16" s="3"/>
      <c r="Z16" s="26">
        <f t="shared" si="3"/>
        <v>0</v>
      </c>
    </row>
    <row r="17" spans="1:26" s="70" customFormat="1" ht="15" hidden="1" customHeight="1" outlineLevel="1" x14ac:dyDescent="0.3">
      <c r="A17" s="48"/>
      <c r="B17" s="9" t="str">
        <f>CONCATENATE("          ","4200"," - ","TAXABLE RETURNS")</f>
        <v xml:space="preserve">          4200 - TAXABLE RETURNS</v>
      </c>
      <c r="C17" s="9"/>
      <c r="D17" s="3">
        <f>0</f>
        <v>0</v>
      </c>
      <c r="E17" s="3"/>
      <c r="F17" s="26"/>
      <c r="G17" s="3"/>
      <c r="H17" s="3"/>
      <c r="I17" s="3"/>
      <c r="J17" s="26"/>
      <c r="K17" s="3"/>
      <c r="L17" s="3">
        <f t="shared" si="0"/>
        <v>0</v>
      </c>
      <c r="M17" s="3"/>
      <c r="N17" s="26">
        <f t="shared" si="1"/>
        <v>0</v>
      </c>
      <c r="O17" s="9"/>
      <c r="P17" s="3">
        <f>-1099.95</f>
        <v>-1099.95</v>
      </c>
      <c r="Q17" s="3"/>
      <c r="R17" s="26"/>
      <c r="S17" s="3"/>
      <c r="T17" s="3"/>
      <c r="U17" s="3"/>
      <c r="V17" s="26"/>
      <c r="W17" s="3"/>
      <c r="X17" s="3">
        <f t="shared" si="2"/>
        <v>-1099.95</v>
      </c>
      <c r="Y17" s="3"/>
      <c r="Z17" s="26">
        <f t="shared" si="3"/>
        <v>0</v>
      </c>
    </row>
    <row r="18" spans="1:26" ht="15" customHeight="1" x14ac:dyDescent="0.3">
      <c r="A18" s="12"/>
      <c r="B18" s="13"/>
      <c r="C18" s="12"/>
      <c r="D18" s="4"/>
      <c r="E18" s="4"/>
      <c r="F18" s="10"/>
      <c r="G18" s="4"/>
      <c r="H18" s="4"/>
      <c r="I18" s="4"/>
      <c r="J18" s="10"/>
      <c r="K18" s="4"/>
      <c r="L18" s="4"/>
      <c r="M18" s="4"/>
      <c r="N18" s="10"/>
      <c r="P18" s="4"/>
      <c r="Q18" s="4"/>
      <c r="R18" s="10"/>
      <c r="S18" s="4"/>
      <c r="T18" s="4"/>
      <c r="U18" s="4"/>
      <c r="V18" s="10"/>
      <c r="W18" s="4"/>
      <c r="X18" s="4"/>
      <c r="Y18" s="4"/>
      <c r="Z18" s="10"/>
    </row>
    <row r="19" spans="1:26" s="63" customFormat="1" ht="15" customHeight="1" collapsed="1" x14ac:dyDescent="0.3">
      <c r="A19" s="13"/>
      <c r="B19" s="28" t="s">
        <v>288</v>
      </c>
      <c r="C19" s="13"/>
      <c r="D19" s="8">
        <f>SUM(OSRRefD16x_0)</f>
        <v>0</v>
      </c>
      <c r="E19" s="8"/>
      <c r="F19" s="14">
        <f>IF(D$12=0,0,D19/D$12)</f>
        <v>0</v>
      </c>
      <c r="G19" s="8"/>
      <c r="H19" s="8">
        <f>SUM(OSRRefH16x_0)</f>
        <v>0</v>
      </c>
      <c r="I19" s="8"/>
      <c r="J19" s="14">
        <f>IF(H$12=0,0,H19/H$12)</f>
        <v>0</v>
      </c>
      <c r="K19" s="8"/>
      <c r="L19" s="8">
        <f>+D19-H19</f>
        <v>0</v>
      </c>
      <c r="M19" s="8"/>
      <c r="N19" s="14">
        <f>IF(H19=0,0,L19/H19)</f>
        <v>0</v>
      </c>
      <c r="O19" s="13"/>
      <c r="P19" s="8">
        <f>SUM(OSRRefP16x_0)</f>
        <v>8.26</v>
      </c>
      <c r="Q19" s="8"/>
      <c r="R19" s="14">
        <f>IF(P$12=0,0,P19/P$12)</f>
        <v>3.5602874332974113E-5</v>
      </c>
      <c r="S19" s="8"/>
      <c r="T19" s="8">
        <f>SUM(OSRRefT16x_0)</f>
        <v>0</v>
      </c>
      <c r="U19" s="8"/>
      <c r="V19" s="14">
        <f>IF(T$12=0,0,T19/T$12)</f>
        <v>0</v>
      </c>
      <c r="W19" s="8"/>
      <c r="X19" s="8">
        <f>+P19-T19</f>
        <v>8.26</v>
      </c>
      <c r="Y19" s="8"/>
      <c r="Z19" s="14">
        <f>IF(T19=0,0,X19/T19)</f>
        <v>0</v>
      </c>
    </row>
    <row r="20" spans="1:26" s="70" customFormat="1" ht="15" hidden="1" customHeight="1" outlineLevel="1" x14ac:dyDescent="0.3">
      <c r="A20" s="48"/>
      <c r="B20" s="9" t="str">
        <f>CONCATENATE("          ","5000"," - ","PURCHASES @ COST")</f>
        <v xml:space="preserve">          5000 - PURCHASES @ COST</v>
      </c>
      <c r="C20" s="9"/>
      <c r="D20" s="3"/>
      <c r="E20" s="3"/>
      <c r="F20" s="26">
        <f>IF(D$12=0,0,D20/D$12)</f>
        <v>0</v>
      </c>
      <c r="G20" s="3"/>
      <c r="H20" s="3">
        <v>0</v>
      </c>
      <c r="I20" s="3"/>
      <c r="J20" s="26">
        <f>IF(H$12=0,0,H20/H$12)</f>
        <v>0</v>
      </c>
      <c r="K20" s="3"/>
      <c r="L20" s="3">
        <f>+D20-H20</f>
        <v>0</v>
      </c>
      <c r="M20" s="3"/>
      <c r="N20" s="26">
        <f>IF(H20=0,0,L20/H20)</f>
        <v>0</v>
      </c>
      <c r="O20" s="9"/>
      <c r="P20" s="3"/>
      <c r="Q20" s="3"/>
      <c r="R20" s="26">
        <f>IF(P$12=0,0,P20/P$12)</f>
        <v>0</v>
      </c>
      <c r="S20" s="3"/>
      <c r="T20" s="3">
        <v>0</v>
      </c>
      <c r="U20" s="3"/>
      <c r="V20" s="26">
        <f>IF(T$12=0,0,T20/T$12)</f>
        <v>0</v>
      </c>
      <c r="W20" s="3"/>
      <c r="X20" s="3">
        <f>+P20-T20</f>
        <v>0</v>
      </c>
      <c r="Y20" s="3"/>
      <c r="Z20" s="26">
        <f>IF(T20=0,0,X20/T20)</f>
        <v>0</v>
      </c>
    </row>
    <row r="21" spans="1:26" s="70" customFormat="1" ht="15" hidden="1" customHeight="1" outlineLevel="1" x14ac:dyDescent="0.3">
      <c r="A21" s="48"/>
      <c r="B21" s="9" t="str">
        <f>CONCATENATE("          ","5500"," - ","FREIGHT-IN")</f>
        <v xml:space="preserve">          5500 - FREIGHT-IN</v>
      </c>
      <c r="C21" s="9"/>
      <c r="D21" s="3"/>
      <c r="E21" s="3"/>
      <c r="F21" s="26">
        <f>IF(D$12=0,0,D21/D$12)</f>
        <v>0</v>
      </c>
      <c r="G21" s="3"/>
      <c r="H21" s="3"/>
      <c r="I21" s="3"/>
      <c r="J21" s="26">
        <f>IF(H$12=0,0,H21/H$12)</f>
        <v>0</v>
      </c>
      <c r="K21" s="3"/>
      <c r="L21" s="3">
        <f>+D21-H21</f>
        <v>0</v>
      </c>
      <c r="M21" s="3"/>
      <c r="N21" s="26">
        <f>IF(H21=0,0,L21/H21)</f>
        <v>0</v>
      </c>
      <c r="O21" s="9"/>
      <c r="P21" s="3">
        <v>8.26</v>
      </c>
      <c r="Q21" s="3"/>
      <c r="R21" s="26">
        <f>IF(P$12=0,0,P21/P$12)</f>
        <v>3.5602874332974113E-5</v>
      </c>
      <c r="S21" s="3"/>
      <c r="T21" s="3"/>
      <c r="U21" s="3"/>
      <c r="V21" s="26">
        <f>IF(T$12=0,0,T21/T$12)</f>
        <v>0</v>
      </c>
      <c r="W21" s="3"/>
      <c r="X21" s="3">
        <f>+P21-T21</f>
        <v>8.26</v>
      </c>
      <c r="Y21" s="3"/>
      <c r="Z21" s="26">
        <f>IF(T21=0,0,X21/T21)</f>
        <v>0</v>
      </c>
    </row>
    <row r="22" spans="1:26" ht="15" customHeight="1" x14ac:dyDescent="0.3">
      <c r="A22" s="12"/>
      <c r="B22" s="13"/>
      <c r="C22" s="13"/>
      <c r="D22" s="4"/>
      <c r="E22" s="4"/>
      <c r="F22" s="10"/>
      <c r="G22" s="4"/>
      <c r="H22" s="4"/>
      <c r="I22" s="4"/>
      <c r="J22" s="10"/>
      <c r="K22" s="4"/>
      <c r="L22" s="4"/>
      <c r="M22" s="4"/>
      <c r="N22" s="10"/>
      <c r="O22" s="13"/>
      <c r="P22" s="4"/>
      <c r="Q22" s="4"/>
      <c r="R22" s="10"/>
      <c r="S22" s="4"/>
      <c r="T22" s="4"/>
      <c r="U22" s="4"/>
      <c r="V22" s="10"/>
      <c r="W22" s="4"/>
      <c r="X22" s="4"/>
      <c r="Y22" s="4"/>
      <c r="Z22" s="10"/>
    </row>
    <row r="23" spans="1:26" s="63" customFormat="1" ht="15" customHeight="1" x14ac:dyDescent="0.3">
      <c r="A23" s="13"/>
      <c r="B23" s="27" t="s">
        <v>289</v>
      </c>
      <c r="C23" s="27"/>
      <c r="D23" s="23">
        <f>D12-D19</f>
        <v>8536.74</v>
      </c>
      <c r="E23" s="15"/>
      <c r="F23" s="22">
        <f>IF(D$12=0,0,D23/D$12)</f>
        <v>1</v>
      </c>
      <c r="G23" s="15"/>
      <c r="H23" s="23">
        <f>H12-H19</f>
        <v>5600</v>
      </c>
      <c r="I23" s="15"/>
      <c r="J23" s="22">
        <f>IF(H$12=0,0,H23/H$12)</f>
        <v>1</v>
      </c>
      <c r="K23" s="17"/>
      <c r="L23" s="23">
        <f>+D23-H23</f>
        <v>2936.74</v>
      </c>
      <c r="M23" s="17"/>
      <c r="N23" s="22">
        <f>IF(H23=0,0,L23/H23)</f>
        <v>0.52441785714285716</v>
      </c>
      <c r="O23" s="28"/>
      <c r="P23" s="23">
        <f>P12-P19</f>
        <v>231995.47999999998</v>
      </c>
      <c r="Q23" s="15"/>
      <c r="R23" s="22">
        <f>IF(P$12=0,0,P23/P$12)</f>
        <v>0.99996439712566698</v>
      </c>
      <c r="S23" s="15"/>
      <c r="T23" s="23">
        <f>T12-T19</f>
        <v>405930</v>
      </c>
      <c r="U23" s="15"/>
      <c r="V23" s="22">
        <f>IF(T$12=0,0,T23/T$12)</f>
        <v>1</v>
      </c>
      <c r="W23" s="17"/>
      <c r="X23" s="23">
        <f>+P23-T23</f>
        <v>-173934.52000000002</v>
      </c>
      <c r="Y23" s="17"/>
      <c r="Z23" s="22">
        <f>IF(T23=0,0,X23/T23)</f>
        <v>-0.42848402433917182</v>
      </c>
    </row>
    <row r="24" spans="1:26" ht="15" customHeight="1" x14ac:dyDescent="0.3">
      <c r="A24" s="12"/>
      <c r="B24" s="13"/>
      <c r="C24" s="12"/>
      <c r="D24" s="2"/>
      <c r="E24" s="2"/>
      <c r="F24" s="5"/>
      <c r="G24" s="2"/>
      <c r="H24" s="2"/>
      <c r="I24" s="2"/>
      <c r="J24" s="5"/>
      <c r="K24" s="2"/>
      <c r="L24" s="2"/>
      <c r="M24" s="2"/>
      <c r="N24" s="5"/>
      <c r="O24" s="36"/>
      <c r="P24" s="2"/>
      <c r="Q24" s="2"/>
      <c r="R24" s="5"/>
      <c r="S24" s="2"/>
      <c r="T24" s="2"/>
      <c r="U24" s="2"/>
      <c r="V24" s="5"/>
      <c r="W24" s="2"/>
      <c r="X24" s="2"/>
      <c r="Y24" s="2"/>
      <c r="Z24" s="5"/>
    </row>
    <row r="25" spans="1:26" s="63" customFormat="1" ht="15" customHeight="1" x14ac:dyDescent="0.3">
      <c r="A25" s="13"/>
      <c r="B25" s="28" t="s">
        <v>290</v>
      </c>
      <c r="C25" s="13"/>
      <c r="D25" s="24" cm="1">
        <f t="array" ref="D25">SUM(OSRRefD22x_0)</f>
        <v>30325.42</v>
      </c>
      <c r="E25" s="24"/>
      <c r="F25" s="34">
        <f t="shared" ref="F25:F56" si="4">IF(D$12=0,0,D25/D$12)</f>
        <v>3.5523419947192956</v>
      </c>
      <c r="G25" s="24"/>
      <c r="H25" s="24" cm="1">
        <f t="array" ref="H25">SUM(OSRRefH22x_0)</f>
        <v>24289.503919615392</v>
      </c>
      <c r="I25" s="24"/>
      <c r="J25" s="34">
        <f t="shared" ref="J25:J56" si="5">IF(H$12=0,0,H25/H$12)</f>
        <v>4.3374114142170344</v>
      </c>
      <c r="K25" s="8"/>
      <c r="L25" s="24">
        <f t="shared" ref="L25:L56" si="6">+D25-H25</f>
        <v>6035.9160803846062</v>
      </c>
      <c r="M25" s="8"/>
      <c r="N25" s="34">
        <f t="shared" ref="N25:N56" si="7">IF(H25=0,0,L25/H25)</f>
        <v>0.24849894425016239</v>
      </c>
      <c r="O25" s="13"/>
      <c r="P25" s="24" cm="1">
        <f t="array" ref="P25">SUM(OSRRefP22x_0)</f>
        <v>304553.09000000008</v>
      </c>
      <c r="Q25" s="24"/>
      <c r="R25" s="34">
        <f t="shared" ref="R25:R56" si="8">IF(P$12=0,0,P25/P$12)</f>
        <v>1.312707674453869</v>
      </c>
      <c r="S25" s="24"/>
      <c r="T25" s="24" cm="1">
        <f t="array" ref="T25">SUM(OSRRefT22x_0)</f>
        <v>358578.78508969286</v>
      </c>
      <c r="U25" s="24"/>
      <c r="V25" s="34">
        <f t="shared" ref="V25:V56" si="9">IF(T$12=0,0,T25/T$12)</f>
        <v>0.88335127999825802</v>
      </c>
      <c r="W25" s="8"/>
      <c r="X25" s="24">
        <f t="shared" ref="X25:X56" si="10">+P25-T25</f>
        <v>-54025.695089692774</v>
      </c>
      <c r="Y25" s="8"/>
      <c r="Z25" s="34">
        <f t="shared" ref="Z25:Z56" si="11">IF(T25=0,0,X25/T25)</f>
        <v>-0.1506661780790492</v>
      </c>
    </row>
    <row r="26" spans="1:26" s="69" customFormat="1" ht="15" customHeight="1" outlineLevel="1" collapsed="1" x14ac:dyDescent="0.3">
      <c r="A26" s="20"/>
      <c r="B26" s="11" t="str">
        <f>CONCATENATE("     ","*Benefits                                         ")</f>
        <v xml:space="preserve">     *Benefits                                         </v>
      </c>
      <c r="C26" s="11"/>
      <c r="D26" s="2">
        <f>SUM(OSRRefD22_0x_0)</f>
        <v>1722.6800000000003</v>
      </c>
      <c r="E26" s="2"/>
      <c r="F26" s="5">
        <f t="shared" si="4"/>
        <v>0.20179600175242543</v>
      </c>
      <c r="G26" s="2"/>
      <c r="H26" s="2">
        <f>SUM(OSRRefH22_0x_0)</f>
        <v>4161.6077657692331</v>
      </c>
      <c r="I26" s="2"/>
      <c r="J26" s="5">
        <f t="shared" si="5"/>
        <v>0.743144243887363</v>
      </c>
      <c r="K26" s="2"/>
      <c r="L26" s="2">
        <f t="shared" si="6"/>
        <v>-2438.9277657692328</v>
      </c>
      <c r="M26" s="2"/>
      <c r="N26" s="5">
        <f t="shared" si="7"/>
        <v>-0.58605421342931885</v>
      </c>
      <c r="O26" s="11"/>
      <c r="P26" s="2">
        <f>SUM(OSRRefP22_0x_0)</f>
        <v>79208.69</v>
      </c>
      <c r="Q26" s="2"/>
      <c r="R26" s="5">
        <f t="shared" si="8"/>
        <v>0.34141126345635636</v>
      </c>
      <c r="S26" s="2"/>
      <c r="T26" s="2">
        <f>SUM(OSRRefT22_0x_0)</f>
        <v>67519.216551230842</v>
      </c>
      <c r="U26" s="2"/>
      <c r="V26" s="5">
        <f t="shared" si="9"/>
        <v>0.16633216700226847</v>
      </c>
      <c r="W26" s="2"/>
      <c r="X26" s="2">
        <f t="shared" si="10"/>
        <v>11689.47344876916</v>
      </c>
      <c r="Y26" s="2"/>
      <c r="Z26" s="5">
        <f t="shared" si="11"/>
        <v>0.17312809664933926</v>
      </c>
    </row>
    <row r="27" spans="1:26" s="70" customFormat="1" ht="15" hidden="1" customHeight="1" outlineLevel="2" x14ac:dyDescent="0.3">
      <c r="A27" s="21"/>
      <c r="B27" s="9" t="str">
        <f>CONCATENATE("          ","6111"," - ","F.I.C.A.")</f>
        <v xml:space="preserve">          6111 - F.I.C.A.</v>
      </c>
      <c r="C27" s="9"/>
      <c r="D27" s="6">
        <v>750.09</v>
      </c>
      <c r="E27" s="3"/>
      <c r="F27" s="7">
        <f t="shared" si="4"/>
        <v>8.7866094082752907E-2</v>
      </c>
      <c r="G27" s="3"/>
      <c r="H27" s="6">
        <v>678.81226961538505</v>
      </c>
      <c r="I27" s="3"/>
      <c r="J27" s="7">
        <f t="shared" si="5"/>
        <v>0.12121647671703305</v>
      </c>
      <c r="K27" s="3"/>
      <c r="L27" s="6">
        <f t="shared" si="6"/>
        <v>71.277730384614983</v>
      </c>
      <c r="M27" s="3"/>
      <c r="N27" s="7">
        <f t="shared" si="7"/>
        <v>0.10500359757050493</v>
      </c>
      <c r="O27" s="9"/>
      <c r="P27" s="6">
        <v>13677.81</v>
      </c>
      <c r="Q27" s="3"/>
      <c r="R27" s="7">
        <f t="shared" si="8"/>
        <v>5.89551271888979E-2</v>
      </c>
      <c r="S27" s="3"/>
      <c r="T27" s="6">
        <v>11844.984909692301</v>
      </c>
      <c r="U27" s="3"/>
      <c r="V27" s="7">
        <f t="shared" si="9"/>
        <v>2.917987069123322E-2</v>
      </c>
      <c r="W27" s="3"/>
      <c r="X27" s="6">
        <f t="shared" si="10"/>
        <v>1832.8250903076987</v>
      </c>
      <c r="Y27" s="3"/>
      <c r="Z27" s="7">
        <f t="shared" si="11"/>
        <v>0.15473426975900725</v>
      </c>
    </row>
    <row r="28" spans="1:26" s="70" customFormat="1" ht="15" hidden="1" customHeight="1" outlineLevel="2" x14ac:dyDescent="0.3">
      <c r="A28" s="21"/>
      <c r="B28" s="9" t="str">
        <f>CONCATENATE("          ","6112"," - ","COMPENSATION INSURANCE")</f>
        <v xml:space="preserve">          6112 - COMPENSATION INSURANCE</v>
      </c>
      <c r="C28" s="9"/>
      <c r="D28" s="6">
        <v>-2600.54</v>
      </c>
      <c r="E28" s="3"/>
      <c r="F28" s="7">
        <f t="shared" si="4"/>
        <v>-0.30462916757450736</v>
      </c>
      <c r="G28" s="3"/>
      <c r="H28" s="6">
        <v>138.37020000000001</v>
      </c>
      <c r="I28" s="3"/>
      <c r="J28" s="7">
        <f t="shared" si="5"/>
        <v>2.4708964285714289E-2</v>
      </c>
      <c r="K28" s="3"/>
      <c r="L28" s="6">
        <f t="shared" si="6"/>
        <v>-2738.9101999999998</v>
      </c>
      <c r="M28" s="3"/>
      <c r="N28" s="7">
        <f t="shared" si="7"/>
        <v>-19.794075602983877</v>
      </c>
      <c r="O28" s="9"/>
      <c r="P28" s="6">
        <v>380.35</v>
      </c>
      <c r="Q28" s="3"/>
      <c r="R28" s="7">
        <f t="shared" si="8"/>
        <v>1.6394132267005697E-3</v>
      </c>
      <c r="S28" s="3"/>
      <c r="T28" s="6">
        <v>2421.0530399999998</v>
      </c>
      <c r="U28" s="3"/>
      <c r="V28" s="7">
        <f t="shared" si="9"/>
        <v>5.9642131401965847E-3</v>
      </c>
      <c r="W28" s="3"/>
      <c r="X28" s="6">
        <f t="shared" si="10"/>
        <v>-2040.7030399999999</v>
      </c>
      <c r="Y28" s="3"/>
      <c r="Z28" s="7">
        <f t="shared" si="11"/>
        <v>-0.84289893954574413</v>
      </c>
    </row>
    <row r="29" spans="1:26" s="70" customFormat="1" ht="15" hidden="1" customHeight="1" outlineLevel="2" x14ac:dyDescent="0.3">
      <c r="A29" s="21"/>
      <c r="B29" s="9" t="str">
        <f>CONCATENATE("          ","6113"," - ","GROUP INSURANCE")</f>
        <v xml:space="preserve">          6113 - GROUP INSURANCE</v>
      </c>
      <c r="C29" s="9"/>
      <c r="D29" s="6">
        <v>1287</v>
      </c>
      <c r="E29" s="3"/>
      <c r="F29" s="7">
        <f t="shared" si="4"/>
        <v>0.15076012623085627</v>
      </c>
      <c r="G29" s="3"/>
      <c r="H29" s="6">
        <v>1326</v>
      </c>
      <c r="I29" s="3"/>
      <c r="J29" s="7">
        <f t="shared" si="5"/>
        <v>0.23678571428571429</v>
      </c>
      <c r="K29" s="3"/>
      <c r="L29" s="6">
        <f t="shared" si="6"/>
        <v>-39</v>
      </c>
      <c r="M29" s="3"/>
      <c r="N29" s="7">
        <f t="shared" si="7"/>
        <v>-2.9411764705882353E-2</v>
      </c>
      <c r="O29" s="9"/>
      <c r="P29" s="6">
        <v>25608.02</v>
      </c>
      <c r="Q29" s="3"/>
      <c r="R29" s="7">
        <f t="shared" si="8"/>
        <v>0.11037761718841257</v>
      </c>
      <c r="S29" s="3"/>
      <c r="T29" s="6">
        <v>20854.5</v>
      </c>
      <c r="U29" s="3"/>
      <c r="V29" s="7">
        <f t="shared" si="9"/>
        <v>5.1374621240115291E-2</v>
      </c>
      <c r="W29" s="3"/>
      <c r="X29" s="6">
        <f t="shared" si="10"/>
        <v>4753.5200000000004</v>
      </c>
      <c r="Y29" s="3"/>
      <c r="Z29" s="7">
        <f t="shared" si="11"/>
        <v>0.22793737562636363</v>
      </c>
    </row>
    <row r="30" spans="1:26" s="70" customFormat="1" ht="15" hidden="1" customHeight="1" outlineLevel="2" x14ac:dyDescent="0.3">
      <c r="A30" s="21"/>
      <c r="B30" s="9" t="str">
        <f>CONCATENATE("          ","6114"," - ","STATE UNEMPLOYMENT INSURANCE")</f>
        <v xml:space="preserve">          6114 - STATE UNEMPLOYMENT INSURANCE</v>
      </c>
      <c r="C30" s="9"/>
      <c r="D30" s="6"/>
      <c r="E30" s="3"/>
      <c r="F30" s="7">
        <f t="shared" si="4"/>
        <v>0</v>
      </c>
      <c r="G30" s="3"/>
      <c r="H30" s="6">
        <v>18.626757692307699</v>
      </c>
      <c r="I30" s="3"/>
      <c r="J30" s="7">
        <f t="shared" si="5"/>
        <v>3.326206730769232E-3</v>
      </c>
      <c r="K30" s="3"/>
      <c r="L30" s="6">
        <f t="shared" si="6"/>
        <v>-18.626757692307699</v>
      </c>
      <c r="M30" s="3"/>
      <c r="N30" s="7">
        <f t="shared" si="7"/>
        <v>-1</v>
      </c>
      <c r="O30" s="9"/>
      <c r="P30" s="6">
        <v>523.66999999999996</v>
      </c>
      <c r="Q30" s="3"/>
      <c r="R30" s="7">
        <f t="shared" si="8"/>
        <v>2.2571618888557569E-3</v>
      </c>
      <c r="S30" s="3"/>
      <c r="T30" s="6">
        <v>325.91098615384601</v>
      </c>
      <c r="U30" s="3"/>
      <c r="V30" s="7">
        <f t="shared" si="9"/>
        <v>8.0287484579569387E-4</v>
      </c>
      <c r="W30" s="3"/>
      <c r="X30" s="6">
        <f t="shared" si="10"/>
        <v>197.75901384615395</v>
      </c>
      <c r="Y30" s="3"/>
      <c r="Z30" s="7">
        <f t="shared" si="11"/>
        <v>0.60678842459395332</v>
      </c>
    </row>
    <row r="31" spans="1:26" s="70" customFormat="1" ht="15" hidden="1" customHeight="1" outlineLevel="2" x14ac:dyDescent="0.3">
      <c r="A31" s="21"/>
      <c r="B31" s="9" t="str">
        <f>CONCATENATE("          ","6115"," - ","P.E.R.S.")</f>
        <v xml:space="preserve">          6115 - P.E.R.S.</v>
      </c>
      <c r="C31" s="9"/>
      <c r="D31" s="6">
        <v>752.91</v>
      </c>
      <c r="E31" s="3"/>
      <c r="F31" s="7">
        <f t="shared" si="4"/>
        <v>8.819643095607925E-2</v>
      </c>
      <c r="G31" s="3"/>
      <c r="H31" s="6">
        <v>762.81007692307799</v>
      </c>
      <c r="I31" s="3"/>
      <c r="J31" s="7">
        <f t="shared" si="5"/>
        <v>0.13621608516483535</v>
      </c>
      <c r="K31" s="3"/>
      <c r="L31" s="6">
        <f t="shared" si="6"/>
        <v>-9.9000769230780179</v>
      </c>
      <c r="M31" s="3"/>
      <c r="N31" s="7">
        <f t="shared" si="7"/>
        <v>-1.2978429654484421E-2</v>
      </c>
      <c r="O31" s="9"/>
      <c r="P31" s="6">
        <v>16772.27</v>
      </c>
      <c r="Q31" s="3"/>
      <c r="R31" s="7">
        <f t="shared" si="8"/>
        <v>7.2293101826720552E-2</v>
      </c>
      <c r="S31" s="3"/>
      <c r="T31" s="6">
        <v>11734.1244615385</v>
      </c>
      <c r="U31" s="3"/>
      <c r="V31" s="7">
        <f t="shared" si="9"/>
        <v>2.8906768313597172E-2</v>
      </c>
      <c r="W31" s="3"/>
      <c r="X31" s="6">
        <f t="shared" si="10"/>
        <v>5038.1455384615001</v>
      </c>
      <c r="Y31" s="3"/>
      <c r="Z31" s="7">
        <f t="shared" si="11"/>
        <v>0.42935845405213402</v>
      </c>
    </row>
    <row r="32" spans="1:26" s="70" customFormat="1" ht="15" hidden="1" customHeight="1" outlineLevel="2" x14ac:dyDescent="0.3">
      <c r="A32" s="21"/>
      <c r="B32" s="9" t="str">
        <f>CONCATENATE("          ","6116"," - ","EDUCATIONAL BENEFITS")</f>
        <v xml:space="preserve">          6116 - EDUCATIONAL BENEFITS</v>
      </c>
      <c r="C32" s="9"/>
      <c r="D32" s="6"/>
      <c r="E32" s="3"/>
      <c r="F32" s="7">
        <f t="shared" si="4"/>
        <v>0</v>
      </c>
      <c r="G32" s="3"/>
      <c r="H32" s="6">
        <v>0</v>
      </c>
      <c r="I32" s="3"/>
      <c r="J32" s="7">
        <f t="shared" si="5"/>
        <v>0</v>
      </c>
      <c r="K32" s="3"/>
      <c r="L32" s="6">
        <f t="shared" si="6"/>
        <v>0</v>
      </c>
      <c r="M32" s="3"/>
      <c r="N32" s="7">
        <f t="shared" si="7"/>
        <v>0</v>
      </c>
      <c r="O32" s="9"/>
      <c r="P32" s="6"/>
      <c r="Q32" s="3"/>
      <c r="R32" s="7">
        <f t="shared" si="8"/>
        <v>0</v>
      </c>
      <c r="S32" s="3"/>
      <c r="T32" s="6">
        <v>0</v>
      </c>
      <c r="U32" s="3"/>
      <c r="V32" s="7">
        <f t="shared" si="9"/>
        <v>0</v>
      </c>
      <c r="W32" s="3"/>
      <c r="X32" s="6">
        <f t="shared" si="10"/>
        <v>0</v>
      </c>
      <c r="Y32" s="3"/>
      <c r="Z32" s="7">
        <f t="shared" si="11"/>
        <v>0</v>
      </c>
    </row>
    <row r="33" spans="1:26" s="70" customFormat="1" ht="15" hidden="1" customHeight="1" outlineLevel="2" x14ac:dyDescent="0.3">
      <c r="A33" s="21"/>
      <c r="B33" s="9" t="str">
        <f>CONCATENATE("          ","6118"," - ","VACATION")</f>
        <v xml:space="preserve">          6118 - VACATION</v>
      </c>
      <c r="C33" s="9"/>
      <c r="D33" s="6">
        <v>656.44</v>
      </c>
      <c r="E33" s="3"/>
      <c r="F33" s="7">
        <f t="shared" si="4"/>
        <v>7.6895864229202263E-2</v>
      </c>
      <c r="G33" s="3"/>
      <c r="H33" s="6">
        <v>620.89192307692304</v>
      </c>
      <c r="I33" s="3"/>
      <c r="J33" s="7">
        <f t="shared" si="5"/>
        <v>0.11087355769230768</v>
      </c>
      <c r="K33" s="3"/>
      <c r="L33" s="6">
        <f t="shared" si="6"/>
        <v>35.548076923077019</v>
      </c>
      <c r="M33" s="3"/>
      <c r="N33" s="7">
        <f t="shared" si="7"/>
        <v>5.7253244247264794E-2</v>
      </c>
      <c r="O33" s="9"/>
      <c r="P33" s="6">
        <v>9814.77</v>
      </c>
      <c r="Q33" s="3"/>
      <c r="R33" s="7">
        <f t="shared" si="8"/>
        <v>4.2304361127971472E-2</v>
      </c>
      <c r="S33" s="3"/>
      <c r="T33" s="6">
        <v>10185.0757692308</v>
      </c>
      <c r="U33" s="3"/>
      <c r="V33" s="7">
        <f t="shared" si="9"/>
        <v>2.5090719506394698E-2</v>
      </c>
      <c r="W33" s="3"/>
      <c r="X33" s="6">
        <f t="shared" si="10"/>
        <v>-370.30576923079934</v>
      </c>
      <c r="Y33" s="3"/>
      <c r="Z33" s="7">
        <f t="shared" si="11"/>
        <v>-3.6357684284440597E-2</v>
      </c>
    </row>
    <row r="34" spans="1:26" s="70" customFormat="1" ht="15" hidden="1" customHeight="1" outlineLevel="2" x14ac:dyDescent="0.3">
      <c r="A34" s="21"/>
      <c r="B34" s="9" t="str">
        <f>CONCATENATE("          ","6119"," - ","SICK LEAVE")</f>
        <v xml:space="preserve">          6119 - SICK LEAVE</v>
      </c>
      <c r="C34" s="9"/>
      <c r="D34" s="6">
        <v>411.06</v>
      </c>
      <c r="E34" s="3"/>
      <c r="F34" s="7">
        <f t="shared" si="4"/>
        <v>4.8151870620400765E-2</v>
      </c>
      <c r="G34" s="3"/>
      <c r="H34" s="6">
        <v>266.09653846153901</v>
      </c>
      <c r="I34" s="3"/>
      <c r="J34" s="7">
        <f t="shared" si="5"/>
        <v>4.7517239010989108E-2</v>
      </c>
      <c r="K34" s="3"/>
      <c r="L34" s="6">
        <f t="shared" si="6"/>
        <v>144.96346153846099</v>
      </c>
      <c r="M34" s="3"/>
      <c r="N34" s="7">
        <f t="shared" si="7"/>
        <v>0.54477770502607903</v>
      </c>
      <c r="O34" s="9"/>
      <c r="P34" s="6">
        <v>7225.49</v>
      </c>
      <c r="Q34" s="3"/>
      <c r="R34" s="7">
        <f t="shared" si="8"/>
        <v>3.1143851387912973E-2</v>
      </c>
      <c r="S34" s="3"/>
      <c r="T34" s="6">
        <v>5078.5673846153904</v>
      </c>
      <c r="U34" s="3"/>
      <c r="V34" s="7">
        <f t="shared" si="9"/>
        <v>1.2510943720876482E-2</v>
      </c>
      <c r="W34" s="3"/>
      <c r="X34" s="6">
        <f t="shared" si="10"/>
        <v>2146.9226153846093</v>
      </c>
      <c r="Y34" s="3"/>
      <c r="Z34" s="7">
        <f t="shared" si="11"/>
        <v>0.42274177987444383</v>
      </c>
    </row>
    <row r="35" spans="1:26" s="70" customFormat="1" ht="15" hidden="1" customHeight="1" outlineLevel="2" x14ac:dyDescent="0.3">
      <c r="A35" s="21"/>
      <c r="B35" s="9" t="str">
        <f>CONCATENATE("          ","6156"," - ","EMPLOYEE MEALS")</f>
        <v xml:space="preserve">          6156 - EMPLOYEE MEALS</v>
      </c>
      <c r="C35" s="9"/>
      <c r="D35" s="6">
        <v>465.72</v>
      </c>
      <c r="E35" s="3"/>
      <c r="F35" s="7">
        <f t="shared" si="4"/>
        <v>5.455478320764133E-2</v>
      </c>
      <c r="G35" s="3"/>
      <c r="H35" s="6">
        <v>350</v>
      </c>
      <c r="I35" s="3"/>
      <c r="J35" s="7">
        <f t="shared" si="5"/>
        <v>6.25E-2</v>
      </c>
      <c r="K35" s="3"/>
      <c r="L35" s="6">
        <f t="shared" si="6"/>
        <v>115.72000000000003</v>
      </c>
      <c r="M35" s="3"/>
      <c r="N35" s="7">
        <f t="shared" si="7"/>
        <v>0.33062857142857149</v>
      </c>
      <c r="O35" s="9"/>
      <c r="P35" s="6">
        <v>5206.3100000000004</v>
      </c>
      <c r="Q35" s="3"/>
      <c r="R35" s="7">
        <f t="shared" si="8"/>
        <v>2.2440629620884563E-2</v>
      </c>
      <c r="S35" s="3"/>
      <c r="T35" s="6">
        <v>5075</v>
      </c>
      <c r="U35" s="3"/>
      <c r="V35" s="7">
        <f t="shared" si="9"/>
        <v>1.2502155544059321E-2</v>
      </c>
      <c r="W35" s="3"/>
      <c r="X35" s="6">
        <f t="shared" si="10"/>
        <v>131.3100000000004</v>
      </c>
      <c r="Y35" s="3"/>
      <c r="Z35" s="7">
        <f t="shared" si="11"/>
        <v>2.5873891625615843E-2</v>
      </c>
    </row>
    <row r="36" spans="1:26" s="69" customFormat="1" ht="15" customHeight="1" outlineLevel="1" collapsed="1" x14ac:dyDescent="0.3">
      <c r="A36" s="20"/>
      <c r="B36" s="11" t="str">
        <f>CONCATENATE("     ","*Payroll                                          ")</f>
        <v xml:space="preserve">     *Payroll                                          </v>
      </c>
      <c r="C36" s="11"/>
      <c r="D36" s="2">
        <f>SUM(OSRRefD22_1x_0)</f>
        <v>9778.94</v>
      </c>
      <c r="E36" s="2"/>
      <c r="F36" s="5">
        <f t="shared" si="4"/>
        <v>1.1455122212929059</v>
      </c>
      <c r="G36" s="2"/>
      <c r="H36" s="2">
        <f>SUM(OSRRefH22_1x_0)</f>
        <v>7982.8961538461599</v>
      </c>
      <c r="I36" s="2"/>
      <c r="J36" s="5">
        <f t="shared" si="5"/>
        <v>1.4255171703296714</v>
      </c>
      <c r="K36" s="2"/>
      <c r="L36" s="2">
        <f t="shared" si="6"/>
        <v>1796.0438461538406</v>
      </c>
      <c r="M36" s="2"/>
      <c r="N36" s="5">
        <f t="shared" si="7"/>
        <v>0.22498649757438052</v>
      </c>
      <c r="O36" s="11"/>
      <c r="P36" s="2">
        <f>SUM(OSRRefP22_1x_0)</f>
        <v>161949.43</v>
      </c>
      <c r="Q36" s="2"/>
      <c r="R36" s="5">
        <f t="shared" si="8"/>
        <v>0.69804663493786778</v>
      </c>
      <c r="S36" s="2"/>
      <c r="T36" s="2">
        <f>SUM(OSRRefT22_1x_0)</f>
        <v>141219.56853846202</v>
      </c>
      <c r="U36" s="2"/>
      <c r="V36" s="5">
        <f t="shared" si="9"/>
        <v>0.34789143088330998</v>
      </c>
      <c r="W36" s="2"/>
      <c r="X36" s="2">
        <f t="shared" si="10"/>
        <v>20729.861461537977</v>
      </c>
      <c r="Y36" s="2"/>
      <c r="Z36" s="5">
        <f t="shared" si="11"/>
        <v>0.14679170653245605</v>
      </c>
    </row>
    <row r="37" spans="1:26" s="70" customFormat="1" ht="15" hidden="1" customHeight="1" outlineLevel="2" x14ac:dyDescent="0.3">
      <c r="A37" s="21"/>
      <c r="B37" s="9" t="str">
        <f>CONCATENATE("          ","6001"," - ","ADMINISTRATIVE SALARIES")</f>
        <v xml:space="preserve">          6001 - ADMINISTRATIVE SALARIES</v>
      </c>
      <c r="C37" s="9"/>
      <c r="D37" s="6"/>
      <c r="E37" s="3"/>
      <c r="F37" s="7">
        <f t="shared" si="4"/>
        <v>0</v>
      </c>
      <c r="G37" s="3"/>
      <c r="H37" s="6">
        <v>0</v>
      </c>
      <c r="I37" s="3"/>
      <c r="J37" s="7">
        <f t="shared" si="5"/>
        <v>0</v>
      </c>
      <c r="K37" s="3"/>
      <c r="L37" s="6">
        <f t="shared" si="6"/>
        <v>0</v>
      </c>
      <c r="M37" s="3"/>
      <c r="N37" s="7">
        <f t="shared" si="7"/>
        <v>0</v>
      </c>
      <c r="O37" s="9"/>
      <c r="P37" s="6"/>
      <c r="Q37" s="3"/>
      <c r="R37" s="7">
        <f t="shared" si="8"/>
        <v>0</v>
      </c>
      <c r="S37" s="3"/>
      <c r="T37" s="6">
        <v>0</v>
      </c>
      <c r="U37" s="3"/>
      <c r="V37" s="7">
        <f t="shared" si="9"/>
        <v>0</v>
      </c>
      <c r="W37" s="3"/>
      <c r="X37" s="6">
        <f t="shared" si="10"/>
        <v>0</v>
      </c>
      <c r="Y37" s="3"/>
      <c r="Z37" s="7">
        <f t="shared" si="11"/>
        <v>0</v>
      </c>
    </row>
    <row r="38" spans="1:26" s="70" customFormat="1" ht="15" hidden="1" customHeight="1" outlineLevel="2" x14ac:dyDescent="0.3">
      <c r="A38" s="21"/>
      <c r="B38" s="9" t="str">
        <f>CONCATENATE("          ","6002"," - ","STAFF SALARIES")</f>
        <v xml:space="preserve">          6002 - STAFF SALARIES</v>
      </c>
      <c r="C38" s="9"/>
      <c r="D38" s="6">
        <v>8466.44</v>
      </c>
      <c r="E38" s="3"/>
      <c r="F38" s="7">
        <f t="shared" si="4"/>
        <v>0.99176500631388576</v>
      </c>
      <c r="G38" s="3"/>
      <c r="H38" s="6">
        <v>7982.8961538461599</v>
      </c>
      <c r="I38" s="3"/>
      <c r="J38" s="7">
        <f t="shared" si="5"/>
        <v>1.4255171703296714</v>
      </c>
      <c r="K38" s="3"/>
      <c r="L38" s="6">
        <f t="shared" si="6"/>
        <v>483.5438461538406</v>
      </c>
      <c r="M38" s="3"/>
      <c r="N38" s="7">
        <f t="shared" si="7"/>
        <v>6.0572483574256333E-2</v>
      </c>
      <c r="O38" s="9"/>
      <c r="P38" s="6">
        <v>129895.58</v>
      </c>
      <c r="Q38" s="3"/>
      <c r="R38" s="7">
        <f t="shared" si="8"/>
        <v>0.5598857156354462</v>
      </c>
      <c r="S38" s="3"/>
      <c r="T38" s="6">
        <v>121742.23653846201</v>
      </c>
      <c r="U38" s="3"/>
      <c r="V38" s="7">
        <f t="shared" si="9"/>
        <v>0.29990943398729342</v>
      </c>
      <c r="W38" s="3"/>
      <c r="X38" s="6">
        <f t="shared" si="10"/>
        <v>8153.3434615379956</v>
      </c>
      <c r="Y38" s="3"/>
      <c r="Z38" s="7">
        <f t="shared" si="11"/>
        <v>6.6972183963140114E-2</v>
      </c>
    </row>
    <row r="39" spans="1:26" s="70" customFormat="1" ht="15" hidden="1" customHeight="1" outlineLevel="2" x14ac:dyDescent="0.3">
      <c r="A39" s="21"/>
      <c r="B39" s="9" t="str">
        <f>CONCATENATE("          ","6003"," - ","STAFF HOURLY-9 MONTH")</f>
        <v xml:space="preserve">          6003 - STAFF HOURLY-9 MONTH</v>
      </c>
      <c r="C39" s="9"/>
      <c r="D39" s="6"/>
      <c r="E39" s="3"/>
      <c r="F39" s="7">
        <f t="shared" si="4"/>
        <v>0</v>
      </c>
      <c r="G39" s="3"/>
      <c r="H39" s="6">
        <v>0</v>
      </c>
      <c r="I39" s="3"/>
      <c r="J39" s="7">
        <f t="shared" si="5"/>
        <v>0</v>
      </c>
      <c r="K39" s="3"/>
      <c r="L39" s="6">
        <f t="shared" si="6"/>
        <v>0</v>
      </c>
      <c r="M39" s="3"/>
      <c r="N39" s="7">
        <f t="shared" si="7"/>
        <v>0</v>
      </c>
      <c r="O39" s="9"/>
      <c r="P39" s="6"/>
      <c r="Q39" s="3"/>
      <c r="R39" s="7">
        <f t="shared" si="8"/>
        <v>0</v>
      </c>
      <c r="S39" s="3"/>
      <c r="T39" s="6">
        <v>0</v>
      </c>
      <c r="U39" s="3"/>
      <c r="V39" s="7">
        <f t="shared" si="9"/>
        <v>0</v>
      </c>
      <c r="W39" s="3"/>
      <c r="X39" s="6">
        <f t="shared" si="10"/>
        <v>0</v>
      </c>
      <c r="Y39" s="3"/>
      <c r="Z39" s="7">
        <f t="shared" si="11"/>
        <v>0</v>
      </c>
    </row>
    <row r="40" spans="1:26" s="70" customFormat="1" ht="15" hidden="1" customHeight="1" outlineLevel="2" x14ac:dyDescent="0.3">
      <c r="A40" s="21"/>
      <c r="B40" s="9" t="str">
        <f>CONCATENATE("          ","6004"," - ","STAFF HOURLY")</f>
        <v xml:space="preserve">          6004 - STAFF HOURLY</v>
      </c>
      <c r="C40" s="9"/>
      <c r="D40" s="6"/>
      <c r="E40" s="3"/>
      <c r="F40" s="7">
        <f t="shared" si="4"/>
        <v>0</v>
      </c>
      <c r="G40" s="3"/>
      <c r="H40" s="6">
        <v>0</v>
      </c>
      <c r="I40" s="3"/>
      <c r="J40" s="7">
        <f t="shared" si="5"/>
        <v>0</v>
      </c>
      <c r="K40" s="3"/>
      <c r="L40" s="6">
        <f t="shared" si="6"/>
        <v>0</v>
      </c>
      <c r="M40" s="3"/>
      <c r="N40" s="7">
        <f t="shared" si="7"/>
        <v>0</v>
      </c>
      <c r="O40" s="9"/>
      <c r="P40" s="6"/>
      <c r="Q40" s="3"/>
      <c r="R40" s="7">
        <f t="shared" si="8"/>
        <v>0</v>
      </c>
      <c r="S40" s="3"/>
      <c r="T40" s="6">
        <v>8523.9</v>
      </c>
      <c r="U40" s="3"/>
      <c r="V40" s="7">
        <f t="shared" si="9"/>
        <v>2.0998448008277288E-2</v>
      </c>
      <c r="W40" s="3"/>
      <c r="X40" s="6">
        <f t="shared" si="10"/>
        <v>-8523.9</v>
      </c>
      <c r="Y40" s="3"/>
      <c r="Z40" s="7">
        <f t="shared" si="11"/>
        <v>-1</v>
      </c>
    </row>
    <row r="41" spans="1:26" s="70" customFormat="1" ht="15" hidden="1" customHeight="1" outlineLevel="2" x14ac:dyDescent="0.3">
      <c r="A41" s="21"/>
      <c r="B41" s="9" t="str">
        <f>CONCATENATE("          ","6005"," - ","TEMPORARY WAGES-HOURLY")</f>
        <v xml:space="preserve">          6005 - TEMPORARY WAGES-HOURLY</v>
      </c>
      <c r="C41" s="9"/>
      <c r="D41" s="6"/>
      <c r="E41" s="3"/>
      <c r="F41" s="7">
        <f t="shared" si="4"/>
        <v>0</v>
      </c>
      <c r="G41" s="3"/>
      <c r="H41" s="6">
        <v>0</v>
      </c>
      <c r="I41" s="3"/>
      <c r="J41" s="7">
        <f t="shared" si="5"/>
        <v>0</v>
      </c>
      <c r="K41" s="3"/>
      <c r="L41" s="6">
        <f t="shared" si="6"/>
        <v>0</v>
      </c>
      <c r="M41" s="3"/>
      <c r="N41" s="7">
        <f t="shared" si="7"/>
        <v>0</v>
      </c>
      <c r="O41" s="9"/>
      <c r="P41" s="6"/>
      <c r="Q41" s="3"/>
      <c r="R41" s="7">
        <f t="shared" si="8"/>
        <v>0</v>
      </c>
      <c r="S41" s="3"/>
      <c r="T41" s="6">
        <v>0</v>
      </c>
      <c r="U41" s="3"/>
      <c r="V41" s="7">
        <f t="shared" si="9"/>
        <v>0</v>
      </c>
      <c r="W41" s="3"/>
      <c r="X41" s="6">
        <f t="shared" si="10"/>
        <v>0</v>
      </c>
      <c r="Y41" s="3"/>
      <c r="Z41" s="7">
        <f t="shared" si="11"/>
        <v>0</v>
      </c>
    </row>
    <row r="42" spans="1:26" s="70" customFormat="1" ht="15" hidden="1" customHeight="1" outlineLevel="2" x14ac:dyDescent="0.3">
      <c r="A42" s="21"/>
      <c r="B42" s="9" t="str">
        <f>CONCATENATE("          ","6006"," - ","TEMPORARY PART TIME")</f>
        <v xml:space="preserve">          6006 - TEMPORARY PART TIME</v>
      </c>
      <c r="C42" s="9"/>
      <c r="D42" s="6"/>
      <c r="E42" s="3"/>
      <c r="F42" s="7">
        <f t="shared" si="4"/>
        <v>0</v>
      </c>
      <c r="G42" s="3"/>
      <c r="H42" s="6">
        <v>0</v>
      </c>
      <c r="I42" s="3"/>
      <c r="J42" s="7">
        <f t="shared" si="5"/>
        <v>0</v>
      </c>
      <c r="K42" s="3"/>
      <c r="L42" s="6">
        <f t="shared" si="6"/>
        <v>0</v>
      </c>
      <c r="M42" s="3"/>
      <c r="N42" s="7">
        <f t="shared" si="7"/>
        <v>0</v>
      </c>
      <c r="O42" s="9"/>
      <c r="P42" s="6"/>
      <c r="Q42" s="3"/>
      <c r="R42" s="7">
        <f t="shared" si="8"/>
        <v>0</v>
      </c>
      <c r="S42" s="3"/>
      <c r="T42" s="6">
        <v>0</v>
      </c>
      <c r="U42" s="3"/>
      <c r="V42" s="7">
        <f t="shared" si="9"/>
        <v>0</v>
      </c>
      <c r="W42" s="3"/>
      <c r="X42" s="6">
        <f t="shared" si="10"/>
        <v>0</v>
      </c>
      <c r="Y42" s="3"/>
      <c r="Z42" s="7">
        <f t="shared" si="11"/>
        <v>0</v>
      </c>
    </row>
    <row r="43" spans="1:26" s="70" customFormat="1" ht="15" hidden="1" customHeight="1" outlineLevel="2" x14ac:dyDescent="0.3">
      <c r="A43" s="21"/>
      <c r="B43" s="9" t="str">
        <f>CONCATENATE("          ","6007"," - ","STUDENT HOURLY")</f>
        <v xml:space="preserve">          6007 - STUDENT HOURLY</v>
      </c>
      <c r="C43" s="9"/>
      <c r="D43" s="6">
        <v>1312.5</v>
      </c>
      <c r="E43" s="3"/>
      <c r="F43" s="7">
        <f t="shared" si="4"/>
        <v>0.15374721497902011</v>
      </c>
      <c r="G43" s="3"/>
      <c r="H43" s="6">
        <v>0</v>
      </c>
      <c r="I43" s="3"/>
      <c r="J43" s="7">
        <f t="shared" si="5"/>
        <v>0</v>
      </c>
      <c r="K43" s="3"/>
      <c r="L43" s="6">
        <f t="shared" si="6"/>
        <v>1312.5</v>
      </c>
      <c r="M43" s="3"/>
      <c r="N43" s="7">
        <f t="shared" si="7"/>
        <v>0</v>
      </c>
      <c r="O43" s="9"/>
      <c r="P43" s="6">
        <v>31035.35</v>
      </c>
      <c r="Q43" s="3"/>
      <c r="R43" s="7">
        <f t="shared" si="8"/>
        <v>0.13377090386560148</v>
      </c>
      <c r="S43" s="3"/>
      <c r="T43" s="6">
        <v>10520.832</v>
      </c>
      <c r="U43" s="3"/>
      <c r="V43" s="7">
        <f t="shared" si="9"/>
        <v>2.5917847904811175E-2</v>
      </c>
      <c r="W43" s="3"/>
      <c r="X43" s="6">
        <f t="shared" si="10"/>
        <v>20514.517999999996</v>
      </c>
      <c r="Y43" s="3"/>
      <c r="Z43" s="7">
        <f t="shared" si="11"/>
        <v>1.9498950273134288</v>
      </c>
    </row>
    <row r="44" spans="1:26" s="70" customFormat="1" ht="15" hidden="1" customHeight="1" outlineLevel="2" x14ac:dyDescent="0.3">
      <c r="A44" s="21"/>
      <c r="B44" s="9" t="str">
        <f>CONCATENATE("          ","6008"," - ","STUDENT HOURLY-FICA EXEMPT")</f>
        <v xml:space="preserve">          6008 - STUDENT HOURLY-FICA EXEMPT</v>
      </c>
      <c r="C44" s="9"/>
      <c r="D44" s="6"/>
      <c r="E44" s="3"/>
      <c r="F44" s="7">
        <f t="shared" si="4"/>
        <v>0</v>
      </c>
      <c r="G44" s="3"/>
      <c r="H44" s="6">
        <v>0</v>
      </c>
      <c r="I44" s="3"/>
      <c r="J44" s="7">
        <f t="shared" si="5"/>
        <v>0</v>
      </c>
      <c r="K44" s="3"/>
      <c r="L44" s="6">
        <f t="shared" si="6"/>
        <v>0</v>
      </c>
      <c r="M44" s="3"/>
      <c r="N44" s="7">
        <f t="shared" si="7"/>
        <v>0</v>
      </c>
      <c r="O44" s="9"/>
      <c r="P44" s="6">
        <v>1018.5</v>
      </c>
      <c r="Q44" s="3"/>
      <c r="R44" s="7">
        <f t="shared" si="8"/>
        <v>4.3900154368201137E-3</v>
      </c>
      <c r="S44" s="3"/>
      <c r="T44" s="6">
        <v>432.6</v>
      </c>
      <c r="U44" s="3"/>
      <c r="V44" s="7">
        <f t="shared" si="9"/>
        <v>1.0657009829280911E-3</v>
      </c>
      <c r="W44" s="3"/>
      <c r="X44" s="6">
        <f t="shared" si="10"/>
        <v>585.9</v>
      </c>
      <c r="Y44" s="3"/>
      <c r="Z44" s="7">
        <f t="shared" si="11"/>
        <v>1.3543689320388348</v>
      </c>
    </row>
    <row r="45" spans="1:26" s="70" customFormat="1" ht="15" hidden="1" customHeight="1" outlineLevel="2" x14ac:dyDescent="0.3">
      <c r="A45" s="21"/>
      <c r="B45" s="9" t="str">
        <f>CONCATENATE("          ","6009"," - ","TEMPORARY-SEASONAL")</f>
        <v xml:space="preserve">          6009 - TEMPORARY-SEASONAL</v>
      </c>
      <c r="C45" s="9"/>
      <c r="D45" s="6"/>
      <c r="E45" s="3"/>
      <c r="F45" s="7">
        <f t="shared" si="4"/>
        <v>0</v>
      </c>
      <c r="G45" s="3"/>
      <c r="H45" s="6">
        <v>0</v>
      </c>
      <c r="I45" s="3"/>
      <c r="J45" s="7">
        <f t="shared" si="5"/>
        <v>0</v>
      </c>
      <c r="K45" s="3"/>
      <c r="L45" s="6">
        <f t="shared" si="6"/>
        <v>0</v>
      </c>
      <c r="M45" s="3"/>
      <c r="N45" s="7">
        <f t="shared" si="7"/>
        <v>0</v>
      </c>
      <c r="O45" s="9"/>
      <c r="P45" s="6"/>
      <c r="Q45" s="3"/>
      <c r="R45" s="7">
        <f t="shared" si="8"/>
        <v>0</v>
      </c>
      <c r="S45" s="3"/>
      <c r="T45" s="6">
        <v>0</v>
      </c>
      <c r="U45" s="3"/>
      <c r="V45" s="7">
        <f t="shared" si="9"/>
        <v>0</v>
      </c>
      <c r="W45" s="3"/>
      <c r="X45" s="6">
        <f t="shared" si="10"/>
        <v>0</v>
      </c>
      <c r="Y45" s="3"/>
      <c r="Z45" s="7">
        <f t="shared" si="11"/>
        <v>0</v>
      </c>
    </row>
    <row r="46" spans="1:26" s="70" customFormat="1" ht="15" hidden="1" customHeight="1" outlineLevel="2" x14ac:dyDescent="0.3">
      <c r="A46" s="21"/>
      <c r="B46" s="9" t="str">
        <f>CONCATENATE("          ","6010"," - ","GRATUITY")</f>
        <v xml:space="preserve">          6010 - GRATUITY</v>
      </c>
      <c r="C46" s="9"/>
      <c r="D46" s="6"/>
      <c r="E46" s="3"/>
      <c r="F46" s="7">
        <f t="shared" si="4"/>
        <v>0</v>
      </c>
      <c r="G46" s="3"/>
      <c r="H46" s="6">
        <v>0</v>
      </c>
      <c r="I46" s="3"/>
      <c r="J46" s="7">
        <f t="shared" si="5"/>
        <v>0</v>
      </c>
      <c r="K46" s="3"/>
      <c r="L46" s="6">
        <f t="shared" si="6"/>
        <v>0</v>
      </c>
      <c r="M46" s="3"/>
      <c r="N46" s="7">
        <f t="shared" si="7"/>
        <v>0</v>
      </c>
      <c r="O46" s="9"/>
      <c r="P46" s="6"/>
      <c r="Q46" s="3"/>
      <c r="R46" s="7">
        <f t="shared" si="8"/>
        <v>0</v>
      </c>
      <c r="S46" s="3"/>
      <c r="T46" s="6">
        <v>0</v>
      </c>
      <c r="U46" s="3"/>
      <c r="V46" s="7">
        <f t="shared" si="9"/>
        <v>0</v>
      </c>
      <c r="W46" s="3"/>
      <c r="X46" s="6">
        <f t="shared" si="10"/>
        <v>0</v>
      </c>
      <c r="Y46" s="3"/>
      <c r="Z46" s="7">
        <f t="shared" si="11"/>
        <v>0</v>
      </c>
    </row>
    <row r="47" spans="1:26" s="69" customFormat="1" ht="15" customHeight="1" outlineLevel="1" collapsed="1" x14ac:dyDescent="0.3">
      <c r="A47" s="20"/>
      <c r="B47" s="11" t="str">
        <f>CONCATENATE("     ","Advertising/Promo                                 ")</f>
        <v xml:space="preserve">     Advertising/Promo                                 </v>
      </c>
      <c r="C47" s="11"/>
      <c r="D47" s="2">
        <f>SUM(OSRRefD22_2x_0)</f>
        <v>36.700000000000003</v>
      </c>
      <c r="E47" s="2"/>
      <c r="F47" s="5">
        <f t="shared" si="4"/>
        <v>4.2990649826514576E-3</v>
      </c>
      <c r="G47" s="2"/>
      <c r="H47" s="2">
        <f>SUM(OSRRefH22_2x_0)</f>
        <v>50</v>
      </c>
      <c r="I47" s="2"/>
      <c r="J47" s="5">
        <f t="shared" si="5"/>
        <v>8.9285714285714281E-3</v>
      </c>
      <c r="K47" s="2"/>
      <c r="L47" s="2">
        <f t="shared" si="6"/>
        <v>-13.299999999999997</v>
      </c>
      <c r="M47" s="2"/>
      <c r="N47" s="5">
        <f t="shared" si="7"/>
        <v>-0.26599999999999996</v>
      </c>
      <c r="O47" s="11"/>
      <c r="P47" s="2">
        <f>SUM(OSRRefP22_2x_0)</f>
        <v>188.55</v>
      </c>
      <c r="Q47" s="2"/>
      <c r="R47" s="5">
        <f t="shared" si="8"/>
        <v>8.1270241591795036E-4</v>
      </c>
      <c r="S47" s="2"/>
      <c r="T47" s="2">
        <f>SUM(OSRRefT22_2x_0)</f>
        <v>600</v>
      </c>
      <c r="U47" s="2"/>
      <c r="V47" s="5">
        <f t="shared" si="9"/>
        <v>1.4780873549626783E-3</v>
      </c>
      <c r="W47" s="2"/>
      <c r="X47" s="2">
        <f t="shared" si="10"/>
        <v>-411.45</v>
      </c>
      <c r="Y47" s="2"/>
      <c r="Z47" s="5">
        <f t="shared" si="11"/>
        <v>-0.68574999999999997</v>
      </c>
    </row>
    <row r="48" spans="1:26" s="70" customFormat="1" ht="15" hidden="1" customHeight="1" outlineLevel="2" x14ac:dyDescent="0.3">
      <c r="A48" s="21"/>
      <c r="B48" s="9" t="str">
        <f>CONCATENATE("          ","6362"," - ","ADVERTISING EXPENSE")</f>
        <v xml:space="preserve">          6362 - ADVERTISING EXPENSE</v>
      </c>
      <c r="C48" s="9"/>
      <c r="D48" s="6">
        <v>36.700000000000003</v>
      </c>
      <c r="E48" s="3"/>
      <c r="F48" s="7">
        <f t="shared" si="4"/>
        <v>4.2990649826514576E-3</v>
      </c>
      <c r="G48" s="3"/>
      <c r="H48" s="6">
        <v>50</v>
      </c>
      <c r="I48" s="3"/>
      <c r="J48" s="7">
        <f t="shared" si="5"/>
        <v>8.9285714285714281E-3</v>
      </c>
      <c r="K48" s="3"/>
      <c r="L48" s="6">
        <f t="shared" si="6"/>
        <v>-13.299999999999997</v>
      </c>
      <c r="M48" s="3"/>
      <c r="N48" s="7">
        <f t="shared" si="7"/>
        <v>-0.26599999999999996</v>
      </c>
      <c r="O48" s="9"/>
      <c r="P48" s="6">
        <v>188.55</v>
      </c>
      <c r="Q48" s="3"/>
      <c r="R48" s="7">
        <f t="shared" si="8"/>
        <v>8.1270241591795036E-4</v>
      </c>
      <c r="S48" s="3"/>
      <c r="T48" s="6">
        <v>600</v>
      </c>
      <c r="U48" s="3"/>
      <c r="V48" s="7">
        <f t="shared" si="9"/>
        <v>1.4780873549626783E-3</v>
      </c>
      <c r="W48" s="3"/>
      <c r="X48" s="6">
        <f t="shared" si="10"/>
        <v>-411.45</v>
      </c>
      <c r="Y48" s="3"/>
      <c r="Z48" s="7">
        <f t="shared" si="11"/>
        <v>-0.68574999999999997</v>
      </c>
    </row>
    <row r="49" spans="1:26" s="69" customFormat="1" ht="15" customHeight="1" outlineLevel="1" collapsed="1" x14ac:dyDescent="0.3">
      <c r="A49" s="20"/>
      <c r="B49" s="11" t="str">
        <f>CONCATENATE("     ","Depreciation                                      ")</f>
        <v xml:space="preserve">     Depreciation                                      </v>
      </c>
      <c r="C49" s="11"/>
      <c r="D49" s="2">
        <f>SUM(OSRRefD22_3x_0)</f>
        <v>169.92</v>
      </c>
      <c r="E49" s="2"/>
      <c r="F49" s="5">
        <f t="shared" si="4"/>
        <v>1.9904553728941024E-2</v>
      </c>
      <c r="G49" s="2"/>
      <c r="H49" s="2">
        <f>SUM(OSRRefH22_3x_0)</f>
        <v>170</v>
      </c>
      <c r="I49" s="2"/>
      <c r="J49" s="5">
        <f t="shared" si="5"/>
        <v>3.0357142857142857E-2</v>
      </c>
      <c r="K49" s="2"/>
      <c r="L49" s="2">
        <f t="shared" si="6"/>
        <v>-8.0000000000012506E-2</v>
      </c>
      <c r="M49" s="2"/>
      <c r="N49" s="5">
        <f t="shared" si="7"/>
        <v>-4.7058823529419122E-4</v>
      </c>
      <c r="O49" s="11"/>
      <c r="P49" s="2">
        <f>SUM(OSRRefP22_3x_0)</f>
        <v>2038.6</v>
      </c>
      <c r="Q49" s="2"/>
      <c r="R49" s="5">
        <f t="shared" si="8"/>
        <v>8.7869273141889873E-3</v>
      </c>
      <c r="S49" s="2"/>
      <c r="T49" s="2">
        <f>SUM(OSRRefT22_3x_0)</f>
        <v>2040</v>
      </c>
      <c r="U49" s="2"/>
      <c r="V49" s="5">
        <f t="shared" si="9"/>
        <v>5.0254970068731065E-3</v>
      </c>
      <c r="W49" s="2"/>
      <c r="X49" s="2">
        <f t="shared" si="10"/>
        <v>-1.4000000000000909</v>
      </c>
      <c r="Y49" s="2"/>
      <c r="Z49" s="5">
        <f t="shared" si="11"/>
        <v>-6.8627450980396614E-4</v>
      </c>
    </row>
    <row r="50" spans="1:26" s="70" customFormat="1" ht="15" hidden="1" customHeight="1" outlineLevel="2" x14ac:dyDescent="0.3">
      <c r="A50" s="21"/>
      <c r="B50" s="9" t="str">
        <f>CONCATENATE("          ","6322"," - ","EQUIPMENT DEPRECIATION EXPENSE")</f>
        <v xml:space="preserve">          6322 - EQUIPMENT DEPRECIATION EXPENSE</v>
      </c>
      <c r="C50" s="9"/>
      <c r="D50" s="6">
        <v>169.92</v>
      </c>
      <c r="E50" s="3"/>
      <c r="F50" s="7">
        <f t="shared" si="4"/>
        <v>1.9904553728941024E-2</v>
      </c>
      <c r="G50" s="3"/>
      <c r="H50" s="6">
        <v>170</v>
      </c>
      <c r="I50" s="3"/>
      <c r="J50" s="7">
        <f t="shared" si="5"/>
        <v>3.0357142857142857E-2</v>
      </c>
      <c r="K50" s="3"/>
      <c r="L50" s="6">
        <f t="shared" si="6"/>
        <v>-8.0000000000012506E-2</v>
      </c>
      <c r="M50" s="3"/>
      <c r="N50" s="7">
        <f t="shared" si="7"/>
        <v>-4.7058823529419122E-4</v>
      </c>
      <c r="O50" s="9"/>
      <c r="P50" s="6">
        <v>2038.6</v>
      </c>
      <c r="Q50" s="3"/>
      <c r="R50" s="7">
        <f t="shared" si="8"/>
        <v>8.7869273141889873E-3</v>
      </c>
      <c r="S50" s="3"/>
      <c r="T50" s="6">
        <v>2040</v>
      </c>
      <c r="U50" s="3"/>
      <c r="V50" s="7">
        <f t="shared" si="9"/>
        <v>5.0254970068731065E-3</v>
      </c>
      <c r="W50" s="3"/>
      <c r="X50" s="6">
        <f t="shared" si="10"/>
        <v>-1.4000000000000909</v>
      </c>
      <c r="Y50" s="3"/>
      <c r="Z50" s="7">
        <f t="shared" si="11"/>
        <v>-6.8627450980396614E-4</v>
      </c>
    </row>
    <row r="51" spans="1:26" s="69" customFormat="1" ht="15" customHeight="1" outlineLevel="1" collapsed="1" x14ac:dyDescent="0.3">
      <c r="A51" s="20"/>
      <c r="B51" s="11" t="str">
        <f>CONCATENATE("     ","Equipment Rental                                  ")</f>
        <v xml:space="preserve">     Equipment Rental                                  </v>
      </c>
      <c r="C51" s="11"/>
      <c r="D51" s="2">
        <f>SUM(OSRRefD22_4x_0)</f>
        <v>1609.35</v>
      </c>
      <c r="E51" s="2"/>
      <c r="F51" s="5">
        <f t="shared" si="4"/>
        <v>0.1885204422297036</v>
      </c>
      <c r="G51" s="2"/>
      <c r="H51" s="2">
        <f>SUM(OSRRefH22_4x_0)</f>
        <v>1300</v>
      </c>
      <c r="I51" s="2"/>
      <c r="J51" s="5">
        <f t="shared" si="5"/>
        <v>0.23214285714285715</v>
      </c>
      <c r="K51" s="2"/>
      <c r="L51" s="2">
        <f t="shared" si="6"/>
        <v>309.34999999999991</v>
      </c>
      <c r="M51" s="2"/>
      <c r="N51" s="5">
        <f t="shared" si="7"/>
        <v>0.23796153846153839</v>
      </c>
      <c r="O51" s="11"/>
      <c r="P51" s="2">
        <f>SUM(OSRRefP22_4x_0)</f>
        <v>14962.65</v>
      </c>
      <c r="Q51" s="2"/>
      <c r="R51" s="5">
        <f t="shared" si="8"/>
        <v>6.4493141360565998E-2</v>
      </c>
      <c r="S51" s="2"/>
      <c r="T51" s="2">
        <f>SUM(OSRRefT22_4x_0)</f>
        <v>15400</v>
      </c>
      <c r="U51" s="2"/>
      <c r="V51" s="5">
        <f t="shared" si="9"/>
        <v>3.7937575444042075E-2</v>
      </c>
      <c r="W51" s="2"/>
      <c r="X51" s="2">
        <f t="shared" si="10"/>
        <v>-437.35000000000036</v>
      </c>
      <c r="Y51" s="2"/>
      <c r="Z51" s="5">
        <f t="shared" si="11"/>
        <v>-2.8399350649350674E-2</v>
      </c>
    </row>
    <row r="52" spans="1:26" s="70" customFormat="1" ht="15" hidden="1" customHeight="1" outlineLevel="2" x14ac:dyDescent="0.3">
      <c r="A52" s="21"/>
      <c r="B52" s="9" t="str">
        <f>CONCATENATE("          ","6351"," - ","EQUIPMENT RENTAL")</f>
        <v xml:space="preserve">          6351 - EQUIPMENT RENTAL</v>
      </c>
      <c r="C52" s="9"/>
      <c r="D52" s="6">
        <v>1609.35</v>
      </c>
      <c r="E52" s="3"/>
      <c r="F52" s="7">
        <f t="shared" si="4"/>
        <v>0.1885204422297036</v>
      </c>
      <c r="G52" s="3"/>
      <c r="H52" s="6">
        <v>1300</v>
      </c>
      <c r="I52" s="3"/>
      <c r="J52" s="7">
        <f t="shared" si="5"/>
        <v>0.23214285714285715</v>
      </c>
      <c r="K52" s="3"/>
      <c r="L52" s="6">
        <f t="shared" si="6"/>
        <v>309.34999999999991</v>
      </c>
      <c r="M52" s="3"/>
      <c r="N52" s="7">
        <f t="shared" si="7"/>
        <v>0.23796153846153839</v>
      </c>
      <c r="O52" s="9"/>
      <c r="P52" s="6">
        <v>14962.65</v>
      </c>
      <c r="Q52" s="3"/>
      <c r="R52" s="7">
        <f t="shared" si="8"/>
        <v>6.4493141360565998E-2</v>
      </c>
      <c r="S52" s="3"/>
      <c r="T52" s="6">
        <v>15400</v>
      </c>
      <c r="U52" s="3"/>
      <c r="V52" s="7">
        <f t="shared" si="9"/>
        <v>3.7937575444042075E-2</v>
      </c>
      <c r="W52" s="3"/>
      <c r="X52" s="6">
        <f t="shared" si="10"/>
        <v>-437.35000000000036</v>
      </c>
      <c r="Y52" s="3"/>
      <c r="Z52" s="7">
        <f t="shared" si="11"/>
        <v>-2.8399350649350674E-2</v>
      </c>
    </row>
    <row r="53" spans="1:26" s="69" customFormat="1" ht="15" customHeight="1" outlineLevel="1" collapsed="1" x14ac:dyDescent="0.3">
      <c r="A53" s="20"/>
      <c r="B53" s="11" t="str">
        <f>CONCATENATE("     ","Freight out/Postage                               ")</f>
        <v xml:space="preserve">     Freight out/Postage                               </v>
      </c>
      <c r="C53" s="11"/>
      <c r="D53" s="2">
        <f>SUM(OSRRefD22_5x_0)</f>
        <v>-1027.2299999999996</v>
      </c>
      <c r="E53" s="2"/>
      <c r="F53" s="5">
        <f t="shared" si="4"/>
        <v>-0.12033047744220857</v>
      </c>
      <c r="G53" s="2"/>
      <c r="H53" s="2">
        <f>SUM(OSRRefH22_5x_0)</f>
        <v>-3000</v>
      </c>
      <c r="I53" s="2"/>
      <c r="J53" s="5">
        <f t="shared" si="5"/>
        <v>-0.5357142857142857</v>
      </c>
      <c r="K53" s="2"/>
      <c r="L53" s="2">
        <f t="shared" si="6"/>
        <v>1972.7700000000004</v>
      </c>
      <c r="M53" s="2"/>
      <c r="N53" s="5">
        <f t="shared" si="7"/>
        <v>-0.65759000000000012</v>
      </c>
      <c r="O53" s="11"/>
      <c r="P53" s="2">
        <f>SUM(OSRRefP22_5x_0)</f>
        <v>-71731.819999999978</v>
      </c>
      <c r="Q53" s="2"/>
      <c r="R53" s="5">
        <f t="shared" si="8"/>
        <v>-0.3091838950527262</v>
      </c>
      <c r="S53" s="2"/>
      <c r="T53" s="2">
        <f>SUM(OSRRefT22_5x_0)</f>
        <v>-35700</v>
      </c>
      <c r="U53" s="2"/>
      <c r="V53" s="5">
        <f t="shared" si="9"/>
        <v>-8.7946197620279359E-2</v>
      </c>
      <c r="W53" s="2"/>
      <c r="X53" s="2">
        <f t="shared" si="10"/>
        <v>-36031.819999999978</v>
      </c>
      <c r="Y53" s="2"/>
      <c r="Z53" s="5">
        <f t="shared" si="11"/>
        <v>1.0092946778711478</v>
      </c>
    </row>
    <row r="54" spans="1:26" s="70" customFormat="1" ht="15" hidden="1" customHeight="1" outlineLevel="2" x14ac:dyDescent="0.3">
      <c r="A54" s="21"/>
      <c r="B54" s="9" t="str">
        <f>CONCATENATE("          ","6305"," - ","FREIGHT OUT")</f>
        <v xml:space="preserve">          6305 - FREIGHT OUT</v>
      </c>
      <c r="C54" s="9"/>
      <c r="D54" s="6">
        <v>12430.73</v>
      </c>
      <c r="E54" s="3"/>
      <c r="F54" s="7">
        <f t="shared" si="4"/>
        <v>1.4561448515475461</v>
      </c>
      <c r="G54" s="3"/>
      <c r="H54" s="6">
        <v>1500</v>
      </c>
      <c r="I54" s="3"/>
      <c r="J54" s="7">
        <f t="shared" si="5"/>
        <v>0.26785714285714285</v>
      </c>
      <c r="K54" s="3"/>
      <c r="L54" s="6">
        <f t="shared" si="6"/>
        <v>10930.73</v>
      </c>
      <c r="M54" s="3"/>
      <c r="N54" s="7">
        <f t="shared" si="7"/>
        <v>7.2871533333333334</v>
      </c>
      <c r="O54" s="9"/>
      <c r="P54" s="6">
        <v>132752.45000000001</v>
      </c>
      <c r="Q54" s="3"/>
      <c r="R54" s="7">
        <f t="shared" si="8"/>
        <v>0.57219961195453151</v>
      </c>
      <c r="S54" s="3"/>
      <c r="T54" s="6">
        <v>138800</v>
      </c>
      <c r="U54" s="3"/>
      <c r="V54" s="7">
        <f t="shared" si="9"/>
        <v>0.34193087478136625</v>
      </c>
      <c r="W54" s="3"/>
      <c r="X54" s="6">
        <f t="shared" si="10"/>
        <v>-6047.5499999999884</v>
      </c>
      <c r="Y54" s="3"/>
      <c r="Z54" s="7">
        <f t="shared" si="11"/>
        <v>-4.3570244956772253E-2</v>
      </c>
    </row>
    <row r="55" spans="1:26" s="70" customFormat="1" ht="15" hidden="1" customHeight="1" outlineLevel="2" x14ac:dyDescent="0.3">
      <c r="A55" s="21"/>
      <c r="B55" s="9" t="str">
        <f>CONCATENATE("          ","6307"," - ","POSTAGE")</f>
        <v xml:space="preserve">          6307 - POSTAGE</v>
      </c>
      <c r="C55" s="9"/>
      <c r="D55" s="6">
        <v>-13457.96</v>
      </c>
      <c r="E55" s="3"/>
      <c r="F55" s="7">
        <f t="shared" si="4"/>
        <v>-1.5764753289897548</v>
      </c>
      <c r="G55" s="3"/>
      <c r="H55" s="6">
        <v>-4500</v>
      </c>
      <c r="I55" s="3"/>
      <c r="J55" s="7">
        <f t="shared" si="5"/>
        <v>-0.8035714285714286</v>
      </c>
      <c r="K55" s="3"/>
      <c r="L55" s="6">
        <f t="shared" si="6"/>
        <v>-8957.9599999999991</v>
      </c>
      <c r="M55" s="3"/>
      <c r="N55" s="7">
        <f t="shared" si="7"/>
        <v>1.9906577777777776</v>
      </c>
      <c r="O55" s="9"/>
      <c r="P55" s="6">
        <v>-204484.27</v>
      </c>
      <c r="Q55" s="3"/>
      <c r="R55" s="7">
        <f t="shared" si="8"/>
        <v>-0.88138350700725776</v>
      </c>
      <c r="S55" s="3"/>
      <c r="T55" s="6">
        <v>-174500</v>
      </c>
      <c r="U55" s="3"/>
      <c r="V55" s="7">
        <f t="shared" si="9"/>
        <v>-0.42987707240164558</v>
      </c>
      <c r="W55" s="3"/>
      <c r="X55" s="6">
        <f t="shared" si="10"/>
        <v>-29984.26999999999</v>
      </c>
      <c r="Y55" s="3"/>
      <c r="Z55" s="7">
        <f t="shared" si="11"/>
        <v>0.17182962750716327</v>
      </c>
    </row>
    <row r="56" spans="1:26" s="69" customFormat="1" ht="15" customHeight="1" outlineLevel="1" collapsed="1" x14ac:dyDescent="0.3">
      <c r="A56" s="20"/>
      <c r="B56" s="11" t="str">
        <f>CONCATENATE("     ","General                                           ")</f>
        <v xml:space="preserve">     General                                           </v>
      </c>
      <c r="C56" s="11"/>
      <c r="D56" s="2">
        <f>SUM(OSRRefD22_6x_0)</f>
        <v>0</v>
      </c>
      <c r="E56" s="2"/>
      <c r="F56" s="5">
        <f t="shared" si="4"/>
        <v>0</v>
      </c>
      <c r="G56" s="2"/>
      <c r="H56" s="2">
        <f>SUM(OSRRefH22_6x_0)</f>
        <v>0</v>
      </c>
      <c r="I56" s="2"/>
      <c r="J56" s="5">
        <f t="shared" si="5"/>
        <v>0</v>
      </c>
      <c r="K56" s="2"/>
      <c r="L56" s="2">
        <f t="shared" si="6"/>
        <v>0</v>
      </c>
      <c r="M56" s="2"/>
      <c r="N56" s="5">
        <f t="shared" si="7"/>
        <v>0</v>
      </c>
      <c r="O56" s="11"/>
      <c r="P56" s="2">
        <f>SUM(OSRRefP22_6x_0)</f>
        <v>91.31</v>
      </c>
      <c r="Q56" s="2"/>
      <c r="R56" s="5">
        <f t="shared" si="8"/>
        <v>3.9357124156705407E-4</v>
      </c>
      <c r="S56" s="2"/>
      <c r="T56" s="2">
        <f>SUM(OSRRefT22_6x_0)</f>
        <v>0</v>
      </c>
      <c r="U56" s="2"/>
      <c r="V56" s="5">
        <f t="shared" si="9"/>
        <v>0</v>
      </c>
      <c r="W56" s="2"/>
      <c r="X56" s="2">
        <f t="shared" si="10"/>
        <v>91.31</v>
      </c>
      <c r="Y56" s="2"/>
      <c r="Z56" s="5">
        <f t="shared" si="11"/>
        <v>0</v>
      </c>
    </row>
    <row r="57" spans="1:26" s="70" customFormat="1" ht="15" hidden="1" customHeight="1" outlineLevel="2" x14ac:dyDescent="0.3">
      <c r="A57" s="21"/>
      <c r="B57" s="9" t="str">
        <f>CONCATENATE("          ","6279"," - ","GENERAL EXPENSE")</f>
        <v xml:space="preserve">          6279 - GENERAL EXPENSE</v>
      </c>
      <c r="C57" s="9"/>
      <c r="D57" s="6"/>
      <c r="E57" s="3"/>
      <c r="F57" s="7">
        <f t="shared" ref="F57:F75" si="12">IF(D$12=0,0,D57/D$12)</f>
        <v>0</v>
      </c>
      <c r="G57" s="3"/>
      <c r="H57" s="6"/>
      <c r="I57" s="3"/>
      <c r="J57" s="7">
        <f t="shared" ref="J57:J75" si="13">IF(H$12=0,0,H57/H$12)</f>
        <v>0</v>
      </c>
      <c r="K57" s="3"/>
      <c r="L57" s="6">
        <f t="shared" ref="L57:L75" si="14">+D57-H57</f>
        <v>0</v>
      </c>
      <c r="M57" s="3"/>
      <c r="N57" s="7">
        <f t="shared" ref="N57:N75" si="15">IF(H57=0,0,L57/H57)</f>
        <v>0</v>
      </c>
      <c r="O57" s="9"/>
      <c r="P57" s="6">
        <v>91.31</v>
      </c>
      <c r="Q57" s="3"/>
      <c r="R57" s="7">
        <f t="shared" ref="R57:R75" si="16">IF(P$12=0,0,P57/P$12)</f>
        <v>3.9357124156705407E-4</v>
      </c>
      <c r="S57" s="3"/>
      <c r="T57" s="6"/>
      <c r="U57" s="3"/>
      <c r="V57" s="7">
        <f t="shared" ref="V57:V75" si="17">IF(T$12=0,0,T57/T$12)</f>
        <v>0</v>
      </c>
      <c r="W57" s="3"/>
      <c r="X57" s="6">
        <f t="shared" ref="X57:X75" si="18">+P57-T57</f>
        <v>91.31</v>
      </c>
      <c r="Y57" s="3"/>
      <c r="Z57" s="7">
        <f t="shared" ref="Z57:Z75" si="19">IF(T57=0,0,X57/T57)</f>
        <v>0</v>
      </c>
    </row>
    <row r="58" spans="1:26" s="69" customFormat="1" ht="15" customHeight="1" outlineLevel="1" collapsed="1" x14ac:dyDescent="0.3">
      <c r="A58" s="20"/>
      <c r="B58" s="11" t="str">
        <f>CONCATENATE("     ","Professional Services                             ")</f>
        <v xml:space="preserve">     Professional Services                             </v>
      </c>
      <c r="C58" s="11"/>
      <c r="D58" s="2">
        <f>SUM(OSRRefD22_7x_0)</f>
        <v>150</v>
      </c>
      <c r="E58" s="2"/>
      <c r="F58" s="5">
        <f t="shared" si="12"/>
        <v>1.7571110283316583E-2</v>
      </c>
      <c r="G58" s="2"/>
      <c r="H58" s="2">
        <f>SUM(OSRRefH22_7x_0)</f>
        <v>0</v>
      </c>
      <c r="I58" s="2"/>
      <c r="J58" s="5">
        <f t="shared" si="13"/>
        <v>0</v>
      </c>
      <c r="K58" s="2"/>
      <c r="L58" s="2">
        <f t="shared" si="14"/>
        <v>150</v>
      </c>
      <c r="M58" s="2"/>
      <c r="N58" s="5">
        <f t="shared" si="15"/>
        <v>0</v>
      </c>
      <c r="O58" s="11"/>
      <c r="P58" s="2">
        <f>SUM(OSRRefP22_7x_0)</f>
        <v>150</v>
      </c>
      <c r="Q58" s="2"/>
      <c r="R58" s="5">
        <f t="shared" si="16"/>
        <v>6.4654130144626122E-4</v>
      </c>
      <c r="S58" s="2"/>
      <c r="T58" s="2">
        <f>SUM(OSRRefT22_7x_0)</f>
        <v>0</v>
      </c>
      <c r="U58" s="2"/>
      <c r="V58" s="5">
        <f t="shared" si="17"/>
        <v>0</v>
      </c>
      <c r="W58" s="2"/>
      <c r="X58" s="2">
        <f t="shared" si="18"/>
        <v>150</v>
      </c>
      <c r="Y58" s="2"/>
      <c r="Z58" s="5">
        <f t="shared" si="19"/>
        <v>0</v>
      </c>
    </row>
    <row r="59" spans="1:26" s="70" customFormat="1" ht="15" hidden="1" customHeight="1" outlineLevel="2" x14ac:dyDescent="0.3">
      <c r="A59" s="21"/>
      <c r="B59" s="9" t="str">
        <f>CONCATENATE("          ","6336"," - ","PROFESSIONAL SERVICES")</f>
        <v xml:space="preserve">          6336 - PROFESSIONAL SERVICES</v>
      </c>
      <c r="C59" s="9"/>
      <c r="D59" s="6">
        <v>150</v>
      </c>
      <c r="E59" s="3"/>
      <c r="F59" s="7">
        <f t="shared" si="12"/>
        <v>1.7571110283316583E-2</v>
      </c>
      <c r="G59" s="3"/>
      <c r="H59" s="6"/>
      <c r="I59" s="3"/>
      <c r="J59" s="7">
        <f t="shared" si="13"/>
        <v>0</v>
      </c>
      <c r="K59" s="3"/>
      <c r="L59" s="6">
        <f t="shared" si="14"/>
        <v>150</v>
      </c>
      <c r="M59" s="3"/>
      <c r="N59" s="7">
        <f t="shared" si="15"/>
        <v>0</v>
      </c>
      <c r="O59" s="9"/>
      <c r="P59" s="6">
        <v>150</v>
      </c>
      <c r="Q59" s="3"/>
      <c r="R59" s="7">
        <f t="shared" si="16"/>
        <v>6.4654130144626122E-4</v>
      </c>
      <c r="S59" s="3"/>
      <c r="T59" s="6"/>
      <c r="U59" s="3"/>
      <c r="V59" s="7">
        <f t="shared" si="17"/>
        <v>0</v>
      </c>
      <c r="W59" s="3"/>
      <c r="X59" s="6">
        <f t="shared" si="18"/>
        <v>150</v>
      </c>
      <c r="Y59" s="3"/>
      <c r="Z59" s="7">
        <f t="shared" si="19"/>
        <v>0</v>
      </c>
    </row>
    <row r="60" spans="1:26" s="69" customFormat="1" ht="15" customHeight="1" outlineLevel="1" collapsed="1" x14ac:dyDescent="0.3">
      <c r="A60" s="20"/>
      <c r="B60" s="11" t="str">
        <f>CONCATENATE("     ","Repair and Maintenance                            ")</f>
        <v xml:space="preserve">     Repair and Maintenance                            </v>
      </c>
      <c r="C60" s="11"/>
      <c r="D60" s="2">
        <f>SUM(OSRRefD22_8x_0)</f>
        <v>2089.2200000000003</v>
      </c>
      <c r="E60" s="2"/>
      <c r="F60" s="5">
        <f t="shared" si="12"/>
        <v>0.24473276684073783</v>
      </c>
      <c r="G60" s="2"/>
      <c r="H60" s="2">
        <f>SUM(OSRRefH22_8x_0)</f>
        <v>5600</v>
      </c>
      <c r="I60" s="2"/>
      <c r="J60" s="5">
        <f t="shared" si="13"/>
        <v>1</v>
      </c>
      <c r="K60" s="2"/>
      <c r="L60" s="2">
        <f t="shared" si="14"/>
        <v>-3510.7799999999997</v>
      </c>
      <c r="M60" s="2"/>
      <c r="N60" s="5">
        <f t="shared" si="15"/>
        <v>-0.62692499999999995</v>
      </c>
      <c r="O60" s="11"/>
      <c r="P60" s="2">
        <f>SUM(OSRRefP22_8x_0)</f>
        <v>33448.79</v>
      </c>
      <c r="Q60" s="2"/>
      <c r="R60" s="5">
        <f t="shared" si="16"/>
        <v>0.14417349478935124</v>
      </c>
      <c r="S60" s="2"/>
      <c r="T60" s="2">
        <f>SUM(OSRRefT22_8x_0)</f>
        <v>66100</v>
      </c>
      <c r="U60" s="2"/>
      <c r="V60" s="5">
        <f t="shared" si="17"/>
        <v>0.1628359569383884</v>
      </c>
      <c r="W60" s="2"/>
      <c r="X60" s="2">
        <f t="shared" si="18"/>
        <v>-32651.21</v>
      </c>
      <c r="Y60" s="2"/>
      <c r="Z60" s="5">
        <f t="shared" si="19"/>
        <v>-0.49396686838124054</v>
      </c>
    </row>
    <row r="61" spans="1:26" s="70" customFormat="1" ht="15" hidden="1" customHeight="1" outlineLevel="2" x14ac:dyDescent="0.3">
      <c r="A61" s="21"/>
      <c r="B61" s="9" t="str">
        <f>CONCATENATE("          ","6371"," - ","COMPUTER SOFTWARE MAINTENANCE")</f>
        <v xml:space="preserve">          6371 - COMPUTER SOFTWARE MAINTENANCE</v>
      </c>
      <c r="C61" s="9"/>
      <c r="D61" s="6"/>
      <c r="E61" s="3"/>
      <c r="F61" s="7">
        <f t="shared" si="12"/>
        <v>0</v>
      </c>
      <c r="G61" s="3"/>
      <c r="H61" s="6"/>
      <c r="I61" s="3"/>
      <c r="J61" s="7">
        <f t="shared" si="13"/>
        <v>0</v>
      </c>
      <c r="K61" s="3"/>
      <c r="L61" s="6">
        <f t="shared" si="14"/>
        <v>0</v>
      </c>
      <c r="M61" s="3"/>
      <c r="N61" s="7">
        <f t="shared" si="15"/>
        <v>0</v>
      </c>
      <c r="O61" s="9"/>
      <c r="P61" s="6"/>
      <c r="Q61" s="3"/>
      <c r="R61" s="7">
        <f t="shared" si="16"/>
        <v>0</v>
      </c>
      <c r="S61" s="3"/>
      <c r="T61" s="6">
        <v>100</v>
      </c>
      <c r="U61" s="3"/>
      <c r="V61" s="7">
        <f t="shared" si="17"/>
        <v>2.4634789249377973E-4</v>
      </c>
      <c r="W61" s="3"/>
      <c r="X61" s="6">
        <f t="shared" si="18"/>
        <v>-100</v>
      </c>
      <c r="Y61" s="3"/>
      <c r="Z61" s="7">
        <f t="shared" si="19"/>
        <v>-1</v>
      </c>
    </row>
    <row r="62" spans="1:26" s="70" customFormat="1" ht="15" hidden="1" customHeight="1" outlineLevel="2" x14ac:dyDescent="0.3">
      <c r="A62" s="21"/>
      <c r="B62" s="9" t="str">
        <f>CONCATENATE("          ","6373"," - ","MAINTENANCE CONTRACTS")</f>
        <v xml:space="preserve">          6373 - MAINTENANCE CONTRACTS</v>
      </c>
      <c r="C62" s="9"/>
      <c r="D62" s="6">
        <v>513.59</v>
      </c>
      <c r="E62" s="3"/>
      <c r="F62" s="7">
        <f t="shared" si="12"/>
        <v>6.0162310202723765E-2</v>
      </c>
      <c r="G62" s="3"/>
      <c r="H62" s="6">
        <v>5600</v>
      </c>
      <c r="I62" s="3"/>
      <c r="J62" s="7">
        <f t="shared" si="13"/>
        <v>1</v>
      </c>
      <c r="K62" s="3"/>
      <c r="L62" s="6">
        <f t="shared" si="14"/>
        <v>-5086.41</v>
      </c>
      <c r="M62" s="3"/>
      <c r="N62" s="7">
        <f t="shared" si="15"/>
        <v>-0.90828750000000003</v>
      </c>
      <c r="O62" s="9"/>
      <c r="P62" s="6">
        <v>11056.42</v>
      </c>
      <c r="Q62" s="3"/>
      <c r="R62" s="7">
        <f t="shared" si="16"/>
        <v>4.7656214507576476E-2</v>
      </c>
      <c r="S62" s="3"/>
      <c r="T62" s="6">
        <v>66000</v>
      </c>
      <c r="U62" s="3"/>
      <c r="V62" s="7">
        <f t="shared" si="17"/>
        <v>0.16258960904589462</v>
      </c>
      <c r="W62" s="3"/>
      <c r="X62" s="6">
        <f t="shared" si="18"/>
        <v>-54943.58</v>
      </c>
      <c r="Y62" s="3"/>
      <c r="Z62" s="7">
        <f t="shared" si="19"/>
        <v>-0.83247848484848486</v>
      </c>
    </row>
    <row r="63" spans="1:26" s="70" customFormat="1" ht="15" hidden="1" customHeight="1" outlineLevel="2" x14ac:dyDescent="0.3">
      <c r="A63" s="21"/>
      <c r="B63" s="9" t="str">
        <f>CONCATENATE("          ","6375"," - ","OUTSIDE REPAIRS &amp; MAINTENANCE")</f>
        <v xml:space="preserve">          6375 - OUTSIDE REPAIRS &amp; MAINTENANCE</v>
      </c>
      <c r="C63" s="9"/>
      <c r="D63" s="6">
        <v>1575.63</v>
      </c>
      <c r="E63" s="3"/>
      <c r="F63" s="7">
        <f t="shared" si="12"/>
        <v>0.18457045663801405</v>
      </c>
      <c r="G63" s="3"/>
      <c r="H63" s="6"/>
      <c r="I63" s="3"/>
      <c r="J63" s="7">
        <f t="shared" si="13"/>
        <v>0</v>
      </c>
      <c r="K63" s="3"/>
      <c r="L63" s="6">
        <f t="shared" si="14"/>
        <v>1575.63</v>
      </c>
      <c r="M63" s="3"/>
      <c r="N63" s="7">
        <f t="shared" si="15"/>
        <v>0</v>
      </c>
      <c r="O63" s="9"/>
      <c r="P63" s="6">
        <v>22392.37</v>
      </c>
      <c r="Q63" s="3"/>
      <c r="R63" s="7">
        <f t="shared" si="16"/>
        <v>9.6517280281774767E-2</v>
      </c>
      <c r="S63" s="3"/>
      <c r="T63" s="6"/>
      <c r="U63" s="3"/>
      <c r="V63" s="7">
        <f t="shared" si="17"/>
        <v>0</v>
      </c>
      <c r="W63" s="3"/>
      <c r="X63" s="6">
        <f t="shared" si="18"/>
        <v>22392.37</v>
      </c>
      <c r="Y63" s="3"/>
      <c r="Z63" s="7">
        <f t="shared" si="19"/>
        <v>0</v>
      </c>
    </row>
    <row r="64" spans="1:26" s="69" customFormat="1" ht="15" customHeight="1" outlineLevel="1" collapsed="1" x14ac:dyDescent="0.3">
      <c r="A64" s="20"/>
      <c r="B64" s="11" t="str">
        <f>CONCATENATE("     ","Royalty &amp; Commissions                             ")</f>
        <v xml:space="preserve">     Royalty &amp; Commissions                             </v>
      </c>
      <c r="C64" s="11"/>
      <c r="D64" s="2">
        <f>SUM(OSRRefD22_9x_0)</f>
        <v>395.53</v>
      </c>
      <c r="E64" s="2"/>
      <c r="F64" s="5">
        <f t="shared" si="12"/>
        <v>4.6332675002401381E-2</v>
      </c>
      <c r="G64" s="2"/>
      <c r="H64" s="2">
        <f>SUM(OSRRefH22_9x_0)</f>
        <v>6500</v>
      </c>
      <c r="I64" s="2"/>
      <c r="J64" s="5">
        <f t="shared" si="13"/>
        <v>1.1607142857142858</v>
      </c>
      <c r="K64" s="2"/>
      <c r="L64" s="2">
        <f t="shared" si="14"/>
        <v>-6104.47</v>
      </c>
      <c r="M64" s="2"/>
      <c r="N64" s="5">
        <f t="shared" si="15"/>
        <v>-0.93914923076923085</v>
      </c>
      <c r="O64" s="11"/>
      <c r="P64" s="2">
        <f>SUM(OSRRefP22_9x_0)</f>
        <v>13706.99</v>
      </c>
      <c r="Q64" s="2"/>
      <c r="R64" s="5">
        <f t="shared" si="16"/>
        <v>5.9080901023405914E-2</v>
      </c>
      <c r="S64" s="2"/>
      <c r="T64" s="2">
        <f>SUM(OSRRefT22_9x_0)</f>
        <v>47000</v>
      </c>
      <c r="U64" s="2"/>
      <c r="V64" s="5">
        <f t="shared" si="17"/>
        <v>0.11578350947207647</v>
      </c>
      <c r="W64" s="2"/>
      <c r="X64" s="2">
        <f t="shared" si="18"/>
        <v>-33293.01</v>
      </c>
      <c r="Y64" s="2"/>
      <c r="Z64" s="5">
        <f t="shared" si="19"/>
        <v>-0.70836191489361711</v>
      </c>
    </row>
    <row r="65" spans="1:26" s="70" customFormat="1" ht="15" hidden="1" customHeight="1" outlineLevel="2" x14ac:dyDescent="0.3">
      <c r="A65" s="21"/>
      <c r="B65" s="9" t="str">
        <f>CONCATENATE("          ","6259"," - ","ROYALTY &amp; COMMISSIONS")</f>
        <v xml:space="preserve">          6259 - ROYALTY &amp; COMMISSIONS</v>
      </c>
      <c r="C65" s="9"/>
      <c r="D65" s="6">
        <v>395.53</v>
      </c>
      <c r="E65" s="3"/>
      <c r="F65" s="7">
        <f t="shared" si="12"/>
        <v>4.6332675002401381E-2</v>
      </c>
      <c r="G65" s="3"/>
      <c r="H65" s="6">
        <v>6500</v>
      </c>
      <c r="I65" s="3"/>
      <c r="J65" s="7">
        <f t="shared" si="13"/>
        <v>1.1607142857142858</v>
      </c>
      <c r="K65" s="3"/>
      <c r="L65" s="6">
        <f t="shared" si="14"/>
        <v>-6104.47</v>
      </c>
      <c r="M65" s="3"/>
      <c r="N65" s="7">
        <f t="shared" si="15"/>
        <v>-0.93914923076923085</v>
      </c>
      <c r="O65" s="9"/>
      <c r="P65" s="6">
        <v>13706.99</v>
      </c>
      <c r="Q65" s="3"/>
      <c r="R65" s="7">
        <f t="shared" si="16"/>
        <v>5.9080901023405914E-2</v>
      </c>
      <c r="S65" s="3"/>
      <c r="T65" s="6">
        <v>47000</v>
      </c>
      <c r="U65" s="3"/>
      <c r="V65" s="7">
        <f t="shared" si="17"/>
        <v>0.11578350947207647</v>
      </c>
      <c r="W65" s="3"/>
      <c r="X65" s="6">
        <f t="shared" si="18"/>
        <v>-33293.01</v>
      </c>
      <c r="Y65" s="3"/>
      <c r="Z65" s="7">
        <f t="shared" si="19"/>
        <v>-0.70836191489361711</v>
      </c>
    </row>
    <row r="66" spans="1:26" s="69" customFormat="1" ht="15" customHeight="1" outlineLevel="1" collapsed="1" x14ac:dyDescent="0.3">
      <c r="A66" s="20"/>
      <c r="B66" s="11" t="str">
        <f>CONCATENATE("     ","Subscriptions &amp; Dues                              ")</f>
        <v xml:space="preserve">     Subscriptions &amp; Dues                              </v>
      </c>
      <c r="C66" s="11"/>
      <c r="D66" s="2">
        <f>SUM(OSRRefD22_10x_0)</f>
        <v>0</v>
      </c>
      <c r="E66" s="2"/>
      <c r="F66" s="5">
        <f t="shared" si="12"/>
        <v>0</v>
      </c>
      <c r="G66" s="2"/>
      <c r="H66" s="2">
        <f>SUM(OSRRefH22_10x_0)</f>
        <v>0</v>
      </c>
      <c r="I66" s="2"/>
      <c r="J66" s="5">
        <f t="shared" si="13"/>
        <v>0</v>
      </c>
      <c r="K66" s="2"/>
      <c r="L66" s="2">
        <f t="shared" si="14"/>
        <v>0</v>
      </c>
      <c r="M66" s="2"/>
      <c r="N66" s="5">
        <f t="shared" si="15"/>
        <v>0</v>
      </c>
      <c r="O66" s="11"/>
      <c r="P66" s="2">
        <f>SUM(OSRRefP22_10x_0)</f>
        <v>5.28</v>
      </c>
      <c r="Q66" s="2"/>
      <c r="R66" s="5">
        <f t="shared" si="16"/>
        <v>2.2758253810908395E-5</v>
      </c>
      <c r="S66" s="2"/>
      <c r="T66" s="2">
        <f>SUM(OSRRefT22_10x_0)</f>
        <v>0</v>
      </c>
      <c r="U66" s="2"/>
      <c r="V66" s="5">
        <f t="shared" si="17"/>
        <v>0</v>
      </c>
      <c r="W66" s="2"/>
      <c r="X66" s="2">
        <f t="shared" si="18"/>
        <v>5.28</v>
      </c>
      <c r="Y66" s="2"/>
      <c r="Z66" s="5">
        <f t="shared" si="19"/>
        <v>0</v>
      </c>
    </row>
    <row r="67" spans="1:26" s="70" customFormat="1" ht="15" hidden="1" customHeight="1" outlineLevel="2" x14ac:dyDescent="0.3">
      <c r="A67" s="21"/>
      <c r="B67" s="9" t="str">
        <f>CONCATENATE("          ","6258"," - ","MEMBERSHIP DUES")</f>
        <v xml:space="preserve">          6258 - MEMBERSHIP DUES</v>
      </c>
      <c r="C67" s="9"/>
      <c r="D67" s="6"/>
      <c r="E67" s="3"/>
      <c r="F67" s="7">
        <f t="shared" si="12"/>
        <v>0</v>
      </c>
      <c r="G67" s="3"/>
      <c r="H67" s="6"/>
      <c r="I67" s="3"/>
      <c r="J67" s="7">
        <f t="shared" si="13"/>
        <v>0</v>
      </c>
      <c r="K67" s="3"/>
      <c r="L67" s="6">
        <f t="shared" si="14"/>
        <v>0</v>
      </c>
      <c r="M67" s="3"/>
      <c r="N67" s="7">
        <f t="shared" si="15"/>
        <v>0</v>
      </c>
      <c r="O67" s="9"/>
      <c r="P67" s="6">
        <v>5.28</v>
      </c>
      <c r="Q67" s="3"/>
      <c r="R67" s="7">
        <f t="shared" si="16"/>
        <v>2.2758253810908395E-5</v>
      </c>
      <c r="S67" s="3"/>
      <c r="T67" s="6"/>
      <c r="U67" s="3"/>
      <c r="V67" s="7">
        <f t="shared" si="17"/>
        <v>0</v>
      </c>
      <c r="W67" s="3"/>
      <c r="X67" s="6">
        <f t="shared" si="18"/>
        <v>5.28</v>
      </c>
      <c r="Y67" s="3"/>
      <c r="Z67" s="7">
        <f t="shared" si="19"/>
        <v>0</v>
      </c>
    </row>
    <row r="68" spans="1:26" s="69" customFormat="1" ht="15" customHeight="1" outlineLevel="1" collapsed="1" x14ac:dyDescent="0.3">
      <c r="A68" s="20"/>
      <c r="B68" s="11" t="str">
        <f>CONCATENATE("     ","Supplies                                          ")</f>
        <v xml:space="preserve">     Supplies                                          </v>
      </c>
      <c r="C68" s="11"/>
      <c r="D68" s="2">
        <f>SUM(OSRRefD22_11x_0)</f>
        <v>15341.210000000001</v>
      </c>
      <c r="E68" s="2"/>
      <c r="F68" s="5">
        <f t="shared" si="12"/>
        <v>1.7970806185967947</v>
      </c>
      <c r="G68" s="2"/>
      <c r="H68" s="2">
        <f>SUM(OSRRefH22_11x_0)</f>
        <v>1350</v>
      </c>
      <c r="I68" s="2"/>
      <c r="J68" s="5">
        <f t="shared" si="13"/>
        <v>0.24107142857142858</v>
      </c>
      <c r="K68" s="2"/>
      <c r="L68" s="2">
        <f t="shared" si="14"/>
        <v>13991.210000000001</v>
      </c>
      <c r="M68" s="2"/>
      <c r="N68" s="5">
        <f t="shared" si="15"/>
        <v>10.363859259259259</v>
      </c>
      <c r="O68" s="11"/>
      <c r="P68" s="2">
        <f>SUM(OSRRefP22_11x_0)</f>
        <v>69219.22</v>
      </c>
      <c r="Q68" s="2"/>
      <c r="R68" s="5">
        <f t="shared" si="16"/>
        <v>0.29835389722596717</v>
      </c>
      <c r="S68" s="2"/>
      <c r="T68" s="2">
        <f>SUM(OSRRefT22_11x_0)</f>
        <v>52300</v>
      </c>
      <c r="U68" s="2"/>
      <c r="V68" s="5">
        <f t="shared" si="17"/>
        <v>0.12883994777424679</v>
      </c>
      <c r="W68" s="2"/>
      <c r="X68" s="2">
        <f t="shared" si="18"/>
        <v>16919.22</v>
      </c>
      <c r="Y68" s="2"/>
      <c r="Z68" s="5">
        <f t="shared" si="19"/>
        <v>0.32350325047801148</v>
      </c>
    </row>
    <row r="69" spans="1:26" s="70" customFormat="1" ht="15" hidden="1" customHeight="1" outlineLevel="2" x14ac:dyDescent="0.3">
      <c r="A69" s="21"/>
      <c r="B69" s="9" t="str">
        <f>CONCATENATE("          ","6234"," - ","EXPENDABLE SUPPLIES &amp; EQUIPMEN")</f>
        <v xml:space="preserve">          6234 - EXPENDABLE SUPPLIES &amp; EQUIPMEN</v>
      </c>
      <c r="C69" s="9"/>
      <c r="D69" s="6"/>
      <c r="E69" s="3"/>
      <c r="F69" s="7">
        <f t="shared" si="12"/>
        <v>0</v>
      </c>
      <c r="G69" s="3"/>
      <c r="H69" s="6"/>
      <c r="I69" s="3"/>
      <c r="J69" s="7">
        <f t="shared" si="13"/>
        <v>0</v>
      </c>
      <c r="K69" s="3"/>
      <c r="L69" s="6">
        <f t="shared" si="14"/>
        <v>0</v>
      </c>
      <c r="M69" s="3"/>
      <c r="N69" s="7">
        <f t="shared" si="15"/>
        <v>0</v>
      </c>
      <c r="O69" s="9"/>
      <c r="P69" s="6">
        <v>4993.3100000000004</v>
      </c>
      <c r="Q69" s="3"/>
      <c r="R69" s="7">
        <f t="shared" si="16"/>
        <v>2.1522540972830871E-2</v>
      </c>
      <c r="S69" s="3"/>
      <c r="T69" s="6"/>
      <c r="U69" s="3"/>
      <c r="V69" s="7">
        <f t="shared" si="17"/>
        <v>0</v>
      </c>
      <c r="W69" s="3"/>
      <c r="X69" s="6">
        <f t="shared" si="18"/>
        <v>4993.3100000000004</v>
      </c>
      <c r="Y69" s="3"/>
      <c r="Z69" s="7">
        <f t="shared" si="19"/>
        <v>0</v>
      </c>
    </row>
    <row r="70" spans="1:26" s="70" customFormat="1" ht="15" hidden="1" customHeight="1" outlineLevel="2" x14ac:dyDescent="0.3">
      <c r="A70" s="21"/>
      <c r="B70" s="9" t="str">
        <f>CONCATENATE("          ","6241"," - ","OFFICE EXPENSE")</f>
        <v xml:space="preserve">          6241 - OFFICE EXPENSE</v>
      </c>
      <c r="C70" s="9"/>
      <c r="D70" s="6">
        <v>3343.05</v>
      </c>
      <c r="E70" s="3"/>
      <c r="F70" s="7">
        <f t="shared" si="12"/>
        <v>0.39160733488427668</v>
      </c>
      <c r="G70" s="3"/>
      <c r="H70" s="6">
        <v>50</v>
      </c>
      <c r="I70" s="3"/>
      <c r="J70" s="7">
        <f t="shared" si="13"/>
        <v>8.9285714285714281E-3</v>
      </c>
      <c r="K70" s="3"/>
      <c r="L70" s="6">
        <f t="shared" si="14"/>
        <v>3293.05</v>
      </c>
      <c r="M70" s="3"/>
      <c r="N70" s="7">
        <f t="shared" si="15"/>
        <v>65.861000000000004</v>
      </c>
      <c r="O70" s="9"/>
      <c r="P70" s="6">
        <v>14366.35</v>
      </c>
      <c r="Q70" s="3"/>
      <c r="R70" s="7">
        <f t="shared" si="16"/>
        <v>6.1922924173549963E-2</v>
      </c>
      <c r="S70" s="3"/>
      <c r="T70" s="6">
        <v>100</v>
      </c>
      <c r="U70" s="3"/>
      <c r="V70" s="7">
        <f t="shared" si="17"/>
        <v>2.4634789249377973E-4</v>
      </c>
      <c r="W70" s="3"/>
      <c r="X70" s="6">
        <f t="shared" si="18"/>
        <v>14266.35</v>
      </c>
      <c r="Y70" s="3"/>
      <c r="Z70" s="7">
        <f t="shared" si="19"/>
        <v>142.6635</v>
      </c>
    </row>
    <row r="71" spans="1:26" s="70" customFormat="1" ht="15" hidden="1" customHeight="1" outlineLevel="2" x14ac:dyDescent="0.3">
      <c r="A71" s="21"/>
      <c r="B71" s="9" t="str">
        <f>CONCATENATE("          ","6243"," - ","PAPER SUPPLIES")</f>
        <v xml:space="preserve">          6243 - PAPER SUPPLIES</v>
      </c>
      <c r="C71" s="9"/>
      <c r="D71" s="6">
        <v>742</v>
      </c>
      <c r="E71" s="3"/>
      <c r="F71" s="7">
        <f t="shared" si="12"/>
        <v>8.6918425534806026E-2</v>
      </c>
      <c r="G71" s="3"/>
      <c r="H71" s="6">
        <v>1250</v>
      </c>
      <c r="I71" s="3"/>
      <c r="J71" s="7">
        <f t="shared" si="13"/>
        <v>0.22321428571428573</v>
      </c>
      <c r="K71" s="3"/>
      <c r="L71" s="6">
        <f t="shared" si="14"/>
        <v>-508</v>
      </c>
      <c r="M71" s="3"/>
      <c r="N71" s="7">
        <f t="shared" si="15"/>
        <v>-0.40639999999999998</v>
      </c>
      <c r="O71" s="9"/>
      <c r="P71" s="6">
        <v>10832.94</v>
      </c>
      <c r="Q71" s="3"/>
      <c r="R71" s="7">
        <f t="shared" si="16"/>
        <v>4.6692954173928408E-2</v>
      </c>
      <c r="S71" s="3"/>
      <c r="T71" s="6">
        <v>38600</v>
      </c>
      <c r="U71" s="3"/>
      <c r="V71" s="7">
        <f t="shared" si="17"/>
        <v>9.5090286502598972E-2</v>
      </c>
      <c r="W71" s="3"/>
      <c r="X71" s="6">
        <f t="shared" si="18"/>
        <v>-27767.059999999998</v>
      </c>
      <c r="Y71" s="3"/>
      <c r="Z71" s="7">
        <f t="shared" si="19"/>
        <v>-0.71935388601036265</v>
      </c>
    </row>
    <row r="72" spans="1:26" s="70" customFormat="1" ht="15" hidden="1" customHeight="1" outlineLevel="2" x14ac:dyDescent="0.3">
      <c r="A72" s="21"/>
      <c r="B72" s="9" t="str">
        <f>CONCATENATE("          ","6245"," - ","PRINTING")</f>
        <v xml:space="preserve">          6245 - PRINTING</v>
      </c>
      <c r="C72" s="9"/>
      <c r="D72" s="6">
        <v>4517.24</v>
      </c>
      <c r="E72" s="3"/>
      <c r="F72" s="7">
        <f t="shared" si="12"/>
        <v>0.52915281477472664</v>
      </c>
      <c r="G72" s="3"/>
      <c r="H72" s="6">
        <v>50</v>
      </c>
      <c r="I72" s="3"/>
      <c r="J72" s="7">
        <f t="shared" si="13"/>
        <v>8.9285714285714281E-3</v>
      </c>
      <c r="K72" s="3"/>
      <c r="L72" s="6">
        <f t="shared" si="14"/>
        <v>4467.24</v>
      </c>
      <c r="M72" s="3"/>
      <c r="N72" s="7">
        <f t="shared" si="15"/>
        <v>89.344799999999992</v>
      </c>
      <c r="O72" s="9"/>
      <c r="P72" s="6">
        <v>14566.65</v>
      </c>
      <c r="Q72" s="3"/>
      <c r="R72" s="7">
        <f t="shared" si="16"/>
        <v>6.2786272324747872E-2</v>
      </c>
      <c r="S72" s="3"/>
      <c r="T72" s="6">
        <v>10395</v>
      </c>
      <c r="U72" s="3"/>
      <c r="V72" s="7">
        <f t="shared" si="17"/>
        <v>2.56078634247284E-2</v>
      </c>
      <c r="W72" s="3"/>
      <c r="X72" s="6">
        <f t="shared" si="18"/>
        <v>4171.6499999999996</v>
      </c>
      <c r="Y72" s="3"/>
      <c r="Z72" s="7">
        <f t="shared" si="19"/>
        <v>0.40131313131313129</v>
      </c>
    </row>
    <row r="73" spans="1:26" s="70" customFormat="1" ht="15" hidden="1" customHeight="1" outlineLevel="2" x14ac:dyDescent="0.3">
      <c r="A73" s="21"/>
      <c r="B73" s="9" t="str">
        <f>CONCATENATE("          ","6247"," - ","STORE SUPPLIES")</f>
        <v xml:space="preserve">          6247 - STORE SUPPLIES</v>
      </c>
      <c r="C73" s="9"/>
      <c r="D73" s="6">
        <v>6738.92</v>
      </c>
      <c r="E73" s="3"/>
      <c r="F73" s="7">
        <f t="shared" si="12"/>
        <v>0.78940204340298525</v>
      </c>
      <c r="G73" s="3"/>
      <c r="H73" s="6"/>
      <c r="I73" s="3"/>
      <c r="J73" s="7">
        <f t="shared" si="13"/>
        <v>0</v>
      </c>
      <c r="K73" s="3"/>
      <c r="L73" s="6">
        <f t="shared" si="14"/>
        <v>6738.92</v>
      </c>
      <c r="M73" s="3"/>
      <c r="N73" s="7">
        <f t="shared" si="15"/>
        <v>0</v>
      </c>
      <c r="O73" s="9"/>
      <c r="P73" s="6">
        <v>24459.97</v>
      </c>
      <c r="Q73" s="3"/>
      <c r="R73" s="7">
        <f t="shared" si="16"/>
        <v>0.10542920558091004</v>
      </c>
      <c r="S73" s="3"/>
      <c r="T73" s="6">
        <v>3205</v>
      </c>
      <c r="U73" s="3"/>
      <c r="V73" s="7">
        <f t="shared" si="17"/>
        <v>7.8954499544256398E-3</v>
      </c>
      <c r="W73" s="3"/>
      <c r="X73" s="6">
        <f t="shared" si="18"/>
        <v>21254.97</v>
      </c>
      <c r="Y73" s="3"/>
      <c r="Z73" s="7">
        <f t="shared" si="19"/>
        <v>6.6318159126365055</v>
      </c>
    </row>
    <row r="74" spans="1:26" s="69" customFormat="1" ht="15" customHeight="1" outlineLevel="1" collapsed="1" x14ac:dyDescent="0.3">
      <c r="A74" s="20"/>
      <c r="B74" s="11" t="str">
        <f>CONCATENATE("     ","Telephone/Data Lines                              ")</f>
        <v xml:space="preserve">     Telephone/Data Lines                              </v>
      </c>
      <c r="C74" s="11"/>
      <c r="D74" s="2">
        <f>SUM(OSRRefD22_12x_0)</f>
        <v>59.1</v>
      </c>
      <c r="E74" s="2"/>
      <c r="F74" s="5">
        <f t="shared" si="12"/>
        <v>6.9230174516267335E-3</v>
      </c>
      <c r="G74" s="2"/>
      <c r="H74" s="2">
        <f>SUM(OSRRefH22_12x_0)</f>
        <v>175</v>
      </c>
      <c r="I74" s="2"/>
      <c r="J74" s="5">
        <f t="shared" si="13"/>
        <v>3.125E-2</v>
      </c>
      <c r="K74" s="2"/>
      <c r="L74" s="2">
        <f t="shared" si="14"/>
        <v>-115.9</v>
      </c>
      <c r="M74" s="2"/>
      <c r="N74" s="5">
        <f t="shared" si="15"/>
        <v>-0.66228571428571437</v>
      </c>
      <c r="O74" s="11"/>
      <c r="P74" s="2">
        <f>SUM(OSRRefP22_12x_0)</f>
        <v>1315.4</v>
      </c>
      <c r="Q74" s="2"/>
      <c r="R74" s="5">
        <f t="shared" si="16"/>
        <v>5.6697361861494135E-3</v>
      </c>
      <c r="S74" s="2"/>
      <c r="T74" s="2">
        <f>SUM(OSRRefT22_12x_0)</f>
        <v>2100</v>
      </c>
      <c r="U74" s="2"/>
      <c r="V74" s="5">
        <f t="shared" si="17"/>
        <v>5.1733057423693739E-3</v>
      </c>
      <c r="W74" s="2"/>
      <c r="X74" s="2">
        <f t="shared" si="18"/>
        <v>-784.59999999999991</v>
      </c>
      <c r="Y74" s="2"/>
      <c r="Z74" s="5">
        <f t="shared" si="19"/>
        <v>-0.37361904761904757</v>
      </c>
    </row>
    <row r="75" spans="1:26" s="70" customFormat="1" ht="15" hidden="1" customHeight="1" outlineLevel="2" x14ac:dyDescent="0.3">
      <c r="A75" s="21"/>
      <c r="B75" s="9" t="str">
        <f>CONCATENATE("          ","6309"," - ","TELEPHONE")</f>
        <v xml:space="preserve">          6309 - TELEPHONE</v>
      </c>
      <c r="C75" s="9"/>
      <c r="D75" s="6">
        <v>59.1</v>
      </c>
      <c r="E75" s="3"/>
      <c r="F75" s="7">
        <f t="shared" si="12"/>
        <v>6.9230174516267335E-3</v>
      </c>
      <c r="G75" s="3"/>
      <c r="H75" s="6">
        <v>175</v>
      </c>
      <c r="I75" s="3"/>
      <c r="J75" s="7">
        <f t="shared" si="13"/>
        <v>3.125E-2</v>
      </c>
      <c r="K75" s="3"/>
      <c r="L75" s="6">
        <f t="shared" si="14"/>
        <v>-115.9</v>
      </c>
      <c r="M75" s="3"/>
      <c r="N75" s="7">
        <f t="shared" si="15"/>
        <v>-0.66228571428571437</v>
      </c>
      <c r="O75" s="9"/>
      <c r="P75" s="6">
        <v>1315.4</v>
      </c>
      <c r="Q75" s="3"/>
      <c r="R75" s="7">
        <f t="shared" si="16"/>
        <v>5.6697361861494135E-3</v>
      </c>
      <c r="S75" s="3"/>
      <c r="T75" s="6">
        <v>2100</v>
      </c>
      <c r="U75" s="3"/>
      <c r="V75" s="7">
        <f t="shared" si="17"/>
        <v>5.1733057423693739E-3</v>
      </c>
      <c r="W75" s="3"/>
      <c r="X75" s="6">
        <f t="shared" si="18"/>
        <v>-784.59999999999991</v>
      </c>
      <c r="Y75" s="3"/>
      <c r="Z75" s="7">
        <f t="shared" si="19"/>
        <v>-0.37361904761904757</v>
      </c>
    </row>
    <row r="76" spans="1:26" s="65" customFormat="1" ht="15" customHeight="1" x14ac:dyDescent="0.3">
      <c r="A76" s="36"/>
      <c r="B76" s="36"/>
      <c r="C76" s="36"/>
      <c r="D76" s="2"/>
      <c r="E76" s="2"/>
      <c r="F76" s="5"/>
      <c r="G76" s="2"/>
      <c r="H76" s="2"/>
      <c r="I76" s="2"/>
      <c r="J76" s="5"/>
      <c r="K76" s="2"/>
      <c r="L76" s="2"/>
      <c r="M76" s="2"/>
      <c r="N76" s="5"/>
      <c r="O76" s="36"/>
      <c r="P76" s="2"/>
      <c r="Q76" s="2"/>
      <c r="R76" s="5"/>
      <c r="S76" s="2"/>
      <c r="T76" s="2"/>
      <c r="U76" s="2"/>
      <c r="V76" s="5"/>
      <c r="W76" s="2"/>
      <c r="X76" s="2"/>
      <c r="Y76" s="2"/>
      <c r="Z76" s="5"/>
    </row>
    <row r="77" spans="1:26" s="63" customFormat="1" ht="15" customHeight="1" collapsed="1" x14ac:dyDescent="0.3">
      <c r="A77" s="13"/>
      <c r="B77" s="28" t="s">
        <v>291</v>
      </c>
      <c r="C77" s="13"/>
      <c r="D77" s="8">
        <f>SUM(OSRRefD25x_0)</f>
        <v>121.72</v>
      </c>
      <c r="E77" s="8"/>
      <c r="F77" s="14">
        <f>IF(D$12=0,0,D77/D$12)</f>
        <v>1.4258370291235296E-2</v>
      </c>
      <c r="G77" s="8"/>
      <c r="H77" s="8">
        <f>SUM(OSRRefH25x_0)</f>
        <v>0</v>
      </c>
      <c r="I77" s="8"/>
      <c r="J77" s="14">
        <f>IF(H$12=0,0,H77/H$12)</f>
        <v>0</v>
      </c>
      <c r="K77" s="8"/>
      <c r="L77" s="8">
        <f>+D77-H77</f>
        <v>121.72</v>
      </c>
      <c r="M77" s="8"/>
      <c r="N77" s="14">
        <f>IF(H77=0,0,L77/H77)</f>
        <v>0</v>
      </c>
      <c r="O77" s="13"/>
      <c r="P77" s="8">
        <f>SUM(OSRRefP25x_0)</f>
        <v>18516.169999999998</v>
      </c>
      <c r="Q77" s="8"/>
      <c r="R77" s="14">
        <f>IF(P$12=0,0,P77/P$12)</f>
        <v>7.9809790997334776E-2</v>
      </c>
      <c r="S77" s="8"/>
      <c r="T77" s="8">
        <f>SUM(OSRRefT25x_0)</f>
        <v>33910</v>
      </c>
      <c r="U77" s="8"/>
      <c r="V77" s="14">
        <f>IF(T$12=0,0,T77/T$12)</f>
        <v>8.3536570344640695E-2</v>
      </c>
      <c r="W77" s="8"/>
      <c r="X77" s="8">
        <f>+P77-T77</f>
        <v>-15393.830000000002</v>
      </c>
      <c r="Y77" s="8"/>
      <c r="Z77" s="14">
        <f>IF(T77=0,0,X77/T77)</f>
        <v>-0.45396136832792694</v>
      </c>
    </row>
    <row r="78" spans="1:26" s="70" customFormat="1" ht="15" hidden="1" customHeight="1" outlineLevel="1" x14ac:dyDescent="0.3">
      <c r="A78" s="48"/>
      <c r="B78" s="9" t="str">
        <f>CONCATENATE("          ","9150"," - ","MISC. INCOME")</f>
        <v xml:space="preserve">          9150 - MISC. INCOME</v>
      </c>
      <c r="C78" s="9"/>
      <c r="D78" s="3">
        <f>--121.72</f>
        <v>121.72</v>
      </c>
      <c r="E78" s="3"/>
      <c r="F78" s="26">
        <f>IF(D$12=0,0,D78/D$12)</f>
        <v>1.4258370291235296E-2</v>
      </c>
      <c r="G78" s="3"/>
      <c r="H78" s="3"/>
      <c r="I78" s="3"/>
      <c r="J78" s="26">
        <f>IF(H$12=0,0,H78/H$12)</f>
        <v>0</v>
      </c>
      <c r="K78" s="3"/>
      <c r="L78" s="3">
        <f>+D78-H78</f>
        <v>121.72</v>
      </c>
      <c r="M78" s="3"/>
      <c r="N78" s="26">
        <f>IF(H78=0,0,L78/H78)</f>
        <v>0</v>
      </c>
      <c r="O78" s="9"/>
      <c r="P78" s="3">
        <f>--18516.17</f>
        <v>18516.169999999998</v>
      </c>
      <c r="Q78" s="3"/>
      <c r="R78" s="26">
        <f>IF(P$12=0,0,P78/P$12)</f>
        <v>7.9809790997334776E-2</v>
      </c>
      <c r="S78" s="3"/>
      <c r="T78" s="3">
        <v>33910</v>
      </c>
      <c r="U78" s="3"/>
      <c r="V78" s="26">
        <f>IF(T$12=0,0,T78/T$12)</f>
        <v>8.3536570344640695E-2</v>
      </c>
      <c r="W78" s="3"/>
      <c r="X78" s="3">
        <f>+P78-T78</f>
        <v>-15393.830000000002</v>
      </c>
      <c r="Y78" s="3"/>
      <c r="Z78" s="26">
        <f>IF(T78=0,0,X78/T78)</f>
        <v>-0.45396136832792694</v>
      </c>
    </row>
    <row r="79" spans="1:26" ht="15" customHeight="1" x14ac:dyDescent="0.3">
      <c r="A79" s="12"/>
      <c r="B79" s="13"/>
      <c r="C79" s="13"/>
      <c r="D79" s="4"/>
      <c r="E79" s="4"/>
      <c r="F79" s="10"/>
      <c r="G79" s="4"/>
      <c r="H79" s="4"/>
      <c r="I79" s="4"/>
      <c r="J79" s="10"/>
      <c r="K79" s="4"/>
      <c r="L79" s="4"/>
      <c r="M79" s="4"/>
      <c r="N79" s="10"/>
      <c r="O79" s="13"/>
      <c r="P79" s="4"/>
      <c r="Q79" s="4"/>
      <c r="R79" s="10"/>
      <c r="S79" s="4"/>
      <c r="T79" s="4"/>
      <c r="U79" s="4"/>
      <c r="V79" s="10"/>
      <c r="W79" s="4"/>
      <c r="X79" s="4"/>
      <c r="Y79" s="4"/>
      <c r="Z79" s="10"/>
    </row>
    <row r="80" spans="1:26" s="63" customFormat="1" ht="15" customHeight="1" x14ac:dyDescent="0.3">
      <c r="A80" s="13"/>
      <c r="B80" s="27" t="s">
        <v>292</v>
      </c>
      <c r="C80" s="27"/>
      <c r="D80" s="23">
        <f>+D23-D25+D77</f>
        <v>-21666.959999999999</v>
      </c>
      <c r="E80" s="15"/>
      <c r="F80" s="22">
        <f>IF(D$12=0,0,D80/D$12)</f>
        <v>-2.5380836244280602</v>
      </c>
      <c r="G80" s="15"/>
      <c r="H80" s="23">
        <f>+H23-H25+H77</f>
        <v>-18689.503919615392</v>
      </c>
      <c r="I80" s="15"/>
      <c r="J80" s="22">
        <f>IF(H$12=0,0,H80/H$12)</f>
        <v>-3.3374114142170344</v>
      </c>
      <c r="K80" s="17"/>
      <c r="L80" s="23">
        <f>+D80-H80</f>
        <v>-2977.456080384607</v>
      </c>
      <c r="M80" s="17"/>
      <c r="N80" s="22">
        <f>IF(H80=0,0,L80/H80)</f>
        <v>0.1593116699721305</v>
      </c>
      <c r="O80" s="28"/>
      <c r="P80" s="23">
        <f>+P23-P25+P77</f>
        <v>-54041.440000000104</v>
      </c>
      <c r="Q80" s="15"/>
      <c r="R80" s="22">
        <f>IF(P$12=0,0,P80/P$12)</f>
        <v>-0.23293348633086736</v>
      </c>
      <c r="S80" s="15"/>
      <c r="T80" s="23">
        <f>+T23-T25+T77</f>
        <v>81261.214910307142</v>
      </c>
      <c r="U80" s="15"/>
      <c r="V80" s="22">
        <f>IF(T$12=0,0,T80/T$12)</f>
        <v>0.20018529034638274</v>
      </c>
      <c r="W80" s="17"/>
      <c r="X80" s="23">
        <f>+P80-T80</f>
        <v>-135302.65491030726</v>
      </c>
      <c r="Y80" s="17"/>
      <c r="Z80" s="22">
        <f>IF(T80=0,0,X80/T80)</f>
        <v>-1.6650336210164822</v>
      </c>
    </row>
    <row r="81" spans="1:26" ht="15" customHeight="1" x14ac:dyDescent="0.3">
      <c r="A81" s="12"/>
      <c r="B81" s="13"/>
      <c r="C81" s="12"/>
      <c r="D81" s="4"/>
      <c r="E81" s="4"/>
      <c r="F81" s="10"/>
      <c r="G81" s="4"/>
      <c r="H81" s="4"/>
      <c r="I81" s="4"/>
      <c r="J81" s="10"/>
      <c r="K81" s="4"/>
      <c r="L81" s="4"/>
      <c r="M81" s="4"/>
      <c r="N81" s="10"/>
      <c r="P81" s="4"/>
      <c r="Q81" s="4"/>
      <c r="R81" s="10"/>
      <c r="S81" s="4"/>
      <c r="T81" s="4"/>
      <c r="U81" s="4"/>
      <c r="V81" s="10"/>
      <c r="W81" s="4"/>
      <c r="X81" s="4"/>
      <c r="Y81" s="4"/>
      <c r="Z81" s="10"/>
    </row>
    <row r="82" spans="1:26" s="63" customFormat="1" ht="15" customHeight="1" x14ac:dyDescent="0.3">
      <c r="A82" s="49"/>
      <c r="B82" s="13" t="s">
        <v>293</v>
      </c>
      <c r="C82" s="13"/>
      <c r="D82" s="8">
        <v>-51870.78</v>
      </c>
      <c r="E82" s="8"/>
      <c r="F82" s="14">
        <f>IF(D$12=0,0,D82/D$12)</f>
        <v>-6.0761813057443472</v>
      </c>
      <c r="G82" s="8"/>
      <c r="H82" s="8">
        <v>-3596</v>
      </c>
      <c r="I82" s="8"/>
      <c r="J82" s="14">
        <f>IF(H$12=0,0,H82/H$12)</f>
        <v>-0.64214285714285713</v>
      </c>
      <c r="K82" s="8"/>
      <c r="L82" s="8">
        <f>+D82-H82</f>
        <v>-48274.78</v>
      </c>
      <c r="M82" s="8"/>
      <c r="N82" s="14">
        <f>IF(H82=0,0,L82/H82)</f>
        <v>13.424577308120133</v>
      </c>
      <c r="O82" s="13"/>
      <c r="P82" s="8">
        <v>-26747.42</v>
      </c>
      <c r="Q82" s="8"/>
      <c r="R82" s="14">
        <f>IF(P$12=0,0,P82/P$12)</f>
        <v>-0.11528874491419837</v>
      </c>
      <c r="S82" s="8"/>
      <c r="T82" s="8">
        <v>46031</v>
      </c>
      <c r="U82" s="8"/>
      <c r="V82" s="14">
        <f>IF(T$12=0,0,T82/T$12)</f>
        <v>0.11339639839381174</v>
      </c>
      <c r="W82" s="8"/>
      <c r="X82" s="8">
        <f>+P82-T82</f>
        <v>-72778.42</v>
      </c>
      <c r="Y82" s="8"/>
      <c r="Z82" s="14">
        <f>IF(T82=0,0,X82/T82)</f>
        <v>-1.58107405878647</v>
      </c>
    </row>
    <row r="83" spans="1:26" ht="15" customHeight="1" x14ac:dyDescent="0.3">
      <c r="A83" s="12"/>
      <c r="B83" s="13"/>
      <c r="C83" s="13"/>
      <c r="D83" s="4"/>
      <c r="E83" s="4"/>
      <c r="F83" s="10"/>
      <c r="G83" s="4"/>
      <c r="H83" s="4"/>
      <c r="I83" s="4"/>
      <c r="J83" s="10"/>
      <c r="K83" s="4"/>
      <c r="L83" s="4"/>
      <c r="M83" s="4"/>
      <c r="N83" s="10"/>
      <c r="O83" s="13"/>
      <c r="P83" s="4"/>
      <c r="Q83" s="4"/>
      <c r="R83" s="10"/>
      <c r="S83" s="4"/>
      <c r="T83" s="4"/>
      <c r="U83" s="4"/>
      <c r="V83" s="10"/>
      <c r="W83" s="4"/>
      <c r="X83" s="4"/>
      <c r="Y83" s="4"/>
      <c r="Z83" s="10"/>
    </row>
    <row r="84" spans="1:26" s="63" customFormat="1" ht="15" customHeight="1" x14ac:dyDescent="0.3">
      <c r="A84" s="13"/>
      <c r="B84" s="27" t="s">
        <v>294</v>
      </c>
      <c r="C84" s="27"/>
      <c r="D84" s="30">
        <f>+D80-D82</f>
        <v>30203.82</v>
      </c>
      <c r="E84" s="15"/>
      <c r="F84" s="35">
        <f>IF(D$12=0,0,D84/D$12)</f>
        <v>3.538097681316287</v>
      </c>
      <c r="G84" s="15"/>
      <c r="H84" s="30">
        <f>+H80-H82</f>
        <v>-15093.503919615392</v>
      </c>
      <c r="I84" s="15"/>
      <c r="J84" s="35">
        <f>IF(H$12=0,0,H84/H$12)</f>
        <v>-2.695268557074177</v>
      </c>
      <c r="K84" s="17"/>
      <c r="L84" s="30">
        <f>D84-H84</f>
        <v>45297.323919615388</v>
      </c>
      <c r="M84" s="17"/>
      <c r="N84" s="35">
        <f>IF(H84=0,0,L84/H84)</f>
        <v>-3.001113867320587</v>
      </c>
      <c r="O84" s="28"/>
      <c r="P84" s="30">
        <f>+P80-P82</f>
        <v>-27294.020000000106</v>
      </c>
      <c r="Q84" s="15"/>
      <c r="R84" s="35">
        <f>IF(P$12=0,0,P84/P$12)</f>
        <v>-0.117644741416669</v>
      </c>
      <c r="S84" s="15"/>
      <c r="T84" s="30">
        <f>+T80-T82</f>
        <v>35230.214910307142</v>
      </c>
      <c r="U84" s="15"/>
      <c r="V84" s="35">
        <f>IF(T$12=0,0,T84/T$12)</f>
        <v>8.6788891952570987E-2</v>
      </c>
      <c r="W84" s="17"/>
      <c r="X84" s="30">
        <f>P84-T84</f>
        <v>-62524.234910307248</v>
      </c>
      <c r="Y84" s="17"/>
      <c r="Z84" s="35">
        <f>IF(T84=0,0,X84/T84)</f>
        <v>-1.7747332813463712</v>
      </c>
    </row>
    <row r="85" spans="1:26" ht="15" customHeight="1" x14ac:dyDescent="0.3">
      <c r="A85" s="12"/>
      <c r="B85" s="12"/>
      <c r="C85" s="12"/>
      <c r="D85" s="4"/>
      <c r="E85" s="4"/>
      <c r="F85" s="10"/>
      <c r="G85" s="4"/>
      <c r="H85" s="4"/>
      <c r="I85" s="4"/>
      <c r="J85" s="10"/>
      <c r="K85" s="4"/>
      <c r="L85" s="4"/>
      <c r="M85" s="4"/>
      <c r="N85" s="10"/>
      <c r="P85" s="4"/>
      <c r="Q85" s="4"/>
      <c r="R85" s="10"/>
      <c r="S85" s="4"/>
      <c r="T85" s="4"/>
      <c r="U85" s="4"/>
      <c r="V85" s="10"/>
      <c r="W85" s="4"/>
      <c r="X85" s="4"/>
      <c r="Y85" s="4"/>
      <c r="Z85" s="10"/>
    </row>
    <row r="86" spans="1:26" ht="15" customHeight="1" x14ac:dyDescent="0.3">
      <c r="A86" s="12"/>
      <c r="B86" s="12"/>
      <c r="C86" s="12"/>
      <c r="D86" s="4"/>
      <c r="E86" s="4"/>
      <c r="F86" s="10"/>
      <c r="G86" s="4"/>
      <c r="H86" s="4"/>
      <c r="I86" s="4"/>
      <c r="J86" s="10"/>
      <c r="K86" s="4"/>
      <c r="L86" s="4"/>
      <c r="M86" s="4"/>
      <c r="N86" s="10"/>
      <c r="P86" s="4"/>
      <c r="Q86" s="4"/>
      <c r="R86" s="10"/>
      <c r="S86" s="4"/>
      <c r="T86" s="4"/>
      <c r="U86" s="4"/>
      <c r="V86" s="10"/>
      <c r="W86" s="4"/>
      <c r="X86" s="4"/>
      <c r="Y86" s="4"/>
      <c r="Z86" s="10"/>
    </row>
    <row r="87" spans="1:26" s="63" customFormat="1" ht="15" customHeight="1" x14ac:dyDescent="0.3">
      <c r="A87" s="13"/>
      <c r="B87" s="27" t="s">
        <v>297</v>
      </c>
      <c r="C87" s="27"/>
      <c r="D87" s="33">
        <f>SUM(D84:D86)</f>
        <v>30203.82</v>
      </c>
      <c r="E87" s="15"/>
      <c r="F87" s="31">
        <f>IF(D$12=0,0,D87/D$12)</f>
        <v>3.538097681316287</v>
      </c>
      <c r="G87" s="15"/>
      <c r="H87" s="33">
        <f>SUM(H84:H86)</f>
        <v>-15093.503919615392</v>
      </c>
      <c r="I87" s="15"/>
      <c r="J87" s="31">
        <f>IF(H$12=0,0,H87/H$12)</f>
        <v>-2.695268557074177</v>
      </c>
      <c r="K87" s="17"/>
      <c r="L87" s="33">
        <f>+D87-H87</f>
        <v>45297.323919615388</v>
      </c>
      <c r="M87" s="17"/>
      <c r="N87" s="31">
        <f>IF(H87=0,0,L87/H87)</f>
        <v>-3.001113867320587</v>
      </c>
      <c r="O87" s="28"/>
      <c r="P87" s="33">
        <f>SUM(P84:P86)</f>
        <v>-27294.020000000106</v>
      </c>
      <c r="Q87" s="15"/>
      <c r="R87" s="31">
        <f>IF(P$12=0,0,P87/P$12)</f>
        <v>-0.117644741416669</v>
      </c>
      <c r="S87" s="15"/>
      <c r="T87" s="33">
        <f>SUM(T84:T86)</f>
        <v>35230.214910307142</v>
      </c>
      <c r="U87" s="15"/>
      <c r="V87" s="31">
        <f>IF(T$12=0,0,T87/T$12)</f>
        <v>8.6788891952570987E-2</v>
      </c>
      <c r="W87" s="17"/>
      <c r="X87" s="33">
        <f>+P87-T87</f>
        <v>-62524.234910307248</v>
      </c>
      <c r="Y87" s="17"/>
      <c r="Z87" s="31">
        <f>IF(T87=0,0,X87/T87)</f>
        <v>-1.7747332813463712</v>
      </c>
    </row>
    <row r="88" spans="1:26" ht="15" customHeight="1" x14ac:dyDescent="0.3">
      <c r="A88" s="12"/>
      <c r="C88" s="12"/>
      <c r="D88" s="19"/>
      <c r="E88" s="19"/>
      <c r="G88" s="19"/>
      <c r="H88" s="19"/>
      <c r="I88" s="19"/>
      <c r="J88" s="41"/>
      <c r="K88" s="19"/>
      <c r="L88" s="19"/>
      <c r="M88" s="19"/>
      <c r="P88" s="19"/>
      <c r="Q88" s="19"/>
      <c r="R88" s="41"/>
      <c r="S88" s="19"/>
      <c r="T88" s="19"/>
      <c r="U88" s="19"/>
      <c r="V88" s="41"/>
      <c r="W88" s="19"/>
      <c r="X88" s="19"/>
    </row>
    <row r="89" spans="1:26" ht="15" customHeight="1" x14ac:dyDescent="0.3">
      <c r="A89" s="12"/>
      <c r="B89" s="50">
        <v>44767.799547766204</v>
      </c>
      <c r="D89" s="19"/>
      <c r="E89" s="19"/>
      <c r="G89" s="19"/>
      <c r="H89" s="19"/>
      <c r="I89" s="19"/>
      <c r="J89" s="41"/>
      <c r="K89" s="19"/>
      <c r="L89" s="19"/>
      <c r="M89" s="19"/>
      <c r="P89" s="19"/>
      <c r="Q89" s="19"/>
      <c r="R89" s="41"/>
      <c r="S89" s="19"/>
      <c r="T89" s="19"/>
      <c r="U89" s="19"/>
      <c r="V89" s="41"/>
      <c r="W89" s="19"/>
      <c r="X89" s="19"/>
    </row>
    <row r="90" spans="1:26" ht="15" customHeight="1" x14ac:dyDescent="0.3">
      <c r="A90" s="12"/>
      <c r="B90" s="57" t="s">
        <v>298</v>
      </c>
      <c r="D90" s="19"/>
      <c r="E90" s="19"/>
      <c r="G90" s="19"/>
      <c r="H90" s="19"/>
      <c r="I90" s="19"/>
      <c r="J90" s="41"/>
      <c r="K90" s="19"/>
      <c r="L90" s="19"/>
      <c r="M90" s="19"/>
      <c r="P90" s="19"/>
      <c r="Q90" s="19"/>
      <c r="R90" s="41"/>
      <c r="S90" s="19"/>
      <c r="T90" s="19"/>
      <c r="U90" s="19"/>
      <c r="V90" s="41"/>
      <c r="W90" s="19"/>
      <c r="X90" s="19"/>
    </row>
    <row r="91" spans="1:26" ht="15" customHeight="1" x14ac:dyDescent="0.3">
      <c r="A91" s="12"/>
      <c r="B91" s="51"/>
      <c r="D91" s="19"/>
      <c r="E91" s="19"/>
      <c r="G91" s="19"/>
      <c r="H91" s="19"/>
      <c r="I91" s="19"/>
      <c r="J91" s="41"/>
      <c r="K91" s="19"/>
      <c r="L91" s="19"/>
      <c r="M91" s="19"/>
      <c r="P91" s="19"/>
      <c r="Q91" s="19"/>
      <c r="R91" s="41"/>
      <c r="S91" s="19"/>
      <c r="T91" s="19"/>
      <c r="U91" s="19"/>
      <c r="V91" s="41"/>
      <c r="W91" s="19"/>
      <c r="X91" s="19"/>
    </row>
    <row r="92" spans="1:26" ht="15" customHeight="1" x14ac:dyDescent="0.3">
      <c r="D92" s="19"/>
      <c r="E92" s="19"/>
      <c r="G92" s="19"/>
      <c r="H92" s="19"/>
      <c r="I92" s="19"/>
      <c r="J92" s="41"/>
      <c r="K92" s="19"/>
      <c r="L92" s="19"/>
      <c r="M92" s="19"/>
      <c r="P92" s="19"/>
      <c r="Q92" s="19"/>
      <c r="R92" s="41"/>
      <c r="S92" s="19"/>
      <c r="T92" s="19"/>
      <c r="U92" s="19"/>
      <c r="V92" s="41"/>
      <c r="W92" s="19"/>
      <c r="X92" s="19"/>
    </row>
  </sheetData>
  <pageMargins left="0.25" right="0.25" top="0.75" bottom="0.75" header="0.3" footer="0.3"/>
  <pageSetup scale="55" orientation="landscape" r:id="rId1"/>
  <headerFooter>
    <oddHeader>&amp;RPre-Audit</oddHeader>
    <oddFooter>&amp;L&amp;C&amp;R</oddFooter>
    <evenHeader>&amp;L&amp;C&amp;R</evenHeader>
    <evenFooter>&amp;L&amp;C&amp;R</even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4997D8-4F5D-C721-7D8F-B07D76EA9F33}">
  <sheetPr>
    <tabColor rgb="FFFFC000"/>
    <outlinePr summaryBelow="0" summaryRight="0"/>
  </sheetPr>
  <dimension ref="A2:Z93"/>
  <sheetViews>
    <sheetView showGridLines="0" defaultGridColor="0" colorId="8" zoomScale="80" workbookViewId="0">
      <pane xSplit="3" ySplit="10" topLeftCell="D34" activePane="bottomRight" state="frozen"/>
      <selection activeCell="D78" sqref="D78"/>
      <selection pane="topRight" activeCell="D78" sqref="D78"/>
      <selection pane="bottomLeft" activeCell="D78" sqref="D78"/>
      <selection pane="bottomRight" activeCell="D78" sqref="D78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3" t="s">
        <v>276</v>
      </c>
    </row>
    <row r="3" spans="1:26" ht="15" customHeight="1" x14ac:dyDescent="0.3">
      <c r="D3" s="53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3" t="str">
        <f>CONCATENATE("Period ",RIGHT(202212,2),", ",2022)</f>
        <v>Period 12,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5"/>
      <c r="D5" s="60">
        <v>44742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5"/>
      <c r="B6" s="47"/>
      <c r="C6" s="47"/>
      <c r="D6" s="25" t="s">
        <v>314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4"/>
    </row>
    <row r="8" spans="1:26" ht="15" customHeight="1" x14ac:dyDescent="0.3">
      <c r="B8" s="54"/>
    </row>
    <row r="9" spans="1:26" ht="15" customHeight="1" x14ac:dyDescent="0.3">
      <c r="B9" s="12"/>
      <c r="C9" s="12"/>
      <c r="D9" s="16" t="s">
        <v>279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280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ht="15" customHeight="1" x14ac:dyDescent="0.3">
      <c r="A10" s="13"/>
      <c r="B10" s="52"/>
      <c r="C10" s="13"/>
      <c r="D10" s="40" t="s">
        <v>281</v>
      </c>
      <c r="E10" s="32"/>
      <c r="F10" s="39" t="s">
        <v>282</v>
      </c>
      <c r="G10" s="32"/>
      <c r="H10" s="45" t="s">
        <v>283</v>
      </c>
      <c r="I10" s="32"/>
      <c r="J10" s="42" t="s">
        <v>284</v>
      </c>
      <c r="K10" s="13"/>
      <c r="L10" s="40" t="s">
        <v>285</v>
      </c>
      <c r="M10" s="13"/>
      <c r="N10" s="39" t="s">
        <v>286</v>
      </c>
      <c r="O10" s="13"/>
      <c r="P10" s="55" t="s">
        <v>281</v>
      </c>
      <c r="Q10" s="32"/>
      <c r="R10" s="39" t="s">
        <v>282</v>
      </c>
      <c r="S10" s="32"/>
      <c r="T10" s="45" t="s">
        <v>283</v>
      </c>
      <c r="U10" s="32"/>
      <c r="V10" s="42" t="s">
        <v>284</v>
      </c>
      <c r="W10" s="13"/>
      <c r="X10" s="40" t="s">
        <v>285</v>
      </c>
      <c r="Y10" s="13"/>
      <c r="Z10" s="39" t="s">
        <v>286</v>
      </c>
    </row>
    <row r="11" spans="1:26" ht="16.5" customHeight="1" x14ac:dyDescent="0.3">
      <c r="A11" s="12"/>
      <c r="B11" s="58"/>
      <c r="C11" s="12"/>
      <c r="D11" s="12"/>
      <c r="E11" s="12"/>
      <c r="F11" s="10"/>
      <c r="G11" s="12"/>
      <c r="H11" s="12"/>
      <c r="I11" s="12"/>
      <c r="J11" s="43"/>
      <c r="K11" s="12"/>
      <c r="L11" s="12"/>
      <c r="M11" s="12"/>
      <c r="N11" s="10"/>
      <c r="P11" s="12"/>
      <c r="Q11" s="12"/>
      <c r="R11" s="10"/>
      <c r="S11" s="12"/>
      <c r="T11" s="12"/>
      <c r="U11" s="12"/>
      <c r="V11" s="43"/>
      <c r="W11" s="12"/>
      <c r="X11" s="12"/>
      <c r="Y11" s="12"/>
      <c r="Z11" s="10"/>
    </row>
    <row r="12" spans="1:26" s="63" customFormat="1" ht="15" customHeight="1" collapsed="1" x14ac:dyDescent="0.3">
      <c r="A12" s="13"/>
      <c r="B12" s="28" t="s">
        <v>287</v>
      </c>
      <c r="C12" s="13"/>
      <c r="D12" s="8">
        <f>SUM(OSRRefD13x_0)</f>
        <v>399143.9499999999</v>
      </c>
      <c r="E12" s="8"/>
      <c r="F12" s="14"/>
      <c r="G12" s="8"/>
      <c r="H12" s="8">
        <f>SUM(OSRRefH13x_0)</f>
        <v>106336</v>
      </c>
      <c r="I12" s="8"/>
      <c r="J12" s="14"/>
      <c r="K12" s="8"/>
      <c r="L12" s="8">
        <f t="shared" ref="L12:L17" si="0">+D12-H12</f>
        <v>292807.9499999999</v>
      </c>
      <c r="M12" s="8"/>
      <c r="N12" s="14">
        <f t="shared" ref="N12:N17" si="1">IF(H12=0,0,L12/H12)</f>
        <v>2.7536107244959362</v>
      </c>
      <c r="O12" s="13"/>
      <c r="P12" s="8">
        <f>SUM(OSRRefP13x_0)</f>
        <v>2883548.02</v>
      </c>
      <c r="Q12" s="8"/>
      <c r="R12" s="14"/>
      <c r="S12" s="8"/>
      <c r="T12" s="8">
        <f>SUM(OSRRefT13x_0)</f>
        <v>2286159</v>
      </c>
      <c r="U12" s="8"/>
      <c r="V12" s="14"/>
      <c r="W12" s="8"/>
      <c r="X12" s="8">
        <f t="shared" ref="X12:X17" si="2">+P12-T12</f>
        <v>597389.02</v>
      </c>
      <c r="Y12" s="8"/>
      <c r="Z12" s="14">
        <f t="shared" ref="Z12:Z17" si="3">IF(T12=0,0,X12/T12)</f>
        <v>0.2613068557348811</v>
      </c>
    </row>
    <row r="13" spans="1:26" s="70" customFormat="1" ht="15" hidden="1" customHeight="1" outlineLevel="1" x14ac:dyDescent="0.3">
      <c r="A13" s="48"/>
      <c r="B13" s="9" t="str">
        <f>CONCATENATE("          ","4000"," - ","TAXABLE SALES")</f>
        <v xml:space="preserve">          4000 - TAXABLE SALES</v>
      </c>
      <c r="C13" s="9"/>
      <c r="D13" s="3">
        <f>--534649.09</f>
        <v>534649.09</v>
      </c>
      <c r="E13" s="3"/>
      <c r="F13" s="26"/>
      <c r="G13" s="3"/>
      <c r="H13" s="3">
        <v>103131</v>
      </c>
      <c r="I13" s="3"/>
      <c r="J13" s="26"/>
      <c r="K13" s="3"/>
      <c r="L13" s="3">
        <f t="shared" si="0"/>
        <v>431518.08999999997</v>
      </c>
      <c r="M13" s="3"/>
      <c r="N13" s="26">
        <f t="shared" si="1"/>
        <v>4.1841743995500869</v>
      </c>
      <c r="O13" s="9"/>
      <c r="P13" s="3">
        <f>--2885107.46</f>
        <v>2885107.46</v>
      </c>
      <c r="Q13" s="3"/>
      <c r="R13" s="26"/>
      <c r="S13" s="3"/>
      <c r="T13" s="3">
        <v>2140442</v>
      </c>
      <c r="U13" s="3"/>
      <c r="V13" s="26"/>
      <c r="W13" s="3"/>
      <c r="X13" s="3">
        <f t="shared" si="2"/>
        <v>744665.46</v>
      </c>
      <c r="Y13" s="3"/>
      <c r="Z13" s="26">
        <f t="shared" si="3"/>
        <v>0.34790265748850002</v>
      </c>
    </row>
    <row r="14" spans="1:26" s="70" customFormat="1" ht="15" hidden="1" customHeight="1" outlineLevel="1" x14ac:dyDescent="0.3">
      <c r="A14" s="48"/>
      <c r="B14" s="9" t="str">
        <f>CONCATENATE("          ","4100"," - ","NON-TAXABLE SALES")</f>
        <v xml:space="preserve">          4100 - NON-TAXABLE SALES</v>
      </c>
      <c r="C14" s="9"/>
      <c r="D14" s="3">
        <f>--80447.08</f>
        <v>80447.08</v>
      </c>
      <c r="E14" s="3"/>
      <c r="F14" s="26"/>
      <c r="G14" s="3"/>
      <c r="H14" s="3">
        <v>3205</v>
      </c>
      <c r="I14" s="3"/>
      <c r="J14" s="26"/>
      <c r="K14" s="3"/>
      <c r="L14" s="3">
        <f t="shared" si="0"/>
        <v>77242.080000000002</v>
      </c>
      <c r="M14" s="3"/>
      <c r="N14" s="26">
        <f t="shared" si="1"/>
        <v>24.100492979719188</v>
      </c>
      <c r="O14" s="9"/>
      <c r="P14" s="3">
        <f>--749033.87</f>
        <v>749033.87</v>
      </c>
      <c r="Q14" s="3"/>
      <c r="R14" s="26"/>
      <c r="S14" s="3"/>
      <c r="T14" s="3">
        <v>145717</v>
      </c>
      <c r="U14" s="3"/>
      <c r="V14" s="26"/>
      <c r="W14" s="3"/>
      <c r="X14" s="3">
        <f t="shared" si="2"/>
        <v>603316.87</v>
      </c>
      <c r="Y14" s="3"/>
      <c r="Z14" s="26">
        <f t="shared" si="3"/>
        <v>4.1403327683111781</v>
      </c>
    </row>
    <row r="15" spans="1:26" s="70" customFormat="1" ht="15" hidden="1" customHeight="1" outlineLevel="1" x14ac:dyDescent="0.3">
      <c r="A15" s="48"/>
      <c r="B15" s="9" t="str">
        <f>CONCATENATE("          ","4200"," - ","TAXABLE RETURNS")</f>
        <v xml:space="preserve">          4200 - TAXABLE RETURNS</v>
      </c>
      <c r="C15" s="9"/>
      <c r="D15" s="3">
        <f>-215135.94</f>
        <v>-215135.94</v>
      </c>
      <c r="E15" s="3"/>
      <c r="F15" s="26"/>
      <c r="G15" s="3"/>
      <c r="H15" s="3"/>
      <c r="I15" s="3"/>
      <c r="J15" s="26"/>
      <c r="K15" s="3"/>
      <c r="L15" s="3">
        <f t="shared" si="0"/>
        <v>-215135.94</v>
      </c>
      <c r="M15" s="3"/>
      <c r="N15" s="26">
        <f t="shared" si="1"/>
        <v>0</v>
      </c>
      <c r="O15" s="9"/>
      <c r="P15" s="3">
        <f>-747227.7</f>
        <v>-747227.7</v>
      </c>
      <c r="Q15" s="3"/>
      <c r="R15" s="26"/>
      <c r="S15" s="3"/>
      <c r="T15" s="3"/>
      <c r="U15" s="3"/>
      <c r="V15" s="26"/>
      <c r="W15" s="3"/>
      <c r="X15" s="3">
        <f t="shared" si="2"/>
        <v>-747227.7</v>
      </c>
      <c r="Y15" s="3"/>
      <c r="Z15" s="26">
        <f t="shared" si="3"/>
        <v>0</v>
      </c>
    </row>
    <row r="16" spans="1:26" s="70" customFormat="1" ht="15" hidden="1" customHeight="1" outlineLevel="1" x14ac:dyDescent="0.3">
      <c r="A16" s="48"/>
      <c r="B16" s="9" t="str">
        <f>CONCATENATE("          ","4300"," - ","NON-TAX RETURNS")</f>
        <v xml:space="preserve">          4300 - NON-TAX RETURNS</v>
      </c>
      <c r="C16" s="9"/>
      <c r="D16" s="3">
        <f>0</f>
        <v>0</v>
      </c>
      <c r="E16" s="3"/>
      <c r="F16" s="26"/>
      <c r="G16" s="3"/>
      <c r="H16" s="3"/>
      <c r="I16" s="3"/>
      <c r="J16" s="26"/>
      <c r="K16" s="3"/>
      <c r="L16" s="3">
        <f t="shared" si="0"/>
        <v>0</v>
      </c>
      <c r="M16" s="3"/>
      <c r="N16" s="26">
        <f t="shared" si="1"/>
        <v>0</v>
      </c>
      <c r="O16" s="9"/>
      <c r="P16" s="3">
        <f>-1114.52</f>
        <v>-1114.52</v>
      </c>
      <c r="Q16" s="3"/>
      <c r="R16" s="26"/>
      <c r="S16" s="3"/>
      <c r="T16" s="3"/>
      <c r="U16" s="3"/>
      <c r="V16" s="26"/>
      <c r="W16" s="3"/>
      <c r="X16" s="3">
        <f t="shared" si="2"/>
        <v>-1114.52</v>
      </c>
      <c r="Y16" s="3"/>
      <c r="Z16" s="26">
        <f t="shared" si="3"/>
        <v>0</v>
      </c>
    </row>
    <row r="17" spans="1:26" s="70" customFormat="1" ht="15" hidden="1" customHeight="1" outlineLevel="1" x14ac:dyDescent="0.3">
      <c r="A17" s="48"/>
      <c r="B17" s="9" t="str">
        <f>CONCATENATE("          ","4500"," - ","SALES DISCOUNT")</f>
        <v xml:space="preserve">          4500 - SALES DISCOUNT</v>
      </c>
      <c r="C17" s="9"/>
      <c r="D17" s="3">
        <f>-816.28</f>
        <v>-816.28</v>
      </c>
      <c r="E17" s="3"/>
      <c r="F17" s="26"/>
      <c r="G17" s="3"/>
      <c r="H17" s="3"/>
      <c r="I17" s="3"/>
      <c r="J17" s="26"/>
      <c r="K17" s="3"/>
      <c r="L17" s="3">
        <f t="shared" si="0"/>
        <v>-816.28</v>
      </c>
      <c r="M17" s="3"/>
      <c r="N17" s="26">
        <f t="shared" si="1"/>
        <v>0</v>
      </c>
      <c r="O17" s="9"/>
      <c r="P17" s="3">
        <f>-2251.09</f>
        <v>-2251.09</v>
      </c>
      <c r="Q17" s="3"/>
      <c r="R17" s="26"/>
      <c r="S17" s="3"/>
      <c r="T17" s="3"/>
      <c r="U17" s="3"/>
      <c r="V17" s="26"/>
      <c r="W17" s="3"/>
      <c r="X17" s="3">
        <f t="shared" si="2"/>
        <v>-2251.09</v>
      </c>
      <c r="Y17" s="3"/>
      <c r="Z17" s="26">
        <f t="shared" si="3"/>
        <v>0</v>
      </c>
    </row>
    <row r="18" spans="1:26" ht="15" customHeight="1" x14ac:dyDescent="0.3">
      <c r="A18" s="12"/>
      <c r="B18" s="13"/>
      <c r="C18" s="12"/>
      <c r="D18" s="4"/>
      <c r="E18" s="4"/>
      <c r="F18" s="10"/>
      <c r="G18" s="4"/>
      <c r="H18" s="4"/>
      <c r="I18" s="4"/>
      <c r="J18" s="10"/>
      <c r="K18" s="4"/>
      <c r="L18" s="4"/>
      <c r="M18" s="4"/>
      <c r="N18" s="10"/>
      <c r="P18" s="4"/>
      <c r="Q18" s="4"/>
      <c r="R18" s="10"/>
      <c r="S18" s="4"/>
      <c r="T18" s="4"/>
      <c r="U18" s="4"/>
      <c r="V18" s="10"/>
      <c r="W18" s="4"/>
      <c r="X18" s="4"/>
      <c r="Y18" s="4"/>
      <c r="Z18" s="10"/>
    </row>
    <row r="19" spans="1:26" s="63" customFormat="1" ht="15" customHeight="1" collapsed="1" x14ac:dyDescent="0.3">
      <c r="A19" s="13"/>
      <c r="B19" s="28" t="s">
        <v>288</v>
      </c>
      <c r="C19" s="13"/>
      <c r="D19" s="8">
        <f>SUM(OSRRefD16x_0)</f>
        <v>286197.05</v>
      </c>
      <c r="E19" s="8"/>
      <c r="F19" s="14">
        <f t="shared" ref="F19:F29" si="4">IF(D$12=0,0,D19/D$12)</f>
        <v>0.71702715273524764</v>
      </c>
      <c r="G19" s="8"/>
      <c r="H19" s="8">
        <f>SUM(OSRRefH16x_0)</f>
        <v>95171</v>
      </c>
      <c r="I19" s="8"/>
      <c r="J19" s="14">
        <f t="shared" ref="J19:J29" si="5">IF(H$12=0,0,H19/H$12)</f>
        <v>0.89500263316280471</v>
      </c>
      <c r="K19" s="8"/>
      <c r="L19" s="8">
        <f t="shared" ref="L19:L29" si="6">+D19-H19</f>
        <v>191026.05</v>
      </c>
      <c r="M19" s="8"/>
      <c r="N19" s="14">
        <f t="shared" ref="N19:N29" si="7">IF(H19=0,0,L19/H19)</f>
        <v>2.0071875886562083</v>
      </c>
      <c r="O19" s="13"/>
      <c r="P19" s="8">
        <f>SUM(OSRRefP16x_0)</f>
        <v>2395587.1300000004</v>
      </c>
      <c r="Q19" s="8"/>
      <c r="R19" s="14">
        <f t="shared" ref="R19:R29" si="8">IF(P$12=0,0,P19/P$12)</f>
        <v>0.83077760917607346</v>
      </c>
      <c r="S19" s="8"/>
      <c r="T19" s="8">
        <f>SUM(OSRRefT16x_0)</f>
        <v>2046109</v>
      </c>
      <c r="U19" s="8"/>
      <c r="V19" s="14">
        <f t="shared" ref="V19:V29" si="9">IF(T$12=0,0,T19/T$12)</f>
        <v>0.89499855434377051</v>
      </c>
      <c r="W19" s="8"/>
      <c r="X19" s="8">
        <f t="shared" ref="X19:X29" si="10">+P19-T19</f>
        <v>349478.13000000035</v>
      </c>
      <c r="Y19" s="8"/>
      <c r="Z19" s="14">
        <f t="shared" ref="Z19:Z29" si="11">IF(T19=0,0,X19/T19)</f>
        <v>0.17080132583357013</v>
      </c>
    </row>
    <row r="20" spans="1:26" s="70" customFormat="1" ht="15" hidden="1" customHeight="1" outlineLevel="1" x14ac:dyDescent="0.3">
      <c r="A20" s="48"/>
      <c r="B20" s="9" t="str">
        <f>CONCATENATE("          ","5000"," - ","PURCHASES @ COST")</f>
        <v xml:space="preserve">          5000 - PURCHASES @ COST</v>
      </c>
      <c r="C20" s="9"/>
      <c r="D20" s="3">
        <v>274575.13</v>
      </c>
      <c r="E20" s="3"/>
      <c r="F20" s="26">
        <f t="shared" si="4"/>
        <v>0.68791003847108312</v>
      </c>
      <c r="G20" s="3"/>
      <c r="H20" s="3">
        <v>95171</v>
      </c>
      <c r="I20" s="3"/>
      <c r="J20" s="26">
        <f t="shared" si="5"/>
        <v>0.89500263316280471</v>
      </c>
      <c r="K20" s="3"/>
      <c r="L20" s="3">
        <f t="shared" si="6"/>
        <v>179404.13</v>
      </c>
      <c r="M20" s="3"/>
      <c r="N20" s="26">
        <f t="shared" si="7"/>
        <v>1.88507139779975</v>
      </c>
      <c r="O20" s="9"/>
      <c r="P20" s="3">
        <v>2498333.89</v>
      </c>
      <c r="Q20" s="3"/>
      <c r="R20" s="26">
        <f t="shared" si="8"/>
        <v>0.86640967054191809</v>
      </c>
      <c r="S20" s="3"/>
      <c r="T20" s="3">
        <v>2046109</v>
      </c>
      <c r="U20" s="3"/>
      <c r="V20" s="26">
        <f t="shared" si="9"/>
        <v>0.89499855434377051</v>
      </c>
      <c r="W20" s="3"/>
      <c r="X20" s="3">
        <f t="shared" si="10"/>
        <v>452224.89000000013</v>
      </c>
      <c r="Y20" s="3"/>
      <c r="Z20" s="26">
        <f t="shared" si="11"/>
        <v>0.22101700838029653</v>
      </c>
    </row>
    <row r="21" spans="1:26" s="70" customFormat="1" ht="15" hidden="1" customHeight="1" outlineLevel="1" x14ac:dyDescent="0.3">
      <c r="A21" s="48"/>
      <c r="B21" s="9" t="str">
        <f>CONCATENATE("          ","5081"," - ","PURCHASES @ COST-ELECTRONICS")</f>
        <v xml:space="preserve">          5081 - PURCHASES @ COST-ELECTRONICS</v>
      </c>
      <c r="C21" s="9"/>
      <c r="D21" s="3"/>
      <c r="E21" s="3"/>
      <c r="F21" s="26">
        <f t="shared" si="4"/>
        <v>0</v>
      </c>
      <c r="G21" s="3"/>
      <c r="H21" s="3"/>
      <c r="I21" s="3"/>
      <c r="J21" s="26">
        <f t="shared" si="5"/>
        <v>0</v>
      </c>
      <c r="K21" s="3"/>
      <c r="L21" s="3">
        <f t="shared" si="6"/>
        <v>0</v>
      </c>
      <c r="M21" s="3"/>
      <c r="N21" s="26">
        <f t="shared" si="7"/>
        <v>0</v>
      </c>
      <c r="O21" s="9"/>
      <c r="P21" s="3">
        <v>0</v>
      </c>
      <c r="Q21" s="3"/>
      <c r="R21" s="26">
        <f t="shared" si="8"/>
        <v>0</v>
      </c>
      <c r="S21" s="3"/>
      <c r="T21" s="3"/>
      <c r="U21" s="3"/>
      <c r="V21" s="26">
        <f t="shared" si="9"/>
        <v>0</v>
      </c>
      <c r="W21" s="3"/>
      <c r="X21" s="3">
        <f t="shared" si="10"/>
        <v>0</v>
      </c>
      <c r="Y21" s="3"/>
      <c r="Z21" s="26">
        <f t="shared" si="11"/>
        <v>0</v>
      </c>
    </row>
    <row r="22" spans="1:26" s="70" customFormat="1" ht="15" hidden="1" customHeight="1" outlineLevel="1" x14ac:dyDescent="0.3">
      <c r="A22" s="48"/>
      <c r="B22" s="9" t="str">
        <f>CONCATENATE("          ","5082"," - ","PURCHASES @ COST-COMPUTER HARD")</f>
        <v xml:space="preserve">          5082 - PURCHASES @ COST-COMPUTER HARD</v>
      </c>
      <c r="C22" s="9"/>
      <c r="D22" s="3">
        <v>-29693.58</v>
      </c>
      <c r="E22" s="3"/>
      <c r="F22" s="26">
        <f t="shared" si="4"/>
        <v>-7.439316066296385E-2</v>
      </c>
      <c r="G22" s="3"/>
      <c r="H22" s="3"/>
      <c r="I22" s="3"/>
      <c r="J22" s="26">
        <f t="shared" si="5"/>
        <v>0</v>
      </c>
      <c r="K22" s="3"/>
      <c r="L22" s="3">
        <f t="shared" si="6"/>
        <v>-29693.58</v>
      </c>
      <c r="M22" s="3"/>
      <c r="N22" s="26">
        <f t="shared" si="7"/>
        <v>0</v>
      </c>
      <c r="O22" s="9"/>
      <c r="P22" s="3">
        <v>-150076.54999999999</v>
      </c>
      <c r="Q22" s="3"/>
      <c r="R22" s="26">
        <f t="shared" si="8"/>
        <v>-5.2045795304633068E-2</v>
      </c>
      <c r="S22" s="3"/>
      <c r="T22" s="3"/>
      <c r="U22" s="3"/>
      <c r="V22" s="26">
        <f t="shared" si="9"/>
        <v>0</v>
      </c>
      <c r="W22" s="3"/>
      <c r="X22" s="3">
        <f t="shared" si="10"/>
        <v>-150076.54999999999</v>
      </c>
      <c r="Y22" s="3"/>
      <c r="Z22" s="26">
        <f t="shared" si="11"/>
        <v>0</v>
      </c>
    </row>
    <row r="23" spans="1:26" s="70" customFormat="1" ht="15" hidden="1" customHeight="1" outlineLevel="1" x14ac:dyDescent="0.3">
      <c r="A23" s="48"/>
      <c r="B23" s="9" t="str">
        <f>CONCATENATE("          ","5083"," - ","PURCHASES @ COST-COMPUTER EQUI")</f>
        <v xml:space="preserve">          5083 - PURCHASES @ COST-COMPUTER EQUI</v>
      </c>
      <c r="C23" s="9"/>
      <c r="D23" s="3"/>
      <c r="E23" s="3"/>
      <c r="F23" s="26">
        <f t="shared" si="4"/>
        <v>0</v>
      </c>
      <c r="G23" s="3"/>
      <c r="H23" s="3"/>
      <c r="I23" s="3"/>
      <c r="J23" s="26">
        <f t="shared" si="5"/>
        <v>0</v>
      </c>
      <c r="K23" s="3"/>
      <c r="L23" s="3">
        <f t="shared" si="6"/>
        <v>0</v>
      </c>
      <c r="M23" s="3"/>
      <c r="N23" s="26">
        <f t="shared" si="7"/>
        <v>0</v>
      </c>
      <c r="O23" s="9"/>
      <c r="P23" s="3">
        <v>0</v>
      </c>
      <c r="Q23" s="3"/>
      <c r="R23" s="26">
        <f t="shared" si="8"/>
        <v>0</v>
      </c>
      <c r="S23" s="3"/>
      <c r="T23" s="3"/>
      <c r="U23" s="3"/>
      <c r="V23" s="26">
        <f t="shared" si="9"/>
        <v>0</v>
      </c>
      <c r="W23" s="3"/>
      <c r="X23" s="3">
        <f t="shared" si="10"/>
        <v>0</v>
      </c>
      <c r="Y23" s="3"/>
      <c r="Z23" s="26">
        <f t="shared" si="11"/>
        <v>0</v>
      </c>
    </row>
    <row r="24" spans="1:26" s="70" customFormat="1" ht="15" hidden="1" customHeight="1" outlineLevel="1" x14ac:dyDescent="0.3">
      <c r="A24" s="48"/>
      <c r="B24" s="9" t="str">
        <f>CONCATENATE("          ","5085"," - ","PURCHASES @ COST-SOFTWARE")</f>
        <v xml:space="preserve">          5085 - PURCHASES @ COST-SOFTWARE</v>
      </c>
      <c r="C24" s="9"/>
      <c r="D24" s="3"/>
      <c r="E24" s="3"/>
      <c r="F24" s="26">
        <f t="shared" si="4"/>
        <v>0</v>
      </c>
      <c r="G24" s="3"/>
      <c r="H24" s="3"/>
      <c r="I24" s="3"/>
      <c r="J24" s="26">
        <f t="shared" si="5"/>
        <v>0</v>
      </c>
      <c r="K24" s="3"/>
      <c r="L24" s="3">
        <f t="shared" si="6"/>
        <v>0</v>
      </c>
      <c r="M24" s="3"/>
      <c r="N24" s="26">
        <f t="shared" si="7"/>
        <v>0</v>
      </c>
      <c r="O24" s="9"/>
      <c r="P24" s="3">
        <v>0</v>
      </c>
      <c r="Q24" s="3"/>
      <c r="R24" s="26">
        <f t="shared" si="8"/>
        <v>0</v>
      </c>
      <c r="S24" s="3"/>
      <c r="T24" s="3"/>
      <c r="U24" s="3"/>
      <c r="V24" s="26">
        <f t="shared" si="9"/>
        <v>0</v>
      </c>
      <c r="W24" s="3"/>
      <c r="X24" s="3">
        <f t="shared" si="10"/>
        <v>0</v>
      </c>
      <c r="Y24" s="3"/>
      <c r="Z24" s="26">
        <f t="shared" si="11"/>
        <v>0</v>
      </c>
    </row>
    <row r="25" spans="1:26" s="70" customFormat="1" ht="15" hidden="1" customHeight="1" outlineLevel="1" x14ac:dyDescent="0.3">
      <c r="A25" s="48"/>
      <c r="B25" s="9" t="str">
        <f>CONCATENATE("          ","5086"," - ","PURCHASES @ COST-COMPUTER SUPP")</f>
        <v xml:space="preserve">          5086 - PURCHASES @ COST-COMPUTER SUPP</v>
      </c>
      <c r="C25" s="9"/>
      <c r="D25" s="3"/>
      <c r="E25" s="3"/>
      <c r="F25" s="26">
        <f t="shared" si="4"/>
        <v>0</v>
      </c>
      <c r="G25" s="3"/>
      <c r="H25" s="3"/>
      <c r="I25" s="3"/>
      <c r="J25" s="26">
        <f t="shared" si="5"/>
        <v>0</v>
      </c>
      <c r="K25" s="3"/>
      <c r="L25" s="3">
        <f t="shared" si="6"/>
        <v>0</v>
      </c>
      <c r="M25" s="3"/>
      <c r="N25" s="26">
        <f t="shared" si="7"/>
        <v>0</v>
      </c>
      <c r="O25" s="9"/>
      <c r="P25" s="3">
        <v>0</v>
      </c>
      <c r="Q25" s="3"/>
      <c r="R25" s="26">
        <f t="shared" si="8"/>
        <v>0</v>
      </c>
      <c r="S25" s="3"/>
      <c r="T25" s="3"/>
      <c r="U25" s="3"/>
      <c r="V25" s="26">
        <f t="shared" si="9"/>
        <v>0</v>
      </c>
      <c r="W25" s="3"/>
      <c r="X25" s="3">
        <f t="shared" si="10"/>
        <v>0</v>
      </c>
      <c r="Y25" s="3"/>
      <c r="Z25" s="26">
        <f t="shared" si="11"/>
        <v>0</v>
      </c>
    </row>
    <row r="26" spans="1:26" s="70" customFormat="1" ht="15" hidden="1" customHeight="1" outlineLevel="1" x14ac:dyDescent="0.3">
      <c r="A26" s="48"/>
      <c r="B26" s="9" t="str">
        <f>CONCATENATE("          ","5200"," - ","PURCHASES OFFSET")</f>
        <v xml:space="preserve">          5200 - PURCHASES OFFSET</v>
      </c>
      <c r="C26" s="9"/>
      <c r="D26" s="3">
        <v>-340883.54</v>
      </c>
      <c r="E26" s="3"/>
      <c r="F26" s="26">
        <f t="shared" si="4"/>
        <v>-0.8540365950680201</v>
      </c>
      <c r="G26" s="3"/>
      <c r="H26" s="3"/>
      <c r="I26" s="3"/>
      <c r="J26" s="26">
        <f t="shared" si="5"/>
        <v>0</v>
      </c>
      <c r="K26" s="3"/>
      <c r="L26" s="3">
        <f t="shared" si="6"/>
        <v>-340883.54</v>
      </c>
      <c r="M26" s="3"/>
      <c r="N26" s="26">
        <f t="shared" si="7"/>
        <v>0</v>
      </c>
      <c r="O26" s="9"/>
      <c r="P26" s="3">
        <v>-2564845.42</v>
      </c>
      <c r="Q26" s="3"/>
      <c r="R26" s="26">
        <f t="shared" si="8"/>
        <v>-0.88947553576721772</v>
      </c>
      <c r="S26" s="3"/>
      <c r="T26" s="3"/>
      <c r="U26" s="3"/>
      <c r="V26" s="26">
        <f t="shared" si="9"/>
        <v>0</v>
      </c>
      <c r="W26" s="3"/>
      <c r="X26" s="3">
        <f t="shared" si="10"/>
        <v>-2564845.42</v>
      </c>
      <c r="Y26" s="3"/>
      <c r="Z26" s="26">
        <f t="shared" si="11"/>
        <v>0</v>
      </c>
    </row>
    <row r="27" spans="1:26" s="70" customFormat="1" ht="15" hidden="1" customHeight="1" outlineLevel="1" x14ac:dyDescent="0.3">
      <c r="A27" s="48"/>
      <c r="B27" s="9" t="str">
        <f>CONCATENATE("          ","5300"," - ","COG$ OFFSET")</f>
        <v xml:space="preserve">          5300 - COG$ OFFSET</v>
      </c>
      <c r="C27" s="9"/>
      <c r="D27" s="3">
        <v>382194.36</v>
      </c>
      <c r="E27" s="3"/>
      <c r="F27" s="26">
        <f t="shared" si="4"/>
        <v>0.95753514490198355</v>
      </c>
      <c r="G27" s="3"/>
      <c r="H27" s="3"/>
      <c r="I27" s="3"/>
      <c r="J27" s="26">
        <f t="shared" si="5"/>
        <v>0</v>
      </c>
      <c r="K27" s="3"/>
      <c r="L27" s="3">
        <f t="shared" si="6"/>
        <v>382194.36</v>
      </c>
      <c r="M27" s="3"/>
      <c r="N27" s="26">
        <f t="shared" si="7"/>
        <v>0</v>
      </c>
      <c r="O27" s="9"/>
      <c r="P27" s="3">
        <v>2611967.41</v>
      </c>
      <c r="Q27" s="3"/>
      <c r="R27" s="26">
        <f t="shared" si="8"/>
        <v>0.9058172057075714</v>
      </c>
      <c r="S27" s="3"/>
      <c r="T27" s="3"/>
      <c r="U27" s="3"/>
      <c r="V27" s="26">
        <f t="shared" si="9"/>
        <v>0</v>
      </c>
      <c r="W27" s="3"/>
      <c r="X27" s="3">
        <f t="shared" si="10"/>
        <v>2611967.41</v>
      </c>
      <c r="Y27" s="3"/>
      <c r="Z27" s="26">
        <f t="shared" si="11"/>
        <v>0</v>
      </c>
    </row>
    <row r="28" spans="1:26" s="70" customFormat="1" ht="15" hidden="1" customHeight="1" outlineLevel="1" x14ac:dyDescent="0.3">
      <c r="A28" s="48"/>
      <c r="B28" s="9" t="str">
        <f>CONCATENATE("          ","5500"," - ","FREIGHT-IN")</f>
        <v xml:space="preserve">          5500 - FREIGHT-IN</v>
      </c>
      <c r="C28" s="9"/>
      <c r="D28" s="3">
        <v>4.68</v>
      </c>
      <c r="E28" s="3"/>
      <c r="F28" s="26">
        <f t="shared" si="4"/>
        <v>1.1725093165009768E-5</v>
      </c>
      <c r="G28" s="3"/>
      <c r="H28" s="3"/>
      <c r="I28" s="3"/>
      <c r="J28" s="26">
        <f t="shared" si="5"/>
        <v>0</v>
      </c>
      <c r="K28" s="3"/>
      <c r="L28" s="3">
        <f t="shared" si="6"/>
        <v>4.68</v>
      </c>
      <c r="M28" s="3"/>
      <c r="N28" s="26">
        <f t="shared" si="7"/>
        <v>0</v>
      </c>
      <c r="O28" s="9"/>
      <c r="P28" s="3">
        <v>207.8</v>
      </c>
      <c r="Q28" s="3"/>
      <c r="R28" s="26">
        <f t="shared" si="8"/>
        <v>7.2063998434817127E-5</v>
      </c>
      <c r="S28" s="3"/>
      <c r="T28" s="3"/>
      <c r="U28" s="3"/>
      <c r="V28" s="26">
        <f t="shared" si="9"/>
        <v>0</v>
      </c>
      <c r="W28" s="3"/>
      <c r="X28" s="3">
        <f t="shared" si="10"/>
        <v>207.8</v>
      </c>
      <c r="Y28" s="3"/>
      <c r="Z28" s="26">
        <f t="shared" si="11"/>
        <v>0</v>
      </c>
    </row>
    <row r="29" spans="1:26" s="70" customFormat="1" ht="15" hidden="1" customHeight="1" outlineLevel="1" x14ac:dyDescent="0.3">
      <c r="A29" s="48"/>
      <c r="B29" s="9" t="str">
        <f>CONCATENATE("          ","5583"," - ","FREIGHT-IN-COMPUTER EQUIPMENT")</f>
        <v xml:space="preserve">          5583 - FREIGHT-IN-COMPUTER EQUIPMENT</v>
      </c>
      <c r="C29" s="9"/>
      <c r="D29" s="3"/>
      <c r="E29" s="3"/>
      <c r="F29" s="26">
        <f t="shared" si="4"/>
        <v>0</v>
      </c>
      <c r="G29" s="3"/>
      <c r="H29" s="3"/>
      <c r="I29" s="3"/>
      <c r="J29" s="26">
        <f t="shared" si="5"/>
        <v>0</v>
      </c>
      <c r="K29" s="3"/>
      <c r="L29" s="3">
        <f t="shared" si="6"/>
        <v>0</v>
      </c>
      <c r="M29" s="3"/>
      <c r="N29" s="26">
        <f t="shared" si="7"/>
        <v>0</v>
      </c>
      <c r="O29" s="9"/>
      <c r="P29" s="3">
        <v>0</v>
      </c>
      <c r="Q29" s="3"/>
      <c r="R29" s="26">
        <f t="shared" si="8"/>
        <v>0</v>
      </c>
      <c r="S29" s="3"/>
      <c r="T29" s="3"/>
      <c r="U29" s="3"/>
      <c r="V29" s="26">
        <f t="shared" si="9"/>
        <v>0</v>
      </c>
      <c r="W29" s="3"/>
      <c r="X29" s="3">
        <f t="shared" si="10"/>
        <v>0</v>
      </c>
      <c r="Y29" s="3"/>
      <c r="Z29" s="26">
        <f t="shared" si="11"/>
        <v>0</v>
      </c>
    </row>
    <row r="30" spans="1:26" ht="15" customHeight="1" x14ac:dyDescent="0.3">
      <c r="A30" s="12"/>
      <c r="B30" s="13"/>
      <c r="C30" s="13"/>
      <c r="D30" s="4"/>
      <c r="E30" s="4"/>
      <c r="F30" s="10"/>
      <c r="G30" s="4"/>
      <c r="H30" s="4"/>
      <c r="I30" s="4"/>
      <c r="J30" s="10"/>
      <c r="K30" s="4"/>
      <c r="L30" s="4"/>
      <c r="M30" s="4"/>
      <c r="N30" s="10"/>
      <c r="O30" s="13"/>
      <c r="P30" s="4"/>
      <c r="Q30" s="4"/>
      <c r="R30" s="10"/>
      <c r="S30" s="4"/>
      <c r="T30" s="4"/>
      <c r="U30" s="4"/>
      <c r="V30" s="10"/>
      <c r="W30" s="4"/>
      <c r="X30" s="4"/>
      <c r="Y30" s="4"/>
      <c r="Z30" s="10"/>
    </row>
    <row r="31" spans="1:26" s="63" customFormat="1" ht="15" customHeight="1" x14ac:dyDescent="0.3">
      <c r="A31" s="13"/>
      <c r="B31" s="27" t="s">
        <v>289</v>
      </c>
      <c r="C31" s="27"/>
      <c r="D31" s="23">
        <f>D12-D19</f>
        <v>112946.89999999991</v>
      </c>
      <c r="E31" s="15"/>
      <c r="F31" s="22">
        <f>IF(D$12=0,0,D31/D$12)</f>
        <v>0.2829728472647523</v>
      </c>
      <c r="G31" s="15"/>
      <c r="H31" s="23">
        <f>H12-H19</f>
        <v>11165</v>
      </c>
      <c r="I31" s="15"/>
      <c r="J31" s="22">
        <f>IF(H$12=0,0,H31/H$12)</f>
        <v>0.10499736683719531</v>
      </c>
      <c r="K31" s="17"/>
      <c r="L31" s="23">
        <f>+D31-H31</f>
        <v>101781.89999999991</v>
      </c>
      <c r="M31" s="17"/>
      <c r="N31" s="22">
        <f>IF(H31=0,0,L31/H31)</f>
        <v>9.1161576354679728</v>
      </c>
      <c r="O31" s="28"/>
      <c r="P31" s="23">
        <f>P12-P19</f>
        <v>487960.88999999966</v>
      </c>
      <c r="Q31" s="15"/>
      <c r="R31" s="22">
        <f>IF(P$12=0,0,P31/P$12)</f>
        <v>0.16922239082392659</v>
      </c>
      <c r="S31" s="15"/>
      <c r="T31" s="23">
        <f>T12-T19</f>
        <v>240050</v>
      </c>
      <c r="U31" s="15"/>
      <c r="V31" s="22">
        <f>IF(T$12=0,0,T31/T$12)</f>
        <v>0.10500144565622951</v>
      </c>
      <c r="W31" s="17"/>
      <c r="X31" s="23">
        <f>+P31-T31</f>
        <v>247910.88999999966</v>
      </c>
      <c r="Y31" s="17"/>
      <c r="Z31" s="22">
        <f>IF(T31=0,0,X31/T31)</f>
        <v>1.0327468860654017</v>
      </c>
    </row>
    <row r="32" spans="1:26" ht="15" customHeight="1" x14ac:dyDescent="0.3">
      <c r="A32" s="12"/>
      <c r="B32" s="13"/>
      <c r="C32" s="12"/>
      <c r="D32" s="2"/>
      <c r="E32" s="2"/>
      <c r="F32" s="5"/>
      <c r="G32" s="2"/>
      <c r="H32" s="2"/>
      <c r="I32" s="2"/>
      <c r="J32" s="5"/>
      <c r="K32" s="2"/>
      <c r="L32" s="2"/>
      <c r="M32" s="2"/>
      <c r="N32" s="5"/>
      <c r="O32" s="36"/>
      <c r="P32" s="2"/>
      <c r="Q32" s="2"/>
      <c r="R32" s="5"/>
      <c r="S32" s="2"/>
      <c r="T32" s="2"/>
      <c r="U32" s="2"/>
      <c r="V32" s="5"/>
      <c r="W32" s="2"/>
      <c r="X32" s="2"/>
      <c r="Y32" s="2"/>
      <c r="Z32" s="5"/>
    </row>
    <row r="33" spans="1:26" s="63" customFormat="1" ht="15" customHeight="1" x14ac:dyDescent="0.3">
      <c r="A33" s="13"/>
      <c r="B33" s="28" t="s">
        <v>290</v>
      </c>
      <c r="C33" s="13"/>
      <c r="D33" s="24" cm="1">
        <f t="array" ref="D33">SUM(OSRRefD22x_0)</f>
        <v>3329.8900000000003</v>
      </c>
      <c r="E33" s="24"/>
      <c r="F33" s="34">
        <f t="shared" ref="F33:F74" si="12">IF(D$12=0,0,D33/D$12)</f>
        <v>8.3425791622295693E-3</v>
      </c>
      <c r="G33" s="24"/>
      <c r="H33" s="24" cm="1">
        <f t="array" ref="H33">SUM(OSRRefH22x_0)</f>
        <v>13656.93609967</v>
      </c>
      <c r="I33" s="24"/>
      <c r="J33" s="34">
        <f t="shared" ref="J33:J74" si="13">IF(H$12=0,0,H33/H$12)</f>
        <v>0.12843191487050482</v>
      </c>
      <c r="K33" s="8"/>
      <c r="L33" s="24">
        <f t="shared" ref="L33:L74" si="14">+D33-H33</f>
        <v>-10327.046099669999</v>
      </c>
      <c r="M33" s="8"/>
      <c r="N33" s="34">
        <f t="shared" ref="N33:N74" si="15">IF(H33=0,0,L33/H33)</f>
        <v>-0.75617591122210326</v>
      </c>
      <c r="O33" s="13"/>
      <c r="P33" s="24" cm="1">
        <f t="array" ref="P33">SUM(OSRRefP22x_0)</f>
        <v>174633.16999999995</v>
      </c>
      <c r="Q33" s="24"/>
      <c r="R33" s="34">
        <f t="shared" ref="R33:R74" si="16">IF(P$12=0,0,P33/P$12)</f>
        <v>6.056190803439436E-2</v>
      </c>
      <c r="S33" s="24"/>
      <c r="T33" s="24" cm="1">
        <f t="array" ref="T33">SUM(OSRRefT22x_0)</f>
        <v>188962.38579010998</v>
      </c>
      <c r="U33" s="24"/>
      <c r="V33" s="34">
        <f t="shared" ref="V33:V74" si="17">IF(T$12=0,0,T33/T$12)</f>
        <v>8.2654962227084808E-2</v>
      </c>
      <c r="W33" s="8"/>
      <c r="X33" s="24">
        <f t="shared" ref="X33:X74" si="18">+P33-T33</f>
        <v>-14329.215790110029</v>
      </c>
      <c r="Y33" s="8"/>
      <c r="Z33" s="34">
        <f t="shared" ref="Z33:Z74" si="19">IF(T33=0,0,X33/T33)</f>
        <v>-7.5831048227906109E-2</v>
      </c>
    </row>
    <row r="34" spans="1:26" s="69" customFormat="1" ht="15" customHeight="1" outlineLevel="1" collapsed="1" x14ac:dyDescent="0.3">
      <c r="A34" s="20"/>
      <c r="B34" s="11" t="str">
        <f>CONCATENATE("     ","*Benefits                                         ")</f>
        <v xml:space="preserve">     *Benefits                                         </v>
      </c>
      <c r="C34" s="11"/>
      <c r="D34" s="2">
        <f>SUM(OSRRefD22_0x_0)</f>
        <v>846.68999999999994</v>
      </c>
      <c r="E34" s="2"/>
      <c r="F34" s="5">
        <f t="shared" si="12"/>
        <v>2.1212647717696841E-3</v>
      </c>
      <c r="G34" s="2"/>
      <c r="H34" s="2">
        <f>SUM(OSRRefH22_0x_0)</f>
        <v>2818.6255496700001</v>
      </c>
      <c r="I34" s="2"/>
      <c r="J34" s="5">
        <f t="shared" si="13"/>
        <v>2.6506785563402798E-2</v>
      </c>
      <c r="K34" s="2"/>
      <c r="L34" s="2">
        <f t="shared" si="14"/>
        <v>-1971.93554967</v>
      </c>
      <c r="M34" s="2"/>
      <c r="N34" s="5">
        <f t="shared" si="15"/>
        <v>-0.69960891041410977</v>
      </c>
      <c r="O34" s="11"/>
      <c r="P34" s="2">
        <f>SUM(OSRRefP22_0x_0)</f>
        <v>31634.639999999999</v>
      </c>
      <c r="Q34" s="2"/>
      <c r="R34" s="5">
        <f t="shared" si="16"/>
        <v>1.0970734588286828E-2</v>
      </c>
      <c r="S34" s="2"/>
      <c r="T34" s="2">
        <f>SUM(OSRRefT22_0x_0)</f>
        <v>33822.508640109998</v>
      </c>
      <c r="U34" s="2"/>
      <c r="V34" s="5">
        <f t="shared" si="17"/>
        <v>1.4794469081157521E-2</v>
      </c>
      <c r="W34" s="2"/>
      <c r="X34" s="2">
        <f t="shared" si="18"/>
        <v>-2187.8686401099985</v>
      </c>
      <c r="Y34" s="2"/>
      <c r="Z34" s="5">
        <f t="shared" si="19"/>
        <v>-6.4686764172052352E-2</v>
      </c>
    </row>
    <row r="35" spans="1:26" s="70" customFormat="1" ht="15" hidden="1" customHeight="1" outlineLevel="2" x14ac:dyDescent="0.3">
      <c r="A35" s="21"/>
      <c r="B35" s="9" t="str">
        <f>CONCATENATE("          ","6111"," - ","F.I.C.A.")</f>
        <v xml:space="preserve">          6111 - F.I.C.A.</v>
      </c>
      <c r="C35" s="9"/>
      <c r="D35" s="6">
        <v>804.82</v>
      </c>
      <c r="E35" s="3"/>
      <c r="F35" s="7">
        <f t="shared" si="12"/>
        <v>2.0163652737314451E-3</v>
      </c>
      <c r="G35" s="3"/>
      <c r="H35" s="6">
        <v>741.35598236999999</v>
      </c>
      <c r="I35" s="3"/>
      <c r="J35" s="7">
        <f t="shared" si="13"/>
        <v>6.9718249921945528E-3</v>
      </c>
      <c r="K35" s="3"/>
      <c r="L35" s="6">
        <f t="shared" si="14"/>
        <v>63.464017630000058</v>
      </c>
      <c r="M35" s="3"/>
      <c r="N35" s="7">
        <f t="shared" si="15"/>
        <v>8.5605322057448627E-2</v>
      </c>
      <c r="O35" s="9"/>
      <c r="P35" s="6">
        <v>7299.12</v>
      </c>
      <c r="Q35" s="3"/>
      <c r="R35" s="7">
        <f t="shared" si="16"/>
        <v>2.5312982302961614E-3</v>
      </c>
      <c r="S35" s="3"/>
      <c r="T35" s="6">
        <v>7008.5834972100001</v>
      </c>
      <c r="U35" s="3"/>
      <c r="V35" s="7">
        <f t="shared" si="17"/>
        <v>3.0656588177856397E-3</v>
      </c>
      <c r="W35" s="3"/>
      <c r="X35" s="6">
        <f t="shared" si="18"/>
        <v>290.53650278999976</v>
      </c>
      <c r="Y35" s="3"/>
      <c r="Z35" s="7">
        <f t="shared" si="19"/>
        <v>4.1454382744481461E-2</v>
      </c>
    </row>
    <row r="36" spans="1:26" s="70" customFormat="1" ht="15" hidden="1" customHeight="1" outlineLevel="2" x14ac:dyDescent="0.3">
      <c r="A36" s="21"/>
      <c r="B36" s="9" t="str">
        <f>CONCATENATE("          ","6112"," - ","COMPENSATION INSURANCE")</f>
        <v xml:space="preserve">          6112 - COMPENSATION INSURANCE</v>
      </c>
      <c r="C36" s="9"/>
      <c r="D36" s="6">
        <v>-1175.6300000000001</v>
      </c>
      <c r="E36" s="3"/>
      <c r="F36" s="7">
        <f t="shared" si="12"/>
        <v>-2.945378478115478E-3</v>
      </c>
      <c r="G36" s="3"/>
      <c r="H36" s="6">
        <v>151.11921240000001</v>
      </c>
      <c r="I36" s="3"/>
      <c r="J36" s="7">
        <f t="shared" si="13"/>
        <v>1.4211481755943426E-3</v>
      </c>
      <c r="K36" s="3"/>
      <c r="L36" s="6">
        <f t="shared" si="14"/>
        <v>-1326.7492124</v>
      </c>
      <c r="M36" s="3"/>
      <c r="N36" s="7">
        <f t="shared" si="15"/>
        <v>-8.7794873420078776</v>
      </c>
      <c r="O36" s="9"/>
      <c r="P36" s="6">
        <v>536.69000000000005</v>
      </c>
      <c r="Q36" s="3"/>
      <c r="R36" s="7">
        <f t="shared" si="16"/>
        <v>1.861214019248412E-4</v>
      </c>
      <c r="S36" s="3"/>
      <c r="T36" s="6">
        <v>2125.1024652000001</v>
      </c>
      <c r="U36" s="3"/>
      <c r="V36" s="7">
        <f t="shared" si="17"/>
        <v>9.2955147266659936E-4</v>
      </c>
      <c r="W36" s="3"/>
      <c r="X36" s="6">
        <f t="shared" si="18"/>
        <v>-1588.4124652</v>
      </c>
      <c r="Y36" s="3"/>
      <c r="Z36" s="7">
        <f t="shared" si="19"/>
        <v>-0.74745217758265103</v>
      </c>
    </row>
    <row r="37" spans="1:26" s="70" customFormat="1" ht="15" hidden="1" customHeight="1" outlineLevel="2" x14ac:dyDescent="0.3">
      <c r="A37" s="21"/>
      <c r="B37" s="9" t="str">
        <f>CONCATENATE("          ","6113"," - ","GROUP INSURANCE")</f>
        <v xml:space="preserve">          6113 - GROUP INSURANCE</v>
      </c>
      <c r="C37" s="9"/>
      <c r="D37" s="6">
        <v>179.83</v>
      </c>
      <c r="E37" s="3"/>
      <c r="F37" s="7">
        <f t="shared" si="12"/>
        <v>4.505392102272878E-4</v>
      </c>
      <c r="G37" s="3"/>
      <c r="H37" s="6">
        <v>943.5</v>
      </c>
      <c r="I37" s="3"/>
      <c r="J37" s="7">
        <f t="shared" si="13"/>
        <v>8.8728182365332524E-3</v>
      </c>
      <c r="K37" s="3"/>
      <c r="L37" s="6">
        <f t="shared" si="14"/>
        <v>-763.67</v>
      </c>
      <c r="M37" s="3"/>
      <c r="N37" s="7">
        <f t="shared" si="15"/>
        <v>-0.80940116587175404</v>
      </c>
      <c r="O37" s="9"/>
      <c r="P37" s="6">
        <v>11627.15</v>
      </c>
      <c r="Q37" s="3"/>
      <c r="R37" s="7">
        <f t="shared" si="16"/>
        <v>4.0322373407188829E-3</v>
      </c>
      <c r="S37" s="3"/>
      <c r="T37" s="6">
        <v>11934</v>
      </c>
      <c r="U37" s="3"/>
      <c r="V37" s="7">
        <f t="shared" si="17"/>
        <v>5.2201093624721639E-3</v>
      </c>
      <c r="W37" s="3"/>
      <c r="X37" s="6">
        <f t="shared" si="18"/>
        <v>-306.85000000000036</v>
      </c>
      <c r="Y37" s="3"/>
      <c r="Z37" s="7">
        <f t="shared" si="19"/>
        <v>-2.5712250712250743E-2</v>
      </c>
    </row>
    <row r="38" spans="1:26" s="70" customFormat="1" ht="15" hidden="1" customHeight="1" outlineLevel="2" x14ac:dyDescent="0.3">
      <c r="A38" s="21"/>
      <c r="B38" s="9" t="str">
        <f>CONCATENATE("          ","6114"," - ","STATE UNEMPLOYMENT INSURANCE")</f>
        <v xml:space="preserve">          6114 - STATE UNEMPLOYMENT INSURANCE</v>
      </c>
      <c r="C38" s="9"/>
      <c r="D38" s="6"/>
      <c r="E38" s="3"/>
      <c r="F38" s="7">
        <f t="shared" si="12"/>
        <v>0</v>
      </c>
      <c r="G38" s="3"/>
      <c r="H38" s="6">
        <v>20.342970900000001</v>
      </c>
      <c r="I38" s="3"/>
      <c r="J38" s="7">
        <f t="shared" si="13"/>
        <v>1.9130840825308458E-4</v>
      </c>
      <c r="K38" s="3"/>
      <c r="L38" s="6">
        <f t="shared" si="14"/>
        <v>-20.342970900000001</v>
      </c>
      <c r="M38" s="3"/>
      <c r="N38" s="7">
        <f t="shared" si="15"/>
        <v>-1</v>
      </c>
      <c r="O38" s="9"/>
      <c r="P38" s="6">
        <v>301.5</v>
      </c>
      <c r="Q38" s="3"/>
      <c r="R38" s="7">
        <f t="shared" si="16"/>
        <v>1.0455868877813937E-4</v>
      </c>
      <c r="S38" s="3"/>
      <c r="T38" s="6">
        <v>286.07148569999998</v>
      </c>
      <c r="U38" s="3"/>
      <c r="V38" s="7">
        <f t="shared" si="17"/>
        <v>1.2513192901281143E-4</v>
      </c>
      <c r="W38" s="3"/>
      <c r="X38" s="6">
        <f t="shared" si="18"/>
        <v>15.428514300000018</v>
      </c>
      <c r="Y38" s="3"/>
      <c r="Z38" s="7">
        <f t="shared" si="19"/>
        <v>5.3932373798973206E-2</v>
      </c>
    </row>
    <row r="39" spans="1:26" s="70" customFormat="1" ht="15" hidden="1" customHeight="1" outlineLevel="2" x14ac:dyDescent="0.3">
      <c r="A39" s="21"/>
      <c r="B39" s="9" t="str">
        <f>CONCATENATE("          ","6115"," - ","P.E.R.S.")</f>
        <v xml:space="preserve">          6115 - P.E.R.S.</v>
      </c>
      <c r="C39" s="9"/>
      <c r="D39" s="6">
        <v>111.48</v>
      </c>
      <c r="E39" s="3"/>
      <c r="F39" s="7">
        <f t="shared" si="12"/>
        <v>2.7929773205882249E-4</v>
      </c>
      <c r="G39" s="3"/>
      <c r="H39" s="6">
        <v>202.166134</v>
      </c>
      <c r="I39" s="3"/>
      <c r="J39" s="7">
        <f t="shared" si="13"/>
        <v>1.9012012300631959E-3</v>
      </c>
      <c r="K39" s="3"/>
      <c r="L39" s="6">
        <f t="shared" si="14"/>
        <v>-90.686133999999996</v>
      </c>
      <c r="M39" s="3"/>
      <c r="N39" s="7">
        <f t="shared" si="15"/>
        <v>-0.44857233111061023</v>
      </c>
      <c r="O39" s="9"/>
      <c r="P39" s="6">
        <v>1453.64</v>
      </c>
      <c r="Q39" s="3"/>
      <c r="R39" s="7">
        <f t="shared" si="16"/>
        <v>5.0411506585557053E-4</v>
      </c>
      <c r="S39" s="3"/>
      <c r="T39" s="6">
        <v>2628.1597419999998</v>
      </c>
      <c r="U39" s="3"/>
      <c r="V39" s="7">
        <f t="shared" si="17"/>
        <v>1.1495962188106776E-3</v>
      </c>
      <c r="W39" s="3"/>
      <c r="X39" s="6">
        <f t="shared" si="18"/>
        <v>-1174.5197419999997</v>
      </c>
      <c r="Y39" s="3"/>
      <c r="Z39" s="7">
        <f t="shared" si="19"/>
        <v>-0.44689815585798581</v>
      </c>
    </row>
    <row r="40" spans="1:26" s="70" customFormat="1" ht="15" hidden="1" customHeight="1" outlineLevel="2" x14ac:dyDescent="0.3">
      <c r="A40" s="21"/>
      <c r="B40" s="9" t="str">
        <f>CONCATENATE("          ","6116"," - ","EDUCATIONAL BENEFITS")</f>
        <v xml:space="preserve">          6116 - EDUCATIONAL BENEFITS</v>
      </c>
      <c r="C40" s="9"/>
      <c r="D40" s="6"/>
      <c r="E40" s="3"/>
      <c r="F40" s="7">
        <f t="shared" si="12"/>
        <v>0</v>
      </c>
      <c r="G40" s="3"/>
      <c r="H40" s="6">
        <v>0</v>
      </c>
      <c r="I40" s="3"/>
      <c r="J40" s="7">
        <f t="shared" si="13"/>
        <v>0</v>
      </c>
      <c r="K40" s="3"/>
      <c r="L40" s="6">
        <f t="shared" si="14"/>
        <v>0</v>
      </c>
      <c r="M40" s="3"/>
      <c r="N40" s="7">
        <f t="shared" si="15"/>
        <v>0</v>
      </c>
      <c r="O40" s="9"/>
      <c r="P40" s="6"/>
      <c r="Q40" s="3"/>
      <c r="R40" s="7">
        <f t="shared" si="16"/>
        <v>0</v>
      </c>
      <c r="S40" s="3"/>
      <c r="T40" s="6">
        <v>0</v>
      </c>
      <c r="U40" s="3"/>
      <c r="V40" s="7">
        <f t="shared" si="17"/>
        <v>0</v>
      </c>
      <c r="W40" s="3"/>
      <c r="X40" s="6">
        <f t="shared" si="18"/>
        <v>0</v>
      </c>
      <c r="Y40" s="3"/>
      <c r="Z40" s="7">
        <f t="shared" si="19"/>
        <v>0</v>
      </c>
    </row>
    <row r="41" spans="1:26" s="70" customFormat="1" ht="15" hidden="1" customHeight="1" outlineLevel="2" x14ac:dyDescent="0.3">
      <c r="A41" s="21"/>
      <c r="B41" s="9" t="str">
        <f>CONCATENATE("          ","6117"," - ","RETIREMENT STAFF HOURLY")</f>
        <v xml:space="preserve">          6117 - RETIREMENT STAFF HOURLY</v>
      </c>
      <c r="C41" s="9"/>
      <c r="D41" s="6">
        <v>195.63</v>
      </c>
      <c r="E41" s="3"/>
      <c r="F41" s="7">
        <f t="shared" si="12"/>
        <v>4.9012392646813276E-4</v>
      </c>
      <c r="G41" s="3"/>
      <c r="H41" s="6"/>
      <c r="I41" s="3"/>
      <c r="J41" s="7">
        <f t="shared" si="13"/>
        <v>0</v>
      </c>
      <c r="K41" s="3"/>
      <c r="L41" s="6">
        <f t="shared" si="14"/>
        <v>195.63</v>
      </c>
      <c r="M41" s="3"/>
      <c r="N41" s="7">
        <f t="shared" si="15"/>
        <v>0</v>
      </c>
      <c r="O41" s="9"/>
      <c r="P41" s="6">
        <v>562.08000000000004</v>
      </c>
      <c r="Q41" s="3"/>
      <c r="R41" s="7">
        <f t="shared" si="16"/>
        <v>1.9492652666141486E-4</v>
      </c>
      <c r="S41" s="3"/>
      <c r="T41" s="6"/>
      <c r="U41" s="3"/>
      <c r="V41" s="7">
        <f t="shared" si="17"/>
        <v>0</v>
      </c>
      <c r="W41" s="3"/>
      <c r="X41" s="6">
        <f t="shared" si="18"/>
        <v>562.08000000000004</v>
      </c>
      <c r="Y41" s="3"/>
      <c r="Z41" s="7">
        <f t="shared" si="19"/>
        <v>0</v>
      </c>
    </row>
    <row r="42" spans="1:26" s="70" customFormat="1" ht="15" hidden="1" customHeight="1" outlineLevel="2" x14ac:dyDescent="0.3">
      <c r="A42" s="21"/>
      <c r="B42" s="9" t="str">
        <f>CONCATENATE("          ","6118"," - ","VACATION")</f>
        <v xml:space="preserve">          6118 - VACATION</v>
      </c>
      <c r="C42" s="9"/>
      <c r="D42" s="6">
        <v>229.44</v>
      </c>
      <c r="E42" s="3"/>
      <c r="F42" s="7">
        <f t="shared" si="12"/>
        <v>5.7483020849996612E-4</v>
      </c>
      <c r="G42" s="3"/>
      <c r="H42" s="6">
        <v>179.29106999999999</v>
      </c>
      <c r="I42" s="3"/>
      <c r="J42" s="7">
        <f t="shared" si="13"/>
        <v>1.6860806312067409E-3</v>
      </c>
      <c r="K42" s="3"/>
      <c r="L42" s="6">
        <f t="shared" si="14"/>
        <v>50.148930000000007</v>
      </c>
      <c r="M42" s="3"/>
      <c r="N42" s="7">
        <f t="shared" si="15"/>
        <v>0.27970679186643266</v>
      </c>
      <c r="O42" s="9"/>
      <c r="P42" s="6">
        <v>3358.39</v>
      </c>
      <c r="Q42" s="3"/>
      <c r="R42" s="7">
        <f t="shared" si="16"/>
        <v>1.1646728185924229E-3</v>
      </c>
      <c r="S42" s="3"/>
      <c r="T42" s="6">
        <v>2330.7839100000001</v>
      </c>
      <c r="U42" s="3"/>
      <c r="V42" s="7">
        <f t="shared" si="17"/>
        <v>1.0195196003427583E-3</v>
      </c>
      <c r="W42" s="3"/>
      <c r="X42" s="6">
        <f t="shared" si="18"/>
        <v>1027.6060899999998</v>
      </c>
      <c r="Y42" s="3"/>
      <c r="Z42" s="7">
        <f t="shared" si="19"/>
        <v>0.44088432462192506</v>
      </c>
    </row>
    <row r="43" spans="1:26" s="70" customFormat="1" ht="15" hidden="1" customHeight="1" outlineLevel="2" x14ac:dyDescent="0.3">
      <c r="A43" s="21"/>
      <c r="B43" s="9" t="str">
        <f>CONCATENATE("          ","6119"," - ","SICK LEAVE")</f>
        <v xml:space="preserve">          6119 - SICK LEAVE</v>
      </c>
      <c r="C43" s="9"/>
      <c r="D43" s="6">
        <v>252.39</v>
      </c>
      <c r="E43" s="3"/>
      <c r="F43" s="7">
        <f t="shared" si="12"/>
        <v>6.3232826152068709E-4</v>
      </c>
      <c r="G43" s="3"/>
      <c r="H43" s="6">
        <v>230.85017999999999</v>
      </c>
      <c r="I43" s="3"/>
      <c r="J43" s="7">
        <f t="shared" si="13"/>
        <v>2.170950383689437E-3</v>
      </c>
      <c r="K43" s="3"/>
      <c r="L43" s="6">
        <f t="shared" si="14"/>
        <v>21.539819999999992</v>
      </c>
      <c r="M43" s="3"/>
      <c r="N43" s="7">
        <f t="shared" si="15"/>
        <v>9.3306489949455493E-2</v>
      </c>
      <c r="O43" s="9"/>
      <c r="P43" s="6">
        <v>4174.7700000000004</v>
      </c>
      <c r="Q43" s="3"/>
      <c r="R43" s="7">
        <f t="shared" si="16"/>
        <v>1.4477893106146365E-3</v>
      </c>
      <c r="S43" s="3"/>
      <c r="T43" s="6">
        <v>3309.8075399999998</v>
      </c>
      <c r="U43" s="3"/>
      <c r="V43" s="7">
        <f t="shared" si="17"/>
        <v>1.4477591191163867E-3</v>
      </c>
      <c r="W43" s="3"/>
      <c r="X43" s="6">
        <f t="shared" si="18"/>
        <v>864.96246000000065</v>
      </c>
      <c r="Y43" s="3"/>
      <c r="Z43" s="7">
        <f t="shared" si="19"/>
        <v>0.26133315896669951</v>
      </c>
    </row>
    <row r="44" spans="1:26" s="70" customFormat="1" ht="15" hidden="1" customHeight="1" outlineLevel="2" x14ac:dyDescent="0.3">
      <c r="A44" s="21"/>
      <c r="B44" s="9" t="str">
        <f>CONCATENATE("          ","6156"," - ","EMPLOYEE MEALS")</f>
        <v xml:space="preserve">          6156 - EMPLOYEE MEALS</v>
      </c>
      <c r="C44" s="9"/>
      <c r="D44" s="6">
        <v>248.73</v>
      </c>
      <c r="E44" s="3"/>
      <c r="F44" s="7">
        <f t="shared" si="12"/>
        <v>6.2315863737882047E-4</v>
      </c>
      <c r="G44" s="3"/>
      <c r="H44" s="6">
        <v>350</v>
      </c>
      <c r="I44" s="3"/>
      <c r="J44" s="7">
        <f t="shared" si="13"/>
        <v>3.2914535058681913E-3</v>
      </c>
      <c r="K44" s="3"/>
      <c r="L44" s="6">
        <f t="shared" si="14"/>
        <v>-101.27000000000001</v>
      </c>
      <c r="M44" s="3"/>
      <c r="N44" s="7">
        <f t="shared" si="15"/>
        <v>-0.28934285714285718</v>
      </c>
      <c r="O44" s="9"/>
      <c r="P44" s="6">
        <v>2321.3000000000002</v>
      </c>
      <c r="Q44" s="3"/>
      <c r="R44" s="7">
        <f t="shared" si="16"/>
        <v>8.0501520484475928E-4</v>
      </c>
      <c r="S44" s="3"/>
      <c r="T44" s="6">
        <v>4200</v>
      </c>
      <c r="U44" s="3"/>
      <c r="V44" s="7">
        <f t="shared" si="17"/>
        <v>1.837142560950485E-3</v>
      </c>
      <c r="W44" s="3"/>
      <c r="X44" s="6">
        <f t="shared" si="18"/>
        <v>-1878.6999999999998</v>
      </c>
      <c r="Y44" s="3"/>
      <c r="Z44" s="7">
        <f t="shared" si="19"/>
        <v>-0.44730952380952377</v>
      </c>
    </row>
    <row r="45" spans="1:26" s="69" customFormat="1" ht="15" customHeight="1" outlineLevel="1" collapsed="1" x14ac:dyDescent="0.3">
      <c r="A45" s="20"/>
      <c r="B45" s="11" t="str">
        <f>CONCATENATE("     ","*Payroll                                          ")</f>
        <v xml:space="preserve">     *Payroll                                          </v>
      </c>
      <c r="C45" s="11"/>
      <c r="D45" s="2">
        <f>SUM(OSRRefD22_1x_0)</f>
        <v>10438.880000000001</v>
      </c>
      <c r="E45" s="2"/>
      <c r="F45" s="5">
        <f t="shared" si="12"/>
        <v>2.6153171055204528E-2</v>
      </c>
      <c r="G45" s="2"/>
      <c r="H45" s="2">
        <f>SUM(OSRRefH22_1x_0)</f>
        <v>9388.3105500000001</v>
      </c>
      <c r="I45" s="2"/>
      <c r="J45" s="5">
        <f t="shared" si="13"/>
        <v>8.8289107639933792E-2</v>
      </c>
      <c r="K45" s="2"/>
      <c r="L45" s="2">
        <f t="shared" si="14"/>
        <v>1050.5694500000009</v>
      </c>
      <c r="M45" s="2"/>
      <c r="N45" s="5">
        <f t="shared" si="15"/>
        <v>0.11190186396209495</v>
      </c>
      <c r="O45" s="11"/>
      <c r="P45" s="2">
        <f>SUM(OSRRefP22_1x_0)</f>
        <v>127833.33</v>
      </c>
      <c r="Q45" s="2"/>
      <c r="R45" s="5">
        <f t="shared" si="16"/>
        <v>4.4331958099314055E-2</v>
      </c>
      <c r="S45" s="2"/>
      <c r="T45" s="2">
        <f>SUM(OSRRefT22_1x_0)</f>
        <v>132339.87714999999</v>
      </c>
      <c r="U45" s="2"/>
      <c r="V45" s="5">
        <f t="shared" si="17"/>
        <v>5.7887433529338943E-2</v>
      </c>
      <c r="W45" s="2"/>
      <c r="X45" s="2">
        <f t="shared" si="18"/>
        <v>-4506.547149999984</v>
      </c>
      <c r="Y45" s="2"/>
      <c r="Z45" s="5">
        <f t="shared" si="19"/>
        <v>-3.4052828573295862E-2</v>
      </c>
    </row>
    <row r="46" spans="1:26" s="70" customFormat="1" ht="15" hidden="1" customHeight="1" outlineLevel="2" x14ac:dyDescent="0.3">
      <c r="A46" s="21"/>
      <c r="B46" s="9" t="str">
        <f>CONCATENATE("          ","6001"," - ","ADMINISTRATIVE SALARIES")</f>
        <v xml:space="preserve">          6001 - ADMINISTRATIVE SALARIES</v>
      </c>
      <c r="C46" s="9"/>
      <c r="D46" s="6"/>
      <c r="E46" s="3"/>
      <c r="F46" s="7">
        <f t="shared" si="12"/>
        <v>0</v>
      </c>
      <c r="G46" s="3"/>
      <c r="H46" s="6">
        <v>0</v>
      </c>
      <c r="I46" s="3"/>
      <c r="J46" s="7">
        <f t="shared" si="13"/>
        <v>0</v>
      </c>
      <c r="K46" s="3"/>
      <c r="L46" s="6">
        <f t="shared" si="14"/>
        <v>0</v>
      </c>
      <c r="M46" s="3"/>
      <c r="N46" s="7">
        <f t="shared" si="15"/>
        <v>0</v>
      </c>
      <c r="O46" s="9"/>
      <c r="P46" s="6"/>
      <c r="Q46" s="3"/>
      <c r="R46" s="7">
        <f t="shared" si="16"/>
        <v>0</v>
      </c>
      <c r="S46" s="3"/>
      <c r="T46" s="6">
        <v>0</v>
      </c>
      <c r="U46" s="3"/>
      <c r="V46" s="7">
        <f t="shared" si="17"/>
        <v>0</v>
      </c>
      <c r="W46" s="3"/>
      <c r="X46" s="6">
        <f t="shared" si="18"/>
        <v>0</v>
      </c>
      <c r="Y46" s="3"/>
      <c r="Z46" s="7">
        <f t="shared" si="19"/>
        <v>0</v>
      </c>
    </row>
    <row r="47" spans="1:26" s="70" customFormat="1" ht="15" hidden="1" customHeight="1" outlineLevel="2" x14ac:dyDescent="0.3">
      <c r="A47" s="21"/>
      <c r="B47" s="9" t="str">
        <f>CONCATENATE("          ","6002"," - ","STAFF SALARIES")</f>
        <v xml:space="preserve">          6002 - STAFF SALARIES</v>
      </c>
      <c r="C47" s="9"/>
      <c r="D47" s="6">
        <v>1550.4</v>
      </c>
      <c r="E47" s="3"/>
      <c r="F47" s="7">
        <f t="shared" si="12"/>
        <v>3.8843129151775956E-3</v>
      </c>
      <c r="G47" s="3"/>
      <c r="H47" s="6">
        <v>2233.2305500000002</v>
      </c>
      <c r="I47" s="3"/>
      <c r="J47" s="7">
        <f t="shared" si="13"/>
        <v>2.1001641494884142E-2</v>
      </c>
      <c r="K47" s="3"/>
      <c r="L47" s="6">
        <f t="shared" si="14"/>
        <v>-682.83055000000013</v>
      </c>
      <c r="M47" s="3"/>
      <c r="N47" s="7">
        <f t="shared" si="15"/>
        <v>-0.30575909415174357</v>
      </c>
      <c r="O47" s="9"/>
      <c r="P47" s="6">
        <v>21807.34</v>
      </c>
      <c r="Q47" s="3"/>
      <c r="R47" s="7">
        <f t="shared" si="16"/>
        <v>7.5626762060997344E-3</v>
      </c>
      <c r="S47" s="3"/>
      <c r="T47" s="6">
        <v>29031.997149999999</v>
      </c>
      <c r="U47" s="3"/>
      <c r="V47" s="7">
        <f t="shared" si="17"/>
        <v>1.2699027998490044E-2</v>
      </c>
      <c r="W47" s="3"/>
      <c r="X47" s="6">
        <f t="shared" si="18"/>
        <v>-7224.6571499999991</v>
      </c>
      <c r="Y47" s="3"/>
      <c r="Z47" s="7">
        <f t="shared" si="19"/>
        <v>-0.24885153827593287</v>
      </c>
    </row>
    <row r="48" spans="1:26" s="70" customFormat="1" ht="15" hidden="1" customHeight="1" outlineLevel="2" x14ac:dyDescent="0.3">
      <c r="A48" s="21"/>
      <c r="B48" s="9" t="str">
        <f>CONCATENATE("          ","6003"," - ","STAFF HOURLY-9 MONTH")</f>
        <v xml:space="preserve">          6003 - STAFF HOURLY-9 MONTH</v>
      </c>
      <c r="C48" s="9"/>
      <c r="D48" s="6"/>
      <c r="E48" s="3"/>
      <c r="F48" s="7">
        <f t="shared" si="12"/>
        <v>0</v>
      </c>
      <c r="G48" s="3"/>
      <c r="H48" s="6">
        <v>0</v>
      </c>
      <c r="I48" s="3"/>
      <c r="J48" s="7">
        <f t="shared" si="13"/>
        <v>0</v>
      </c>
      <c r="K48" s="3"/>
      <c r="L48" s="6">
        <f t="shared" si="14"/>
        <v>0</v>
      </c>
      <c r="M48" s="3"/>
      <c r="N48" s="7">
        <f t="shared" si="15"/>
        <v>0</v>
      </c>
      <c r="O48" s="9"/>
      <c r="P48" s="6"/>
      <c r="Q48" s="3"/>
      <c r="R48" s="7">
        <f t="shared" si="16"/>
        <v>0</v>
      </c>
      <c r="S48" s="3"/>
      <c r="T48" s="6">
        <v>0</v>
      </c>
      <c r="U48" s="3"/>
      <c r="V48" s="7">
        <f t="shared" si="17"/>
        <v>0</v>
      </c>
      <c r="W48" s="3"/>
      <c r="X48" s="6">
        <f t="shared" si="18"/>
        <v>0</v>
      </c>
      <c r="Y48" s="3"/>
      <c r="Z48" s="7">
        <f t="shared" si="19"/>
        <v>0</v>
      </c>
    </row>
    <row r="49" spans="1:26" s="70" customFormat="1" ht="15" hidden="1" customHeight="1" outlineLevel="2" x14ac:dyDescent="0.3">
      <c r="A49" s="21"/>
      <c r="B49" s="9" t="str">
        <f>CONCATENATE("          ","6004"," - ","STAFF HOURLY")</f>
        <v xml:space="preserve">          6004 - STAFF HOURLY</v>
      </c>
      <c r="C49" s="9"/>
      <c r="D49" s="6">
        <v>3950.56</v>
      </c>
      <c r="E49" s="3"/>
      <c r="F49" s="7">
        <f t="shared" si="12"/>
        <v>9.8975820628121776E-3</v>
      </c>
      <c r="G49" s="3"/>
      <c r="H49" s="6">
        <v>3444.32</v>
      </c>
      <c r="I49" s="3"/>
      <c r="J49" s="7">
        <f t="shared" si="13"/>
        <v>3.2390911826662656E-2</v>
      </c>
      <c r="K49" s="3"/>
      <c r="L49" s="6">
        <f t="shared" si="14"/>
        <v>506.23999999999978</v>
      </c>
      <c r="M49" s="3"/>
      <c r="N49" s="7">
        <f t="shared" si="15"/>
        <v>0.14697821340641978</v>
      </c>
      <c r="O49" s="9"/>
      <c r="P49" s="6">
        <v>41779.29</v>
      </c>
      <c r="Q49" s="3"/>
      <c r="R49" s="7">
        <f t="shared" si="16"/>
        <v>1.4488848359806402E-2</v>
      </c>
      <c r="S49" s="3"/>
      <c r="T49" s="6">
        <v>44776.160000000003</v>
      </c>
      <c r="U49" s="3"/>
      <c r="V49" s="7">
        <f t="shared" si="17"/>
        <v>1.9585759345697305E-2</v>
      </c>
      <c r="W49" s="3"/>
      <c r="X49" s="6">
        <f t="shared" si="18"/>
        <v>-2996.8700000000026</v>
      </c>
      <c r="Y49" s="3"/>
      <c r="Z49" s="7">
        <f t="shared" si="19"/>
        <v>-6.6930035983434097E-2</v>
      </c>
    </row>
    <row r="50" spans="1:26" s="70" customFormat="1" ht="15" hidden="1" customHeight="1" outlineLevel="2" x14ac:dyDescent="0.3">
      <c r="A50" s="21"/>
      <c r="B50" s="9" t="str">
        <f>CONCATENATE("          ","6005"," - ","TEMPORARY WAGES-HOURLY")</f>
        <v xml:space="preserve">          6005 - TEMPORARY WAGES-HOURLY</v>
      </c>
      <c r="C50" s="9"/>
      <c r="D50" s="6">
        <v>1731.39</v>
      </c>
      <c r="E50" s="3"/>
      <c r="F50" s="7">
        <f t="shared" si="12"/>
        <v>4.3377583450782617E-3</v>
      </c>
      <c r="G50" s="3"/>
      <c r="H50" s="6">
        <v>0</v>
      </c>
      <c r="I50" s="3"/>
      <c r="J50" s="7">
        <f t="shared" si="13"/>
        <v>0</v>
      </c>
      <c r="K50" s="3"/>
      <c r="L50" s="6">
        <f t="shared" si="14"/>
        <v>1731.39</v>
      </c>
      <c r="M50" s="3"/>
      <c r="N50" s="7">
        <f t="shared" si="15"/>
        <v>0</v>
      </c>
      <c r="O50" s="9"/>
      <c r="P50" s="6">
        <v>18327.900000000001</v>
      </c>
      <c r="Q50" s="3"/>
      <c r="R50" s="7">
        <f t="shared" si="16"/>
        <v>6.356023854251611E-3</v>
      </c>
      <c r="S50" s="3"/>
      <c r="T50" s="6">
        <v>0</v>
      </c>
      <c r="U50" s="3"/>
      <c r="V50" s="7">
        <f t="shared" si="17"/>
        <v>0</v>
      </c>
      <c r="W50" s="3"/>
      <c r="X50" s="6">
        <f t="shared" si="18"/>
        <v>18327.900000000001</v>
      </c>
      <c r="Y50" s="3"/>
      <c r="Z50" s="7">
        <f t="shared" si="19"/>
        <v>0</v>
      </c>
    </row>
    <row r="51" spans="1:26" s="70" customFormat="1" ht="15" hidden="1" customHeight="1" outlineLevel="2" x14ac:dyDescent="0.3">
      <c r="A51" s="21"/>
      <c r="B51" s="9" t="str">
        <f>CONCATENATE("          ","6006"," - ","TEMPORARY PART TIME")</f>
        <v xml:space="preserve">          6006 - TEMPORARY PART TIME</v>
      </c>
      <c r="C51" s="9"/>
      <c r="D51" s="6"/>
      <c r="E51" s="3"/>
      <c r="F51" s="7">
        <f t="shared" si="12"/>
        <v>0</v>
      </c>
      <c r="G51" s="3"/>
      <c r="H51" s="6">
        <v>0</v>
      </c>
      <c r="I51" s="3"/>
      <c r="J51" s="7">
        <f t="shared" si="13"/>
        <v>0</v>
      </c>
      <c r="K51" s="3"/>
      <c r="L51" s="6">
        <f t="shared" si="14"/>
        <v>0</v>
      </c>
      <c r="M51" s="3"/>
      <c r="N51" s="7">
        <f t="shared" si="15"/>
        <v>0</v>
      </c>
      <c r="O51" s="9"/>
      <c r="P51" s="6"/>
      <c r="Q51" s="3"/>
      <c r="R51" s="7">
        <f t="shared" si="16"/>
        <v>0</v>
      </c>
      <c r="S51" s="3"/>
      <c r="T51" s="6">
        <v>0</v>
      </c>
      <c r="U51" s="3"/>
      <c r="V51" s="7">
        <f t="shared" si="17"/>
        <v>0</v>
      </c>
      <c r="W51" s="3"/>
      <c r="X51" s="6">
        <f t="shared" si="18"/>
        <v>0</v>
      </c>
      <c r="Y51" s="3"/>
      <c r="Z51" s="7">
        <f t="shared" si="19"/>
        <v>0</v>
      </c>
    </row>
    <row r="52" spans="1:26" s="70" customFormat="1" ht="15" hidden="1" customHeight="1" outlineLevel="2" x14ac:dyDescent="0.3">
      <c r="A52" s="21"/>
      <c r="B52" s="9" t="str">
        <f>CONCATENATE("          ","6007"," - ","STUDENT HOURLY")</f>
        <v xml:space="preserve">          6007 - STUDENT HOURLY</v>
      </c>
      <c r="C52" s="9"/>
      <c r="D52" s="6">
        <v>3206.53</v>
      </c>
      <c r="E52" s="3"/>
      <c r="F52" s="7">
        <f t="shared" si="12"/>
        <v>8.0335177321364908E-3</v>
      </c>
      <c r="G52" s="3"/>
      <c r="H52" s="6">
        <v>3710.76</v>
      </c>
      <c r="I52" s="3"/>
      <c r="J52" s="7">
        <f t="shared" si="13"/>
        <v>3.4896554318387001E-2</v>
      </c>
      <c r="K52" s="3"/>
      <c r="L52" s="6">
        <f t="shared" si="14"/>
        <v>-504.23</v>
      </c>
      <c r="M52" s="3"/>
      <c r="N52" s="7">
        <f t="shared" si="15"/>
        <v>-0.13588321529821384</v>
      </c>
      <c r="O52" s="9"/>
      <c r="P52" s="6">
        <v>39773.17</v>
      </c>
      <c r="Q52" s="3"/>
      <c r="R52" s="7">
        <f t="shared" si="16"/>
        <v>1.3793135999170909E-2</v>
      </c>
      <c r="S52" s="3"/>
      <c r="T52" s="6">
        <v>13886.76</v>
      </c>
      <c r="U52" s="3"/>
      <c r="V52" s="7">
        <f t="shared" si="17"/>
        <v>6.0742756737392281E-3</v>
      </c>
      <c r="W52" s="3"/>
      <c r="X52" s="6">
        <f t="shared" si="18"/>
        <v>25886.409999999996</v>
      </c>
      <c r="Y52" s="3"/>
      <c r="Z52" s="7">
        <f t="shared" si="19"/>
        <v>1.8641072503593348</v>
      </c>
    </row>
    <row r="53" spans="1:26" s="70" customFormat="1" ht="15" hidden="1" customHeight="1" outlineLevel="2" x14ac:dyDescent="0.3">
      <c r="A53" s="21"/>
      <c r="B53" s="9" t="str">
        <f>CONCATENATE("          ","6008"," - ","STUDENT HOURLY-FICA EXEMPT")</f>
        <v xml:space="preserve">          6008 - STUDENT HOURLY-FICA EXEMPT</v>
      </c>
      <c r="C53" s="9"/>
      <c r="D53" s="6"/>
      <c r="E53" s="3"/>
      <c r="F53" s="7">
        <f t="shared" si="12"/>
        <v>0</v>
      </c>
      <c r="G53" s="3"/>
      <c r="H53" s="6">
        <v>0</v>
      </c>
      <c r="I53" s="3"/>
      <c r="J53" s="7">
        <f t="shared" si="13"/>
        <v>0</v>
      </c>
      <c r="K53" s="3"/>
      <c r="L53" s="6">
        <f t="shared" si="14"/>
        <v>0</v>
      </c>
      <c r="M53" s="3"/>
      <c r="N53" s="7">
        <f t="shared" si="15"/>
        <v>0</v>
      </c>
      <c r="O53" s="9"/>
      <c r="P53" s="6">
        <v>6145.63</v>
      </c>
      <c r="Q53" s="3"/>
      <c r="R53" s="7">
        <f t="shared" si="16"/>
        <v>2.1312736799853952E-3</v>
      </c>
      <c r="S53" s="3"/>
      <c r="T53" s="6">
        <v>44644.959999999999</v>
      </c>
      <c r="U53" s="3"/>
      <c r="V53" s="7">
        <f t="shared" si="17"/>
        <v>1.9528370511412374E-2</v>
      </c>
      <c r="W53" s="3"/>
      <c r="X53" s="6">
        <f t="shared" si="18"/>
        <v>-38499.33</v>
      </c>
      <c r="Y53" s="3"/>
      <c r="Z53" s="7">
        <f t="shared" si="19"/>
        <v>-0.86234437213069526</v>
      </c>
    </row>
    <row r="54" spans="1:26" s="70" customFormat="1" ht="15" hidden="1" customHeight="1" outlineLevel="2" x14ac:dyDescent="0.3">
      <c r="A54" s="21"/>
      <c r="B54" s="9" t="str">
        <f>CONCATENATE("          ","6009"," - ","TEMPORARY-SEASONAL")</f>
        <v xml:space="preserve">          6009 - TEMPORARY-SEASONAL</v>
      </c>
      <c r="C54" s="9"/>
      <c r="D54" s="6"/>
      <c r="E54" s="3"/>
      <c r="F54" s="7">
        <f t="shared" si="12"/>
        <v>0</v>
      </c>
      <c r="G54" s="3"/>
      <c r="H54" s="6">
        <v>0</v>
      </c>
      <c r="I54" s="3"/>
      <c r="J54" s="7">
        <f t="shared" si="13"/>
        <v>0</v>
      </c>
      <c r="K54" s="3"/>
      <c r="L54" s="6">
        <f t="shared" si="14"/>
        <v>0</v>
      </c>
      <c r="M54" s="3"/>
      <c r="N54" s="7">
        <f t="shared" si="15"/>
        <v>0</v>
      </c>
      <c r="O54" s="9"/>
      <c r="P54" s="6"/>
      <c r="Q54" s="3"/>
      <c r="R54" s="7">
        <f t="shared" si="16"/>
        <v>0</v>
      </c>
      <c r="S54" s="3"/>
      <c r="T54" s="6">
        <v>0</v>
      </c>
      <c r="U54" s="3"/>
      <c r="V54" s="7">
        <f t="shared" si="17"/>
        <v>0</v>
      </c>
      <c r="W54" s="3"/>
      <c r="X54" s="6">
        <f t="shared" si="18"/>
        <v>0</v>
      </c>
      <c r="Y54" s="3"/>
      <c r="Z54" s="7">
        <f t="shared" si="19"/>
        <v>0</v>
      </c>
    </row>
    <row r="55" spans="1:26" s="70" customFormat="1" ht="15" hidden="1" customHeight="1" outlineLevel="2" x14ac:dyDescent="0.3">
      <c r="A55" s="21"/>
      <c r="B55" s="9" t="str">
        <f>CONCATENATE("          ","6010"," - ","GRATUITY")</f>
        <v xml:space="preserve">          6010 - GRATUITY</v>
      </c>
      <c r="C55" s="9"/>
      <c r="D55" s="6"/>
      <c r="E55" s="3"/>
      <c r="F55" s="7">
        <f t="shared" si="12"/>
        <v>0</v>
      </c>
      <c r="G55" s="3"/>
      <c r="H55" s="6">
        <v>0</v>
      </c>
      <c r="I55" s="3"/>
      <c r="J55" s="7">
        <f t="shared" si="13"/>
        <v>0</v>
      </c>
      <c r="K55" s="3"/>
      <c r="L55" s="6">
        <f t="shared" si="14"/>
        <v>0</v>
      </c>
      <c r="M55" s="3"/>
      <c r="N55" s="7">
        <f t="shared" si="15"/>
        <v>0</v>
      </c>
      <c r="O55" s="9"/>
      <c r="P55" s="6"/>
      <c r="Q55" s="3"/>
      <c r="R55" s="7">
        <f t="shared" si="16"/>
        <v>0</v>
      </c>
      <c r="S55" s="3"/>
      <c r="T55" s="6">
        <v>0</v>
      </c>
      <c r="U55" s="3"/>
      <c r="V55" s="7">
        <f t="shared" si="17"/>
        <v>0</v>
      </c>
      <c r="W55" s="3"/>
      <c r="X55" s="6">
        <f t="shared" si="18"/>
        <v>0</v>
      </c>
      <c r="Y55" s="3"/>
      <c r="Z55" s="7">
        <f t="shared" si="19"/>
        <v>0</v>
      </c>
    </row>
    <row r="56" spans="1:26" s="69" customFormat="1" ht="15" customHeight="1" outlineLevel="1" collapsed="1" x14ac:dyDescent="0.3">
      <c r="A56" s="20"/>
      <c r="B56" s="11" t="str">
        <f>CONCATENATE("     ","Advertising/Promo                                 ")</f>
        <v xml:space="preserve">     Advertising/Promo                                 </v>
      </c>
      <c r="C56" s="11"/>
      <c r="D56" s="2">
        <f>SUM(OSRRefD22_2x_0)</f>
        <v>0</v>
      </c>
      <c r="E56" s="2"/>
      <c r="F56" s="5">
        <f t="shared" si="12"/>
        <v>0</v>
      </c>
      <c r="G56" s="2"/>
      <c r="H56" s="2">
        <f>SUM(OSRRefH22_2x_0)</f>
        <v>200</v>
      </c>
      <c r="I56" s="2"/>
      <c r="J56" s="5">
        <f t="shared" si="13"/>
        <v>1.8808305747818237E-3</v>
      </c>
      <c r="K56" s="2"/>
      <c r="L56" s="2">
        <f t="shared" si="14"/>
        <v>-200</v>
      </c>
      <c r="M56" s="2"/>
      <c r="N56" s="5">
        <f t="shared" si="15"/>
        <v>-1</v>
      </c>
      <c r="O56" s="11"/>
      <c r="P56" s="2">
        <f>SUM(OSRRefP22_2x_0)</f>
        <v>215.78</v>
      </c>
      <c r="Q56" s="2"/>
      <c r="R56" s="5">
        <f t="shared" si="16"/>
        <v>7.4831422436308172E-5</v>
      </c>
      <c r="S56" s="2"/>
      <c r="T56" s="2">
        <f>SUM(OSRRefT22_2x_0)</f>
        <v>2400</v>
      </c>
      <c r="U56" s="2"/>
      <c r="V56" s="5">
        <f t="shared" si="17"/>
        <v>1.049795749114563E-3</v>
      </c>
      <c r="W56" s="2"/>
      <c r="X56" s="2">
        <f t="shared" si="18"/>
        <v>-2184.2199999999998</v>
      </c>
      <c r="Y56" s="2"/>
      <c r="Z56" s="5">
        <f t="shared" si="19"/>
        <v>-0.91009166666666663</v>
      </c>
    </row>
    <row r="57" spans="1:26" s="70" customFormat="1" ht="15" hidden="1" customHeight="1" outlineLevel="2" x14ac:dyDescent="0.3">
      <c r="A57" s="21"/>
      <c r="B57" s="9" t="str">
        <f>CONCATENATE("          ","6362"," - ","ADVERTISING EXPENSE")</f>
        <v xml:space="preserve">          6362 - ADVERTISING EXPENSE</v>
      </c>
      <c r="C57" s="9"/>
      <c r="D57" s="6"/>
      <c r="E57" s="3"/>
      <c r="F57" s="7">
        <f t="shared" si="12"/>
        <v>0</v>
      </c>
      <c r="G57" s="3"/>
      <c r="H57" s="6">
        <v>200</v>
      </c>
      <c r="I57" s="3"/>
      <c r="J57" s="7">
        <f t="shared" si="13"/>
        <v>1.8808305747818237E-3</v>
      </c>
      <c r="K57" s="3"/>
      <c r="L57" s="6">
        <f t="shared" si="14"/>
        <v>-200</v>
      </c>
      <c r="M57" s="3"/>
      <c r="N57" s="7">
        <f t="shared" si="15"/>
        <v>-1</v>
      </c>
      <c r="O57" s="9"/>
      <c r="P57" s="6">
        <v>215.78</v>
      </c>
      <c r="Q57" s="3"/>
      <c r="R57" s="7">
        <f t="shared" si="16"/>
        <v>7.4831422436308172E-5</v>
      </c>
      <c r="S57" s="3"/>
      <c r="T57" s="6">
        <v>2400</v>
      </c>
      <c r="U57" s="3"/>
      <c r="V57" s="7">
        <f t="shared" si="17"/>
        <v>1.049795749114563E-3</v>
      </c>
      <c r="W57" s="3"/>
      <c r="X57" s="6">
        <f t="shared" si="18"/>
        <v>-2184.2199999999998</v>
      </c>
      <c r="Y57" s="3"/>
      <c r="Z57" s="7">
        <f t="shared" si="19"/>
        <v>-0.91009166666666663</v>
      </c>
    </row>
    <row r="58" spans="1:26" s="69" customFormat="1" ht="15" customHeight="1" outlineLevel="1" collapsed="1" x14ac:dyDescent="0.3">
      <c r="A58" s="20"/>
      <c r="B58" s="11" t="str">
        <f>CONCATENATE("     ","Depreciation                                      ")</f>
        <v xml:space="preserve">     Depreciation                                      </v>
      </c>
      <c r="C58" s="11"/>
      <c r="D58" s="2">
        <f>SUM(OSRRefD22_3x_0)</f>
        <v>280.45</v>
      </c>
      <c r="E58" s="2"/>
      <c r="F58" s="5">
        <f t="shared" si="12"/>
        <v>7.0262871327499783E-4</v>
      </c>
      <c r="G58" s="2"/>
      <c r="H58" s="2">
        <f>SUM(OSRRefH22_3x_0)</f>
        <v>0</v>
      </c>
      <c r="I58" s="2"/>
      <c r="J58" s="5">
        <f t="shared" si="13"/>
        <v>0</v>
      </c>
      <c r="K58" s="2"/>
      <c r="L58" s="2">
        <f t="shared" si="14"/>
        <v>280.45</v>
      </c>
      <c r="M58" s="2"/>
      <c r="N58" s="5">
        <f t="shared" si="15"/>
        <v>0</v>
      </c>
      <c r="O58" s="11"/>
      <c r="P58" s="2">
        <f>SUM(OSRRefP22_3x_0)</f>
        <v>3365.29</v>
      </c>
      <c r="Q58" s="2"/>
      <c r="R58" s="5">
        <f t="shared" si="16"/>
        <v>1.1670657040072458E-3</v>
      </c>
      <c r="S58" s="2"/>
      <c r="T58" s="2">
        <f>SUM(OSRRefT22_3x_0)</f>
        <v>0</v>
      </c>
      <c r="U58" s="2"/>
      <c r="V58" s="5">
        <f t="shared" si="17"/>
        <v>0</v>
      </c>
      <c r="W58" s="2"/>
      <c r="X58" s="2">
        <f t="shared" si="18"/>
        <v>3365.29</v>
      </c>
      <c r="Y58" s="2"/>
      <c r="Z58" s="5">
        <f t="shared" si="19"/>
        <v>0</v>
      </c>
    </row>
    <row r="59" spans="1:26" s="70" customFormat="1" ht="15" hidden="1" customHeight="1" outlineLevel="2" x14ac:dyDescent="0.3">
      <c r="A59" s="21"/>
      <c r="B59" s="9" t="str">
        <f>CONCATENATE("          ","6322"," - ","EQUIPMENT DEPRECIATION EXPENSE")</f>
        <v xml:space="preserve">          6322 - EQUIPMENT DEPRECIATION EXPENSE</v>
      </c>
      <c r="C59" s="9"/>
      <c r="D59" s="6">
        <v>280.45</v>
      </c>
      <c r="E59" s="3"/>
      <c r="F59" s="7">
        <f t="shared" si="12"/>
        <v>7.0262871327499783E-4</v>
      </c>
      <c r="G59" s="3"/>
      <c r="H59" s="6"/>
      <c r="I59" s="3"/>
      <c r="J59" s="7">
        <f t="shared" si="13"/>
        <v>0</v>
      </c>
      <c r="K59" s="3"/>
      <c r="L59" s="6">
        <f t="shared" si="14"/>
        <v>280.45</v>
      </c>
      <c r="M59" s="3"/>
      <c r="N59" s="7">
        <f t="shared" si="15"/>
        <v>0</v>
      </c>
      <c r="O59" s="9"/>
      <c r="P59" s="6">
        <v>3365.29</v>
      </c>
      <c r="Q59" s="3"/>
      <c r="R59" s="7">
        <f t="shared" si="16"/>
        <v>1.1670657040072458E-3</v>
      </c>
      <c r="S59" s="3"/>
      <c r="T59" s="6"/>
      <c r="U59" s="3"/>
      <c r="V59" s="7">
        <f t="shared" si="17"/>
        <v>0</v>
      </c>
      <c r="W59" s="3"/>
      <c r="X59" s="6">
        <f t="shared" si="18"/>
        <v>3365.29</v>
      </c>
      <c r="Y59" s="3"/>
      <c r="Z59" s="7">
        <f t="shared" si="19"/>
        <v>0</v>
      </c>
    </row>
    <row r="60" spans="1:26" s="69" customFormat="1" ht="15" customHeight="1" outlineLevel="1" collapsed="1" x14ac:dyDescent="0.3">
      <c r="A60" s="20"/>
      <c r="B60" s="11" t="str">
        <f>CONCATENATE("     ","Employees' Appreciation                           ")</f>
        <v xml:space="preserve">     Employees' Appreciation                           </v>
      </c>
      <c r="C60" s="11"/>
      <c r="D60" s="2">
        <f>SUM(OSRRefD22_4x_0)</f>
        <v>0</v>
      </c>
      <c r="E60" s="2"/>
      <c r="F60" s="5">
        <f t="shared" si="12"/>
        <v>0</v>
      </c>
      <c r="G60" s="2"/>
      <c r="H60" s="2">
        <f>SUM(OSRRefH22_4x_0)</f>
        <v>20</v>
      </c>
      <c r="I60" s="2"/>
      <c r="J60" s="5">
        <f t="shared" si="13"/>
        <v>1.8808305747818236E-4</v>
      </c>
      <c r="K60" s="2"/>
      <c r="L60" s="2">
        <f t="shared" si="14"/>
        <v>-20</v>
      </c>
      <c r="M60" s="2"/>
      <c r="N60" s="5">
        <f t="shared" si="15"/>
        <v>-1</v>
      </c>
      <c r="O60" s="11"/>
      <c r="P60" s="2">
        <f>SUM(OSRRefP22_4x_0)</f>
        <v>0</v>
      </c>
      <c r="Q60" s="2"/>
      <c r="R60" s="5">
        <f t="shared" si="16"/>
        <v>0</v>
      </c>
      <c r="S60" s="2"/>
      <c r="T60" s="2">
        <f>SUM(OSRRefT22_4x_0)</f>
        <v>240</v>
      </c>
      <c r="U60" s="2"/>
      <c r="V60" s="5">
        <f t="shared" si="17"/>
        <v>1.0497957491145629E-4</v>
      </c>
      <c r="W60" s="2"/>
      <c r="X60" s="2">
        <f t="shared" si="18"/>
        <v>-240</v>
      </c>
      <c r="Y60" s="2"/>
      <c r="Z60" s="5">
        <f t="shared" si="19"/>
        <v>-1</v>
      </c>
    </row>
    <row r="61" spans="1:26" s="70" customFormat="1" ht="15" hidden="1" customHeight="1" outlineLevel="2" x14ac:dyDescent="0.3">
      <c r="A61" s="21"/>
      <c r="B61" s="9" t="str">
        <f>CONCATENATE("          ","6277"," - ","EMPLOYEE APPRECIATION")</f>
        <v xml:space="preserve">          6277 - EMPLOYEE APPRECIATION</v>
      </c>
      <c r="C61" s="9"/>
      <c r="D61" s="6"/>
      <c r="E61" s="3"/>
      <c r="F61" s="7">
        <f t="shared" si="12"/>
        <v>0</v>
      </c>
      <c r="G61" s="3"/>
      <c r="H61" s="6">
        <v>20</v>
      </c>
      <c r="I61" s="3"/>
      <c r="J61" s="7">
        <f t="shared" si="13"/>
        <v>1.8808305747818236E-4</v>
      </c>
      <c r="K61" s="3"/>
      <c r="L61" s="6">
        <f t="shared" si="14"/>
        <v>-20</v>
      </c>
      <c r="M61" s="3"/>
      <c r="N61" s="7">
        <f t="shared" si="15"/>
        <v>-1</v>
      </c>
      <c r="O61" s="9"/>
      <c r="P61" s="6"/>
      <c r="Q61" s="3"/>
      <c r="R61" s="7">
        <f t="shared" si="16"/>
        <v>0</v>
      </c>
      <c r="S61" s="3"/>
      <c r="T61" s="6">
        <v>240</v>
      </c>
      <c r="U61" s="3"/>
      <c r="V61" s="7">
        <f t="shared" si="17"/>
        <v>1.0497957491145629E-4</v>
      </c>
      <c r="W61" s="3"/>
      <c r="X61" s="6">
        <f t="shared" si="18"/>
        <v>-240</v>
      </c>
      <c r="Y61" s="3"/>
      <c r="Z61" s="7">
        <f t="shared" si="19"/>
        <v>-1</v>
      </c>
    </row>
    <row r="62" spans="1:26" s="69" customFormat="1" ht="15" customHeight="1" outlineLevel="1" collapsed="1" x14ac:dyDescent="0.3">
      <c r="A62" s="20"/>
      <c r="B62" s="11" t="str">
        <f>CONCATENATE("     ","Freight out/Postage                               ")</f>
        <v xml:space="preserve">     Freight out/Postage                               </v>
      </c>
      <c r="C62" s="11"/>
      <c r="D62" s="2">
        <f>SUM(OSRRefD22_5x_0)</f>
        <v>0</v>
      </c>
      <c r="E62" s="2"/>
      <c r="F62" s="5">
        <f t="shared" si="12"/>
        <v>0</v>
      </c>
      <c r="G62" s="2"/>
      <c r="H62" s="2">
        <f>SUM(OSRRefH22_5x_0)</f>
        <v>15</v>
      </c>
      <c r="I62" s="2"/>
      <c r="J62" s="5">
        <f t="shared" si="13"/>
        <v>1.4106229310863677E-4</v>
      </c>
      <c r="K62" s="2"/>
      <c r="L62" s="2">
        <f t="shared" si="14"/>
        <v>-15</v>
      </c>
      <c r="M62" s="2"/>
      <c r="N62" s="5">
        <f t="shared" si="15"/>
        <v>-1</v>
      </c>
      <c r="O62" s="11"/>
      <c r="P62" s="2">
        <f>SUM(OSRRefP22_5x_0)</f>
        <v>122.13</v>
      </c>
      <c r="Q62" s="2"/>
      <c r="R62" s="5">
        <f t="shared" si="16"/>
        <v>4.2354071842368691E-5</v>
      </c>
      <c r="S62" s="2"/>
      <c r="T62" s="2">
        <f>SUM(OSRRefT22_5x_0)</f>
        <v>180</v>
      </c>
      <c r="U62" s="2"/>
      <c r="V62" s="5">
        <f t="shared" si="17"/>
        <v>7.8734681183592221E-5</v>
      </c>
      <c r="W62" s="2"/>
      <c r="X62" s="2">
        <f t="shared" si="18"/>
        <v>-57.870000000000005</v>
      </c>
      <c r="Y62" s="2"/>
      <c r="Z62" s="5">
        <f t="shared" si="19"/>
        <v>-0.32150000000000001</v>
      </c>
    </row>
    <row r="63" spans="1:26" s="70" customFormat="1" ht="15" hidden="1" customHeight="1" outlineLevel="2" x14ac:dyDescent="0.3">
      <c r="A63" s="21"/>
      <c r="B63" s="9" t="str">
        <f>CONCATENATE("          ","6305"," - ","FREIGHT OUT")</f>
        <v xml:space="preserve">          6305 - FREIGHT OUT</v>
      </c>
      <c r="C63" s="9"/>
      <c r="D63" s="6"/>
      <c r="E63" s="3"/>
      <c r="F63" s="7">
        <f t="shared" si="12"/>
        <v>0</v>
      </c>
      <c r="G63" s="3"/>
      <c r="H63" s="6">
        <v>15</v>
      </c>
      <c r="I63" s="3"/>
      <c r="J63" s="7">
        <f t="shared" si="13"/>
        <v>1.4106229310863677E-4</v>
      </c>
      <c r="K63" s="3"/>
      <c r="L63" s="6">
        <f t="shared" si="14"/>
        <v>-15</v>
      </c>
      <c r="M63" s="3"/>
      <c r="N63" s="7">
        <f t="shared" si="15"/>
        <v>-1</v>
      </c>
      <c r="O63" s="9"/>
      <c r="P63" s="6">
        <v>122.13</v>
      </c>
      <c r="Q63" s="3"/>
      <c r="R63" s="7">
        <f t="shared" si="16"/>
        <v>4.2354071842368691E-5</v>
      </c>
      <c r="S63" s="3"/>
      <c r="T63" s="6">
        <v>180</v>
      </c>
      <c r="U63" s="3"/>
      <c r="V63" s="7">
        <f t="shared" si="17"/>
        <v>7.8734681183592221E-5</v>
      </c>
      <c r="W63" s="3"/>
      <c r="X63" s="6">
        <f t="shared" si="18"/>
        <v>-57.870000000000005</v>
      </c>
      <c r="Y63" s="3"/>
      <c r="Z63" s="7">
        <f t="shared" si="19"/>
        <v>-0.32150000000000001</v>
      </c>
    </row>
    <row r="64" spans="1:26" s="69" customFormat="1" ht="15" customHeight="1" outlineLevel="1" collapsed="1" x14ac:dyDescent="0.3">
      <c r="A64" s="20"/>
      <c r="B64" s="11" t="str">
        <f>CONCATENATE("     ","General                                           ")</f>
        <v xml:space="preserve">     General                                           </v>
      </c>
      <c r="C64" s="11"/>
      <c r="D64" s="2">
        <f>SUM(OSRRefD22_6x_0)</f>
        <v>0</v>
      </c>
      <c r="E64" s="2"/>
      <c r="F64" s="5">
        <f t="shared" si="12"/>
        <v>0</v>
      </c>
      <c r="G64" s="2"/>
      <c r="H64" s="2">
        <f>SUM(OSRRefH22_6x_0)</f>
        <v>30</v>
      </c>
      <c r="I64" s="2"/>
      <c r="J64" s="5">
        <f t="shared" si="13"/>
        <v>2.8212458621727353E-4</v>
      </c>
      <c r="K64" s="2"/>
      <c r="L64" s="2">
        <f t="shared" si="14"/>
        <v>-30</v>
      </c>
      <c r="M64" s="2"/>
      <c r="N64" s="5">
        <f t="shared" si="15"/>
        <v>-1</v>
      </c>
      <c r="O64" s="11"/>
      <c r="P64" s="2">
        <f>SUM(OSRRefP22_6x_0)</f>
        <v>285</v>
      </c>
      <c r="Q64" s="2"/>
      <c r="R64" s="5">
        <f t="shared" si="16"/>
        <v>9.883657148182329E-5</v>
      </c>
      <c r="S64" s="2"/>
      <c r="T64" s="2">
        <f>SUM(OSRRefT22_6x_0)</f>
        <v>360</v>
      </c>
      <c r="U64" s="2"/>
      <c r="V64" s="5">
        <f t="shared" si="17"/>
        <v>1.5746936236718444E-4</v>
      </c>
      <c r="W64" s="2"/>
      <c r="X64" s="2">
        <f t="shared" si="18"/>
        <v>-75</v>
      </c>
      <c r="Y64" s="2"/>
      <c r="Z64" s="5">
        <f t="shared" si="19"/>
        <v>-0.20833333333333334</v>
      </c>
    </row>
    <row r="65" spans="1:26" s="70" customFormat="1" ht="15" hidden="1" customHeight="1" outlineLevel="2" x14ac:dyDescent="0.3">
      <c r="A65" s="21"/>
      <c r="B65" s="9" t="str">
        <f>CONCATENATE("          ","6279"," - ","GENERAL EXPENSE")</f>
        <v xml:space="preserve">          6279 - GENERAL EXPENSE</v>
      </c>
      <c r="C65" s="9"/>
      <c r="D65" s="6"/>
      <c r="E65" s="3"/>
      <c r="F65" s="7">
        <f t="shared" si="12"/>
        <v>0</v>
      </c>
      <c r="G65" s="3"/>
      <c r="H65" s="6">
        <v>30</v>
      </c>
      <c r="I65" s="3"/>
      <c r="J65" s="7">
        <f t="shared" si="13"/>
        <v>2.8212458621727353E-4</v>
      </c>
      <c r="K65" s="3"/>
      <c r="L65" s="6">
        <f t="shared" si="14"/>
        <v>-30</v>
      </c>
      <c r="M65" s="3"/>
      <c r="N65" s="7">
        <f t="shared" si="15"/>
        <v>-1</v>
      </c>
      <c r="O65" s="9"/>
      <c r="P65" s="6">
        <v>285</v>
      </c>
      <c r="Q65" s="3"/>
      <c r="R65" s="7">
        <f t="shared" si="16"/>
        <v>9.883657148182329E-5</v>
      </c>
      <c r="S65" s="3"/>
      <c r="T65" s="6">
        <v>360</v>
      </c>
      <c r="U65" s="3"/>
      <c r="V65" s="7">
        <f t="shared" si="17"/>
        <v>1.5746936236718444E-4</v>
      </c>
      <c r="W65" s="3"/>
      <c r="X65" s="6">
        <f t="shared" si="18"/>
        <v>-75</v>
      </c>
      <c r="Y65" s="3"/>
      <c r="Z65" s="7">
        <f t="shared" si="19"/>
        <v>-0.20833333333333334</v>
      </c>
    </row>
    <row r="66" spans="1:26" s="69" customFormat="1" ht="15" customHeight="1" outlineLevel="1" collapsed="1" x14ac:dyDescent="0.3">
      <c r="A66" s="20"/>
      <c r="B66" s="11" t="str">
        <f>CONCATENATE("     ","Inventory Adjustment                              ")</f>
        <v xml:space="preserve">     Inventory Adjustment                              </v>
      </c>
      <c r="C66" s="11"/>
      <c r="D66" s="2">
        <f>SUM(OSRRefD22_7x_0)</f>
        <v>-10740</v>
      </c>
      <c r="E66" s="2"/>
      <c r="F66" s="5">
        <f t="shared" si="12"/>
        <v>-2.6907585596624983E-2</v>
      </c>
      <c r="G66" s="2"/>
      <c r="H66" s="2">
        <f>SUM(OSRRefH22_7x_0)</f>
        <v>550</v>
      </c>
      <c r="I66" s="2"/>
      <c r="J66" s="5">
        <f t="shared" si="13"/>
        <v>5.1722840806500154E-3</v>
      </c>
      <c r="K66" s="2"/>
      <c r="L66" s="2">
        <f t="shared" si="14"/>
        <v>-11290</v>
      </c>
      <c r="M66" s="2"/>
      <c r="N66" s="5">
        <f t="shared" si="15"/>
        <v>-20.527272727272727</v>
      </c>
      <c r="O66" s="11"/>
      <c r="P66" s="2">
        <f>SUM(OSRRefP22_7x_0)</f>
        <v>0</v>
      </c>
      <c r="Q66" s="2"/>
      <c r="R66" s="5">
        <f t="shared" si="16"/>
        <v>0</v>
      </c>
      <c r="S66" s="2"/>
      <c r="T66" s="2">
        <f>SUM(OSRRefT22_7x_0)</f>
        <v>12000</v>
      </c>
      <c r="U66" s="2"/>
      <c r="V66" s="5">
        <f t="shared" si="17"/>
        <v>5.2489787455728149E-3</v>
      </c>
      <c r="W66" s="2"/>
      <c r="X66" s="2">
        <f t="shared" si="18"/>
        <v>-12000</v>
      </c>
      <c r="Y66" s="2"/>
      <c r="Z66" s="5">
        <f t="shared" si="19"/>
        <v>-1</v>
      </c>
    </row>
    <row r="67" spans="1:26" s="70" customFormat="1" ht="15" hidden="1" customHeight="1" outlineLevel="2" x14ac:dyDescent="0.3">
      <c r="A67" s="21"/>
      <c r="B67" s="9" t="str">
        <f>CONCATENATE("          ","6408"," - ","INVENTORY ADJUSTMENT")</f>
        <v xml:space="preserve">          6408 - INVENTORY ADJUSTMENT</v>
      </c>
      <c r="C67" s="9"/>
      <c r="D67" s="6">
        <v>-10740</v>
      </c>
      <c r="E67" s="3"/>
      <c r="F67" s="7">
        <f t="shared" si="12"/>
        <v>-2.6907585596624983E-2</v>
      </c>
      <c r="G67" s="3"/>
      <c r="H67" s="6">
        <v>550</v>
      </c>
      <c r="I67" s="3"/>
      <c r="J67" s="7">
        <f t="shared" si="13"/>
        <v>5.1722840806500154E-3</v>
      </c>
      <c r="K67" s="3"/>
      <c r="L67" s="6">
        <f t="shared" si="14"/>
        <v>-11290</v>
      </c>
      <c r="M67" s="3"/>
      <c r="N67" s="7">
        <f t="shared" si="15"/>
        <v>-20.527272727272727</v>
      </c>
      <c r="O67" s="9"/>
      <c r="P67" s="6">
        <v>0</v>
      </c>
      <c r="Q67" s="3"/>
      <c r="R67" s="7">
        <f t="shared" si="16"/>
        <v>0</v>
      </c>
      <c r="S67" s="3"/>
      <c r="T67" s="6">
        <v>12000</v>
      </c>
      <c r="U67" s="3"/>
      <c r="V67" s="7">
        <f t="shared" si="17"/>
        <v>5.2489787455728149E-3</v>
      </c>
      <c r="W67" s="3"/>
      <c r="X67" s="6">
        <f t="shared" si="18"/>
        <v>-12000</v>
      </c>
      <c r="Y67" s="3"/>
      <c r="Z67" s="7">
        <f t="shared" si="19"/>
        <v>-1</v>
      </c>
    </row>
    <row r="68" spans="1:26" s="69" customFormat="1" ht="15" customHeight="1" outlineLevel="1" collapsed="1" x14ac:dyDescent="0.3">
      <c r="A68" s="20"/>
      <c r="B68" s="11" t="str">
        <f>CONCATENATE("     ","Repair and Maintenance                            ")</f>
        <v xml:space="preserve">     Repair and Maintenance                            </v>
      </c>
      <c r="C68" s="11"/>
      <c r="D68" s="2">
        <f>SUM(OSRRefD22_8x_0)</f>
        <v>0</v>
      </c>
      <c r="E68" s="2"/>
      <c r="F68" s="5">
        <f t="shared" si="12"/>
        <v>0</v>
      </c>
      <c r="G68" s="2"/>
      <c r="H68" s="2">
        <f>SUM(OSRRefH22_8x_0)</f>
        <v>0</v>
      </c>
      <c r="I68" s="2"/>
      <c r="J68" s="5">
        <f t="shared" si="13"/>
        <v>0</v>
      </c>
      <c r="K68" s="2"/>
      <c r="L68" s="2">
        <f t="shared" si="14"/>
        <v>0</v>
      </c>
      <c r="M68" s="2"/>
      <c r="N68" s="5">
        <f t="shared" si="15"/>
        <v>0</v>
      </c>
      <c r="O68" s="11"/>
      <c r="P68" s="2">
        <f>SUM(OSRRefP22_8x_0)</f>
        <v>1550</v>
      </c>
      <c r="Q68" s="2"/>
      <c r="R68" s="5">
        <f t="shared" si="16"/>
        <v>5.3753223086605649E-4</v>
      </c>
      <c r="S68" s="2"/>
      <c r="T68" s="2">
        <f>SUM(OSRRefT22_8x_0)</f>
        <v>0</v>
      </c>
      <c r="U68" s="2"/>
      <c r="V68" s="5">
        <f t="shared" si="17"/>
        <v>0</v>
      </c>
      <c r="W68" s="2"/>
      <c r="X68" s="2">
        <f t="shared" si="18"/>
        <v>1550</v>
      </c>
      <c r="Y68" s="2"/>
      <c r="Z68" s="5">
        <f t="shared" si="19"/>
        <v>0</v>
      </c>
    </row>
    <row r="69" spans="1:26" s="70" customFormat="1" ht="15" hidden="1" customHeight="1" outlineLevel="2" x14ac:dyDescent="0.3">
      <c r="A69" s="21"/>
      <c r="B69" s="9" t="str">
        <f>CONCATENATE("          ","6371"," - ","COMPUTER SOFTWARE MAINTENANCE")</f>
        <v xml:space="preserve">          6371 - COMPUTER SOFTWARE MAINTENANCE</v>
      </c>
      <c r="C69" s="9"/>
      <c r="D69" s="6"/>
      <c r="E69" s="3"/>
      <c r="F69" s="7">
        <f t="shared" si="12"/>
        <v>0</v>
      </c>
      <c r="G69" s="3"/>
      <c r="H69" s="6"/>
      <c r="I69" s="3"/>
      <c r="J69" s="7">
        <f t="shared" si="13"/>
        <v>0</v>
      </c>
      <c r="K69" s="3"/>
      <c r="L69" s="6">
        <f t="shared" si="14"/>
        <v>0</v>
      </c>
      <c r="M69" s="3"/>
      <c r="N69" s="7">
        <f t="shared" si="15"/>
        <v>0</v>
      </c>
      <c r="O69" s="9"/>
      <c r="P69" s="6">
        <v>1550</v>
      </c>
      <c r="Q69" s="3"/>
      <c r="R69" s="7">
        <f t="shared" si="16"/>
        <v>5.3753223086605649E-4</v>
      </c>
      <c r="S69" s="3"/>
      <c r="T69" s="6"/>
      <c r="U69" s="3"/>
      <c r="V69" s="7">
        <f t="shared" si="17"/>
        <v>0</v>
      </c>
      <c r="W69" s="3"/>
      <c r="X69" s="6">
        <f t="shared" si="18"/>
        <v>1550</v>
      </c>
      <c r="Y69" s="3"/>
      <c r="Z69" s="7">
        <f t="shared" si="19"/>
        <v>0</v>
      </c>
    </row>
    <row r="70" spans="1:26" s="69" customFormat="1" ht="15" customHeight="1" outlineLevel="1" collapsed="1" x14ac:dyDescent="0.3">
      <c r="A70" s="20"/>
      <c r="B70" s="11" t="str">
        <f>CONCATENATE("     ","Supplies                                          ")</f>
        <v xml:space="preserve">     Supplies                                          </v>
      </c>
      <c r="C70" s="11"/>
      <c r="D70" s="2">
        <f>SUM(OSRRefD22_9x_0)</f>
        <v>2445.7199999999998</v>
      </c>
      <c r="E70" s="2"/>
      <c r="F70" s="5">
        <f t="shared" si="12"/>
        <v>6.12741343066831E-3</v>
      </c>
      <c r="G70" s="2"/>
      <c r="H70" s="2">
        <f>SUM(OSRRefH22_9x_0)</f>
        <v>310</v>
      </c>
      <c r="I70" s="2"/>
      <c r="J70" s="5">
        <f t="shared" si="13"/>
        <v>2.9152873909118267E-3</v>
      </c>
      <c r="K70" s="2"/>
      <c r="L70" s="2">
        <f t="shared" si="14"/>
        <v>2135.7199999999998</v>
      </c>
      <c r="M70" s="2"/>
      <c r="N70" s="5">
        <f t="shared" si="15"/>
        <v>6.8894193548387088</v>
      </c>
      <c r="O70" s="11"/>
      <c r="P70" s="2">
        <f>SUM(OSRRefP22_9x_0)</f>
        <v>7557.1900000000005</v>
      </c>
      <c r="Q70" s="2"/>
      <c r="R70" s="5">
        <f t="shared" si="16"/>
        <v>2.6207956127604218E-3</v>
      </c>
      <c r="S70" s="2"/>
      <c r="T70" s="2">
        <f>SUM(OSRRefT22_9x_0)</f>
        <v>3720</v>
      </c>
      <c r="U70" s="2"/>
      <c r="V70" s="5">
        <f t="shared" si="17"/>
        <v>1.6271834111275725E-3</v>
      </c>
      <c r="W70" s="2"/>
      <c r="X70" s="2">
        <f t="shared" si="18"/>
        <v>3837.1900000000005</v>
      </c>
      <c r="Y70" s="2"/>
      <c r="Z70" s="5">
        <f t="shared" si="19"/>
        <v>1.031502688172043</v>
      </c>
    </row>
    <row r="71" spans="1:26" s="70" customFormat="1" ht="15" hidden="1" customHeight="1" outlineLevel="2" x14ac:dyDescent="0.3">
      <c r="A71" s="21"/>
      <c r="B71" s="9" t="str">
        <f>CONCATENATE("          ","6241"," - ","OFFICE EXPENSE")</f>
        <v xml:space="preserve">          6241 - OFFICE EXPENSE</v>
      </c>
      <c r="C71" s="9"/>
      <c r="D71" s="6">
        <v>63.64</v>
      </c>
      <c r="E71" s="3"/>
      <c r="F71" s="7">
        <f t="shared" si="12"/>
        <v>1.594412241498337E-4</v>
      </c>
      <c r="G71" s="3"/>
      <c r="H71" s="6">
        <v>110</v>
      </c>
      <c r="I71" s="3"/>
      <c r="J71" s="7">
        <f t="shared" si="13"/>
        <v>1.034456816130003E-3</v>
      </c>
      <c r="K71" s="3"/>
      <c r="L71" s="6">
        <f t="shared" si="14"/>
        <v>-46.36</v>
      </c>
      <c r="M71" s="3"/>
      <c r="N71" s="7">
        <f t="shared" si="15"/>
        <v>-0.42145454545454547</v>
      </c>
      <c r="O71" s="9"/>
      <c r="P71" s="6">
        <v>2263.11</v>
      </c>
      <c r="Q71" s="3"/>
      <c r="R71" s="7">
        <f t="shared" si="16"/>
        <v>7.8483520451308453E-4</v>
      </c>
      <c r="S71" s="3"/>
      <c r="T71" s="6">
        <v>1320</v>
      </c>
      <c r="U71" s="3"/>
      <c r="V71" s="7">
        <f t="shared" si="17"/>
        <v>5.7738766201300958E-4</v>
      </c>
      <c r="W71" s="3"/>
      <c r="X71" s="6">
        <f t="shared" si="18"/>
        <v>943.11000000000013</v>
      </c>
      <c r="Y71" s="3"/>
      <c r="Z71" s="7">
        <f t="shared" si="19"/>
        <v>0.71447727272727279</v>
      </c>
    </row>
    <row r="72" spans="1:26" s="70" customFormat="1" ht="15" hidden="1" customHeight="1" outlineLevel="2" x14ac:dyDescent="0.3">
      <c r="A72" s="21"/>
      <c r="B72" s="9" t="str">
        <f>CONCATENATE("          ","6247"," - ","STORE SUPPLIES")</f>
        <v xml:space="preserve">          6247 - STORE SUPPLIES</v>
      </c>
      <c r="C72" s="9"/>
      <c r="D72" s="6">
        <v>2382.08</v>
      </c>
      <c r="E72" s="3"/>
      <c r="F72" s="7">
        <f t="shared" si="12"/>
        <v>5.967972206518477E-3</v>
      </c>
      <c r="G72" s="3"/>
      <c r="H72" s="6">
        <v>200</v>
      </c>
      <c r="I72" s="3"/>
      <c r="J72" s="7">
        <f t="shared" si="13"/>
        <v>1.8808305747818237E-3</v>
      </c>
      <c r="K72" s="3"/>
      <c r="L72" s="6">
        <f t="shared" si="14"/>
        <v>2182.08</v>
      </c>
      <c r="M72" s="3"/>
      <c r="N72" s="7">
        <f t="shared" si="15"/>
        <v>10.910399999999999</v>
      </c>
      <c r="O72" s="9"/>
      <c r="P72" s="6">
        <v>5294.08</v>
      </c>
      <c r="Q72" s="3"/>
      <c r="R72" s="7">
        <f t="shared" si="16"/>
        <v>1.835960408247337E-3</v>
      </c>
      <c r="S72" s="3"/>
      <c r="T72" s="6">
        <v>2400</v>
      </c>
      <c r="U72" s="3"/>
      <c r="V72" s="7">
        <f t="shared" si="17"/>
        <v>1.049795749114563E-3</v>
      </c>
      <c r="W72" s="3"/>
      <c r="X72" s="6">
        <f t="shared" si="18"/>
        <v>2894.08</v>
      </c>
      <c r="Y72" s="3"/>
      <c r="Z72" s="7">
        <f t="shared" si="19"/>
        <v>1.2058666666666666</v>
      </c>
    </row>
    <row r="73" spans="1:26" s="69" customFormat="1" ht="15" customHeight="1" outlineLevel="1" collapsed="1" x14ac:dyDescent="0.3">
      <c r="A73" s="20"/>
      <c r="B73" s="11" t="str">
        <f>CONCATENATE("     ","Telephone/Data Lines                              ")</f>
        <v xml:space="preserve">     Telephone/Data Lines                              </v>
      </c>
      <c r="C73" s="11"/>
      <c r="D73" s="2">
        <f>SUM(OSRRefD22_10x_0)</f>
        <v>58.15</v>
      </c>
      <c r="E73" s="2"/>
      <c r="F73" s="5">
        <f t="shared" si="12"/>
        <v>1.4568678793703378E-4</v>
      </c>
      <c r="G73" s="2"/>
      <c r="H73" s="2">
        <f>SUM(OSRRefH22_10x_0)</f>
        <v>325</v>
      </c>
      <c r="I73" s="2"/>
      <c r="J73" s="5">
        <f t="shared" si="13"/>
        <v>3.0563496840204634E-3</v>
      </c>
      <c r="K73" s="2"/>
      <c r="L73" s="2">
        <f t="shared" si="14"/>
        <v>-266.85000000000002</v>
      </c>
      <c r="M73" s="2"/>
      <c r="N73" s="5">
        <f t="shared" si="15"/>
        <v>-0.82107692307692315</v>
      </c>
      <c r="O73" s="11"/>
      <c r="P73" s="2">
        <f>SUM(OSRRefP22_10x_0)</f>
        <v>2069.81</v>
      </c>
      <c r="Q73" s="2"/>
      <c r="R73" s="5">
        <f t="shared" si="16"/>
        <v>7.1779973339927249E-4</v>
      </c>
      <c r="S73" s="2"/>
      <c r="T73" s="2">
        <f>SUM(OSRRefT22_10x_0)</f>
        <v>3900</v>
      </c>
      <c r="U73" s="2"/>
      <c r="V73" s="5">
        <f t="shared" si="17"/>
        <v>1.7059180923111646E-3</v>
      </c>
      <c r="W73" s="2"/>
      <c r="X73" s="2">
        <f t="shared" si="18"/>
        <v>-1830.19</v>
      </c>
      <c r="Y73" s="2"/>
      <c r="Z73" s="5">
        <f t="shared" si="19"/>
        <v>-0.4692794871794872</v>
      </c>
    </row>
    <row r="74" spans="1:26" s="70" customFormat="1" ht="15" hidden="1" customHeight="1" outlineLevel="2" x14ac:dyDescent="0.3">
      <c r="A74" s="21"/>
      <c r="B74" s="9" t="str">
        <f>CONCATENATE("          ","6309"," - ","TELEPHONE")</f>
        <v xml:space="preserve">          6309 - TELEPHONE</v>
      </c>
      <c r="C74" s="9"/>
      <c r="D74" s="6">
        <v>58.15</v>
      </c>
      <c r="E74" s="3"/>
      <c r="F74" s="7">
        <f t="shared" si="12"/>
        <v>1.4568678793703378E-4</v>
      </c>
      <c r="G74" s="3"/>
      <c r="H74" s="6">
        <v>325</v>
      </c>
      <c r="I74" s="3"/>
      <c r="J74" s="7">
        <f t="shared" si="13"/>
        <v>3.0563496840204634E-3</v>
      </c>
      <c r="K74" s="3"/>
      <c r="L74" s="6">
        <f t="shared" si="14"/>
        <v>-266.85000000000002</v>
      </c>
      <c r="M74" s="3"/>
      <c r="N74" s="7">
        <f t="shared" si="15"/>
        <v>-0.82107692307692315</v>
      </c>
      <c r="O74" s="9"/>
      <c r="P74" s="6">
        <v>2069.81</v>
      </c>
      <c r="Q74" s="3"/>
      <c r="R74" s="7">
        <f t="shared" si="16"/>
        <v>7.1779973339927249E-4</v>
      </c>
      <c r="S74" s="3"/>
      <c r="T74" s="6">
        <v>3900</v>
      </c>
      <c r="U74" s="3"/>
      <c r="V74" s="7">
        <f t="shared" si="17"/>
        <v>1.7059180923111646E-3</v>
      </c>
      <c r="W74" s="3"/>
      <c r="X74" s="6">
        <f t="shared" si="18"/>
        <v>-1830.19</v>
      </c>
      <c r="Y74" s="3"/>
      <c r="Z74" s="7">
        <f t="shared" si="19"/>
        <v>-0.4692794871794872</v>
      </c>
    </row>
    <row r="75" spans="1:26" s="65" customFormat="1" ht="15" customHeight="1" x14ac:dyDescent="0.3">
      <c r="A75" s="36"/>
      <c r="B75" s="36"/>
      <c r="C75" s="36"/>
      <c r="D75" s="2"/>
      <c r="E75" s="2"/>
      <c r="F75" s="5"/>
      <c r="G75" s="2"/>
      <c r="H75" s="2"/>
      <c r="I75" s="2"/>
      <c r="J75" s="5"/>
      <c r="K75" s="2"/>
      <c r="L75" s="2"/>
      <c r="M75" s="2"/>
      <c r="N75" s="5"/>
      <c r="O75" s="36"/>
      <c r="P75" s="2"/>
      <c r="Q75" s="2"/>
      <c r="R75" s="5"/>
      <c r="S75" s="2"/>
      <c r="T75" s="2"/>
      <c r="U75" s="2"/>
      <c r="V75" s="5"/>
      <c r="W75" s="2"/>
      <c r="X75" s="2"/>
      <c r="Y75" s="2"/>
      <c r="Z75" s="5"/>
    </row>
    <row r="76" spans="1:26" s="63" customFormat="1" ht="15" customHeight="1" collapsed="1" x14ac:dyDescent="0.3">
      <c r="A76" s="13"/>
      <c r="B76" s="28" t="s">
        <v>291</v>
      </c>
      <c r="C76" s="13"/>
      <c r="D76" s="8">
        <f>SUM(OSRRefD25x_0)</f>
        <v>-1003.81</v>
      </c>
      <c r="E76" s="8"/>
      <c r="F76" s="14">
        <f>IF(D$12=0,0,D76/D$12)</f>
        <v>-2.5149072158052255E-3</v>
      </c>
      <c r="G76" s="8"/>
      <c r="H76" s="8">
        <f>SUM(OSRRefH25x_0)</f>
        <v>2424</v>
      </c>
      <c r="I76" s="8"/>
      <c r="J76" s="14">
        <f>IF(H$12=0,0,H76/H$12)</f>
        <v>2.2795666566355701E-2</v>
      </c>
      <c r="K76" s="8"/>
      <c r="L76" s="8">
        <f>+D76-H76</f>
        <v>-3427.81</v>
      </c>
      <c r="M76" s="8"/>
      <c r="N76" s="14">
        <f>IF(H76=0,0,L76/H76)</f>
        <v>-1.4141130363036303</v>
      </c>
      <c r="O76" s="13"/>
      <c r="P76" s="8">
        <f>SUM(OSRRefP25x_0)</f>
        <v>2760.96</v>
      </c>
      <c r="Q76" s="8"/>
      <c r="R76" s="14">
        <f>IF(P$12=0,0,P76/P$12)</f>
        <v>9.5748708911738538E-4</v>
      </c>
      <c r="S76" s="8"/>
      <c r="T76" s="8">
        <f>SUM(OSRRefT25x_0)</f>
        <v>20000</v>
      </c>
      <c r="U76" s="8"/>
      <c r="V76" s="14">
        <f>IF(T$12=0,0,T76/T$12)</f>
        <v>8.7482979092880237E-3</v>
      </c>
      <c r="W76" s="8"/>
      <c r="X76" s="8">
        <f>+P76-T76</f>
        <v>-17239.04</v>
      </c>
      <c r="Y76" s="8"/>
      <c r="Z76" s="14">
        <f>IF(T76=0,0,X76/T76)</f>
        <v>-0.86195200000000005</v>
      </c>
    </row>
    <row r="77" spans="1:26" s="70" customFormat="1" ht="15" hidden="1" customHeight="1" outlineLevel="1" x14ac:dyDescent="0.3">
      <c r="A77" s="48"/>
      <c r="B77" s="9" t="str">
        <f>CONCATENATE("          ","4187"," - ","NON-TAXABLE SALES-COMPUTER REP")</f>
        <v xml:space="preserve">          4187 - NON-TAXABLE SALES-COMPUTER REP</v>
      </c>
      <c r="C77" s="9"/>
      <c r="D77" s="3">
        <f>0</f>
        <v>0</v>
      </c>
      <c r="E77" s="3"/>
      <c r="F77" s="26">
        <f>IF(D$12=0,0,D77/D$12)</f>
        <v>0</v>
      </c>
      <c r="G77" s="3"/>
      <c r="H77" s="3"/>
      <c r="I77" s="3"/>
      <c r="J77" s="26">
        <f>IF(H$12=0,0,H77/H$12)</f>
        <v>0</v>
      </c>
      <c r="K77" s="3"/>
      <c r="L77" s="3">
        <f>+D77-H77</f>
        <v>0</v>
      </c>
      <c r="M77" s="3"/>
      <c r="N77" s="26">
        <f>IF(H77=0,0,L77/H77)</f>
        <v>0</v>
      </c>
      <c r="O77" s="9"/>
      <c r="P77" s="3">
        <f>0</f>
        <v>0</v>
      </c>
      <c r="Q77" s="3"/>
      <c r="R77" s="26">
        <f>IF(P$12=0,0,P77/P$12)</f>
        <v>0</v>
      </c>
      <c r="S77" s="3"/>
      <c r="T77" s="3"/>
      <c r="U77" s="3"/>
      <c r="V77" s="26">
        <f>IF(T$12=0,0,T77/T$12)</f>
        <v>0</v>
      </c>
      <c r="W77" s="3"/>
      <c r="X77" s="3">
        <f>+P77-T77</f>
        <v>0</v>
      </c>
      <c r="Y77" s="3"/>
      <c r="Z77" s="26">
        <f>IF(T77=0,0,X77/T77)</f>
        <v>0</v>
      </c>
    </row>
    <row r="78" spans="1:26" s="70" customFormat="1" ht="15" hidden="1" customHeight="1" outlineLevel="1" x14ac:dyDescent="0.3">
      <c r="A78" s="48"/>
      <c r="B78" s="9" t="str">
        <f>CONCATENATE("          ","9087"," - ","")</f>
        <v xml:space="preserve">          9087 - </v>
      </c>
      <c r="C78" s="9"/>
      <c r="D78" s="3">
        <f>-711.04</f>
        <v>-711.04</v>
      </c>
      <c r="E78" s="3"/>
      <c r="F78" s="26">
        <f>IF(D$12=0,0,D78/D$12)</f>
        <v>-1.7814124453095184E-3</v>
      </c>
      <c r="G78" s="3"/>
      <c r="H78" s="3"/>
      <c r="I78" s="3"/>
      <c r="J78" s="26">
        <f>IF(H$12=0,0,H78/H$12)</f>
        <v>0</v>
      </c>
      <c r="K78" s="3"/>
      <c r="L78" s="3">
        <f>+D78-H78</f>
        <v>-711.04</v>
      </c>
      <c r="M78" s="3"/>
      <c r="N78" s="26">
        <f>IF(H78=0,0,L78/H78)</f>
        <v>0</v>
      </c>
      <c r="O78" s="9"/>
      <c r="P78" s="3">
        <f>-5.4</f>
        <v>-5.4</v>
      </c>
      <c r="Q78" s="3"/>
      <c r="R78" s="26">
        <f>IF(P$12=0,0,P78/P$12)</f>
        <v>-1.8726929333398097E-6</v>
      </c>
      <c r="S78" s="3"/>
      <c r="T78" s="3"/>
      <c r="U78" s="3"/>
      <c r="V78" s="26">
        <f>IF(T$12=0,0,T78/T$12)</f>
        <v>0</v>
      </c>
      <c r="W78" s="3"/>
      <c r="X78" s="3">
        <f>+P78-T78</f>
        <v>-5.4</v>
      </c>
      <c r="Y78" s="3"/>
      <c r="Z78" s="26">
        <f>IF(T78=0,0,X78/T78)</f>
        <v>0</v>
      </c>
    </row>
    <row r="79" spans="1:26" s="70" customFormat="1" ht="15" hidden="1" customHeight="1" outlineLevel="1" x14ac:dyDescent="0.3">
      <c r="A79" s="48"/>
      <c r="B79" s="9" t="str">
        <f>CONCATENATE("          ","9150"," - ","MISC. INCOME")</f>
        <v xml:space="preserve">          9150 - MISC. INCOME</v>
      </c>
      <c r="C79" s="9"/>
      <c r="D79" s="3">
        <f>-292.77</f>
        <v>-292.77</v>
      </c>
      <c r="E79" s="3"/>
      <c r="F79" s="26">
        <f>IF(D$12=0,0,D79/D$12)</f>
        <v>-7.3349477049570728E-4</v>
      </c>
      <c r="G79" s="3"/>
      <c r="H79" s="3">
        <v>2424</v>
      </c>
      <c r="I79" s="3"/>
      <c r="J79" s="26">
        <f>IF(H$12=0,0,H79/H$12)</f>
        <v>2.2795666566355701E-2</v>
      </c>
      <c r="K79" s="3"/>
      <c r="L79" s="3">
        <f>+D79-H79</f>
        <v>-2716.77</v>
      </c>
      <c r="M79" s="3"/>
      <c r="N79" s="26">
        <f>IF(H79=0,0,L79/H79)</f>
        <v>-1.1207797029702971</v>
      </c>
      <c r="O79" s="9"/>
      <c r="P79" s="3">
        <f>--2766.36</f>
        <v>2766.36</v>
      </c>
      <c r="Q79" s="3"/>
      <c r="R79" s="26">
        <f>IF(P$12=0,0,P79/P$12)</f>
        <v>9.5935978205072519E-4</v>
      </c>
      <c r="S79" s="3"/>
      <c r="T79" s="3">
        <v>20000</v>
      </c>
      <c r="U79" s="3"/>
      <c r="V79" s="26">
        <f>IF(T$12=0,0,T79/T$12)</f>
        <v>8.7482979092880237E-3</v>
      </c>
      <c r="W79" s="3"/>
      <c r="X79" s="3">
        <f>+P79-T79</f>
        <v>-17233.64</v>
      </c>
      <c r="Y79" s="3"/>
      <c r="Z79" s="26">
        <f>IF(T79=0,0,X79/T79)</f>
        <v>-0.86168199999999995</v>
      </c>
    </row>
    <row r="80" spans="1:26" ht="15" customHeight="1" x14ac:dyDescent="0.3">
      <c r="A80" s="12"/>
      <c r="B80" s="13"/>
      <c r="C80" s="13"/>
      <c r="D80" s="4"/>
      <c r="E80" s="4"/>
      <c r="F80" s="10"/>
      <c r="G80" s="4"/>
      <c r="H80" s="4"/>
      <c r="I80" s="4"/>
      <c r="J80" s="10"/>
      <c r="K80" s="4"/>
      <c r="L80" s="4"/>
      <c r="M80" s="4"/>
      <c r="N80" s="10"/>
      <c r="O80" s="13"/>
      <c r="P80" s="4"/>
      <c r="Q80" s="4"/>
      <c r="R80" s="10"/>
      <c r="S80" s="4"/>
      <c r="T80" s="4"/>
      <c r="U80" s="4"/>
      <c r="V80" s="10"/>
      <c r="W80" s="4"/>
      <c r="X80" s="4"/>
      <c r="Y80" s="4"/>
      <c r="Z80" s="10"/>
    </row>
    <row r="81" spans="1:26" s="63" customFormat="1" ht="15" customHeight="1" x14ac:dyDescent="0.3">
      <c r="A81" s="13"/>
      <c r="B81" s="27" t="s">
        <v>292</v>
      </c>
      <c r="C81" s="27"/>
      <c r="D81" s="23">
        <f>+D31-D33+D76</f>
        <v>108613.19999999991</v>
      </c>
      <c r="E81" s="15"/>
      <c r="F81" s="22">
        <f>IF(D$12=0,0,D81/D$12)</f>
        <v>0.27211536088671751</v>
      </c>
      <c r="G81" s="15"/>
      <c r="H81" s="23">
        <f>+H31-H33+H76</f>
        <v>-67.936099669999749</v>
      </c>
      <c r="I81" s="15"/>
      <c r="J81" s="22">
        <f>IF(H$12=0,0,H81/H$12)</f>
        <v>-6.388814669538044E-4</v>
      </c>
      <c r="K81" s="17"/>
      <c r="L81" s="23">
        <f>+D81-H81</f>
        <v>108681.13609966991</v>
      </c>
      <c r="M81" s="17"/>
      <c r="N81" s="22">
        <f>IF(H81=0,0,L81/H81)</f>
        <v>-1599.755308703172</v>
      </c>
      <c r="O81" s="28"/>
      <c r="P81" s="23">
        <f>+P31-P33+P76</f>
        <v>316088.67999999976</v>
      </c>
      <c r="Q81" s="15"/>
      <c r="R81" s="22">
        <f>IF(P$12=0,0,P81/P$12)</f>
        <v>0.10961796987864962</v>
      </c>
      <c r="S81" s="15"/>
      <c r="T81" s="23">
        <f>+T31-T33+T76</f>
        <v>71087.614209890016</v>
      </c>
      <c r="U81" s="15"/>
      <c r="V81" s="22">
        <f>IF(T$12=0,0,T81/T$12)</f>
        <v>3.1094781338432725E-2</v>
      </c>
      <c r="W81" s="17"/>
      <c r="X81" s="23">
        <f>+P81-T81</f>
        <v>245001.06579010974</v>
      </c>
      <c r="Y81" s="17"/>
      <c r="Z81" s="22">
        <f>IF(T81=0,0,X81/T81)</f>
        <v>3.4464662868939571</v>
      </c>
    </row>
    <row r="82" spans="1:26" ht="15" customHeight="1" x14ac:dyDescent="0.3">
      <c r="A82" s="12"/>
      <c r="B82" s="13"/>
      <c r="C82" s="12"/>
      <c r="D82" s="4"/>
      <c r="E82" s="4"/>
      <c r="F82" s="10"/>
      <c r="G82" s="4"/>
      <c r="H82" s="4"/>
      <c r="I82" s="4"/>
      <c r="J82" s="10"/>
      <c r="K82" s="4"/>
      <c r="L82" s="4"/>
      <c r="M82" s="4"/>
      <c r="N82" s="10"/>
      <c r="P82" s="4"/>
      <c r="Q82" s="4"/>
      <c r="R82" s="10"/>
      <c r="S82" s="4"/>
      <c r="T82" s="4"/>
      <c r="U82" s="4"/>
      <c r="V82" s="10"/>
      <c r="W82" s="4"/>
      <c r="X82" s="4"/>
      <c r="Y82" s="4"/>
      <c r="Z82" s="10"/>
    </row>
    <row r="83" spans="1:26" s="63" customFormat="1" ht="15" customHeight="1" x14ac:dyDescent="0.3">
      <c r="A83" s="49"/>
      <c r="B83" s="13" t="s">
        <v>293</v>
      </c>
      <c r="C83" s="13"/>
      <c r="D83" s="8">
        <v>-611750.59</v>
      </c>
      <c r="E83" s="8"/>
      <c r="F83" s="14">
        <f>IF(D$12=0,0,D83/D$12)</f>
        <v>-1.5326565516024986</v>
      </c>
      <c r="G83" s="8"/>
      <c r="H83" s="8">
        <v>-10979</v>
      </c>
      <c r="I83" s="8"/>
      <c r="J83" s="14">
        <f>IF(H$12=0,0,H83/H$12)</f>
        <v>-0.10324819440264821</v>
      </c>
      <c r="K83" s="8"/>
      <c r="L83" s="8">
        <f>+D83-H83</f>
        <v>-600771.59</v>
      </c>
      <c r="M83" s="8"/>
      <c r="N83" s="14">
        <f>IF(H83=0,0,L83/H83)</f>
        <v>54.720064668913381</v>
      </c>
      <c r="O83" s="13"/>
      <c r="P83" s="8">
        <v>-332440.58</v>
      </c>
      <c r="Q83" s="8"/>
      <c r="R83" s="14">
        <f>IF(P$12=0,0,P83/P$12)</f>
        <v>-0.11528872683729402</v>
      </c>
      <c r="S83" s="8"/>
      <c r="T83" s="8">
        <v>259238</v>
      </c>
      <c r="U83" s="8"/>
      <c r="V83" s="14">
        <f>IF(T$12=0,0,T83/T$12)</f>
        <v>0.11339456267040043</v>
      </c>
      <c r="W83" s="8"/>
      <c r="X83" s="8">
        <f>+P83-T83</f>
        <v>-591678.58000000007</v>
      </c>
      <c r="Y83" s="8"/>
      <c r="Z83" s="14">
        <f>IF(T83=0,0,X83/T83)</f>
        <v>-2.2823759634004275</v>
      </c>
    </row>
    <row r="84" spans="1:26" ht="15" customHeight="1" x14ac:dyDescent="0.3">
      <c r="A84" s="12"/>
      <c r="B84" s="13"/>
      <c r="C84" s="13"/>
      <c r="D84" s="4"/>
      <c r="E84" s="4"/>
      <c r="F84" s="10"/>
      <c r="G84" s="4"/>
      <c r="H84" s="4"/>
      <c r="I84" s="4"/>
      <c r="J84" s="10"/>
      <c r="K84" s="4"/>
      <c r="L84" s="4"/>
      <c r="M84" s="4"/>
      <c r="N84" s="10"/>
      <c r="O84" s="13"/>
      <c r="P84" s="4"/>
      <c r="Q84" s="4"/>
      <c r="R84" s="10"/>
      <c r="S84" s="4"/>
      <c r="T84" s="4"/>
      <c r="U84" s="4"/>
      <c r="V84" s="10"/>
      <c r="W84" s="4"/>
      <c r="X84" s="4"/>
      <c r="Y84" s="4"/>
      <c r="Z84" s="10"/>
    </row>
    <row r="85" spans="1:26" s="63" customFormat="1" ht="15" customHeight="1" x14ac:dyDescent="0.3">
      <c r="A85" s="13"/>
      <c r="B85" s="27" t="s">
        <v>294</v>
      </c>
      <c r="C85" s="27"/>
      <c r="D85" s="30">
        <f>+D81-D83</f>
        <v>720363.78999999992</v>
      </c>
      <c r="E85" s="15"/>
      <c r="F85" s="35">
        <f>IF(D$12=0,0,D85/D$12)</f>
        <v>1.8047719124892163</v>
      </c>
      <c r="G85" s="15"/>
      <c r="H85" s="30">
        <f>+H81-H83</f>
        <v>10911.06390033</v>
      </c>
      <c r="I85" s="15"/>
      <c r="J85" s="35">
        <f>IF(H$12=0,0,H85/H$12)</f>
        <v>0.10260931293569441</v>
      </c>
      <c r="K85" s="17"/>
      <c r="L85" s="30">
        <f>D85-H85</f>
        <v>709452.72609966993</v>
      </c>
      <c r="M85" s="17"/>
      <c r="N85" s="35">
        <f>IF(H85=0,0,L85/H85)</f>
        <v>65.021406948062406</v>
      </c>
      <c r="O85" s="28"/>
      <c r="P85" s="30">
        <f>+P81-P83</f>
        <v>648529.25999999978</v>
      </c>
      <c r="Q85" s="15"/>
      <c r="R85" s="35">
        <f>IF(P$12=0,0,P85/P$12)</f>
        <v>0.22490669671594363</v>
      </c>
      <c r="S85" s="15"/>
      <c r="T85" s="30">
        <f>+T81-T83</f>
        <v>-188150.38579010998</v>
      </c>
      <c r="U85" s="15"/>
      <c r="V85" s="35">
        <f>IF(T$12=0,0,T85/T$12)</f>
        <v>-8.229978133196772E-2</v>
      </c>
      <c r="W85" s="17"/>
      <c r="X85" s="30">
        <f>P85-T85</f>
        <v>836679.64579010976</v>
      </c>
      <c r="Y85" s="17"/>
      <c r="Z85" s="35">
        <f>IF(T85=0,0,X85/T85)</f>
        <v>-4.4468664907414146</v>
      </c>
    </row>
    <row r="86" spans="1:26" ht="15" customHeight="1" x14ac:dyDescent="0.3">
      <c r="A86" s="12"/>
      <c r="B86" s="12"/>
      <c r="C86" s="12"/>
      <c r="D86" s="4"/>
      <c r="E86" s="4"/>
      <c r="F86" s="10"/>
      <c r="G86" s="4"/>
      <c r="H86" s="4"/>
      <c r="I86" s="4"/>
      <c r="J86" s="10"/>
      <c r="K86" s="4"/>
      <c r="L86" s="4"/>
      <c r="M86" s="4"/>
      <c r="N86" s="10"/>
      <c r="P86" s="4"/>
      <c r="Q86" s="4"/>
      <c r="R86" s="10"/>
      <c r="S86" s="4"/>
      <c r="T86" s="4"/>
      <c r="U86" s="4"/>
      <c r="V86" s="10"/>
      <c r="W86" s="4"/>
      <c r="X86" s="4"/>
      <c r="Y86" s="4"/>
      <c r="Z86" s="10"/>
    </row>
    <row r="87" spans="1:26" ht="15" customHeight="1" x14ac:dyDescent="0.3">
      <c r="A87" s="12"/>
      <c r="B87" s="12"/>
      <c r="C87" s="12"/>
      <c r="D87" s="4"/>
      <c r="E87" s="4"/>
      <c r="F87" s="10"/>
      <c r="G87" s="4"/>
      <c r="H87" s="4"/>
      <c r="I87" s="4"/>
      <c r="J87" s="10"/>
      <c r="K87" s="4"/>
      <c r="L87" s="4"/>
      <c r="M87" s="4"/>
      <c r="N87" s="10"/>
      <c r="P87" s="4"/>
      <c r="Q87" s="4"/>
      <c r="R87" s="10"/>
      <c r="S87" s="4"/>
      <c r="T87" s="4"/>
      <c r="U87" s="4"/>
      <c r="V87" s="10"/>
      <c r="W87" s="4"/>
      <c r="X87" s="4"/>
      <c r="Y87" s="4"/>
      <c r="Z87" s="10"/>
    </row>
    <row r="88" spans="1:26" s="63" customFormat="1" ht="15" customHeight="1" x14ac:dyDescent="0.3">
      <c r="A88" s="13"/>
      <c r="B88" s="27" t="s">
        <v>297</v>
      </c>
      <c r="C88" s="27"/>
      <c r="D88" s="33">
        <f>SUM(D85:D87)</f>
        <v>720363.78999999992</v>
      </c>
      <c r="E88" s="15"/>
      <c r="F88" s="31">
        <f>IF(D$12=0,0,D88/D$12)</f>
        <v>1.8047719124892163</v>
      </c>
      <c r="G88" s="15"/>
      <c r="H88" s="33">
        <f>SUM(H85:H87)</f>
        <v>10911.06390033</v>
      </c>
      <c r="I88" s="15"/>
      <c r="J88" s="31">
        <f>IF(H$12=0,0,H88/H$12)</f>
        <v>0.10260931293569441</v>
      </c>
      <c r="K88" s="17"/>
      <c r="L88" s="33">
        <f>+D88-H88</f>
        <v>709452.72609966993</v>
      </c>
      <c r="M88" s="17"/>
      <c r="N88" s="31">
        <f>IF(H88=0,0,L88/H88)</f>
        <v>65.021406948062406</v>
      </c>
      <c r="O88" s="28"/>
      <c r="P88" s="33">
        <f>SUM(P85:P87)</f>
        <v>648529.25999999978</v>
      </c>
      <c r="Q88" s="15"/>
      <c r="R88" s="31">
        <f>IF(P$12=0,0,P88/P$12)</f>
        <v>0.22490669671594363</v>
      </c>
      <c r="S88" s="15"/>
      <c r="T88" s="33">
        <f>SUM(T85:T87)</f>
        <v>-188150.38579010998</v>
      </c>
      <c r="U88" s="15"/>
      <c r="V88" s="31">
        <f>IF(T$12=0,0,T88/T$12)</f>
        <v>-8.229978133196772E-2</v>
      </c>
      <c r="W88" s="17"/>
      <c r="X88" s="33">
        <f>+P88-T88</f>
        <v>836679.64579010976</v>
      </c>
      <c r="Y88" s="17"/>
      <c r="Z88" s="31">
        <f>IF(T88=0,0,X88/T88)</f>
        <v>-4.4468664907414146</v>
      </c>
    </row>
    <row r="89" spans="1:26" ht="15" customHeight="1" x14ac:dyDescent="0.3">
      <c r="A89" s="12"/>
      <c r="C89" s="12"/>
      <c r="D89" s="19"/>
      <c r="E89" s="19"/>
      <c r="G89" s="19"/>
      <c r="H89" s="19"/>
      <c r="I89" s="19"/>
      <c r="J89" s="41"/>
      <c r="K89" s="19"/>
      <c r="L89" s="19"/>
      <c r="M89" s="19"/>
      <c r="P89" s="19"/>
      <c r="Q89" s="19"/>
      <c r="R89" s="41"/>
      <c r="S89" s="19"/>
      <c r="T89" s="19"/>
      <c r="U89" s="19"/>
      <c r="V89" s="41"/>
      <c r="W89" s="19"/>
      <c r="X89" s="19"/>
    </row>
    <row r="90" spans="1:26" ht="15" customHeight="1" x14ac:dyDescent="0.3">
      <c r="A90" s="12"/>
      <c r="B90" s="50">
        <v>44767.799535335645</v>
      </c>
      <c r="D90" s="19"/>
      <c r="E90" s="19"/>
      <c r="G90" s="19"/>
      <c r="H90" s="19"/>
      <c r="I90" s="19"/>
      <c r="J90" s="41"/>
      <c r="K90" s="19"/>
      <c r="L90" s="19"/>
      <c r="M90" s="19"/>
      <c r="P90" s="19"/>
      <c r="Q90" s="19"/>
      <c r="R90" s="41"/>
      <c r="S90" s="19"/>
      <c r="T90" s="19"/>
      <c r="U90" s="19"/>
      <c r="V90" s="41"/>
      <c r="W90" s="19"/>
      <c r="X90" s="19"/>
    </row>
    <row r="91" spans="1:26" ht="15" customHeight="1" x14ac:dyDescent="0.3">
      <c r="A91" s="12"/>
      <c r="B91" s="57" t="s">
        <v>298</v>
      </c>
      <c r="D91" s="19"/>
      <c r="E91" s="19"/>
      <c r="G91" s="19"/>
      <c r="H91" s="19"/>
      <c r="I91" s="19"/>
      <c r="J91" s="41"/>
      <c r="K91" s="19"/>
      <c r="L91" s="19"/>
      <c r="M91" s="19"/>
      <c r="P91" s="19"/>
      <c r="Q91" s="19"/>
      <c r="R91" s="41"/>
      <c r="S91" s="19"/>
      <c r="T91" s="19"/>
      <c r="U91" s="19"/>
      <c r="V91" s="41"/>
      <c r="W91" s="19"/>
      <c r="X91" s="19"/>
    </row>
    <row r="92" spans="1:26" ht="15" customHeight="1" x14ac:dyDescent="0.3">
      <c r="A92" s="12"/>
      <c r="B92" s="51"/>
      <c r="D92" s="19"/>
      <c r="E92" s="19"/>
      <c r="G92" s="19"/>
      <c r="H92" s="19"/>
      <c r="I92" s="19"/>
      <c r="J92" s="41"/>
      <c r="K92" s="19"/>
      <c r="L92" s="19"/>
      <c r="M92" s="19"/>
      <c r="P92" s="19"/>
      <c r="Q92" s="19"/>
      <c r="R92" s="41"/>
      <c r="S92" s="19"/>
      <c r="T92" s="19"/>
      <c r="U92" s="19"/>
      <c r="V92" s="41"/>
      <c r="W92" s="19"/>
      <c r="X92" s="19"/>
    </row>
    <row r="93" spans="1:26" ht="15" customHeight="1" x14ac:dyDescent="0.3">
      <c r="D93" s="19"/>
      <c r="E93" s="19"/>
      <c r="G93" s="19"/>
      <c r="H93" s="19"/>
      <c r="I93" s="19"/>
      <c r="J93" s="41"/>
      <c r="K93" s="19"/>
      <c r="L93" s="19"/>
      <c r="M93" s="19"/>
      <c r="P93" s="19"/>
      <c r="Q93" s="19"/>
      <c r="R93" s="41"/>
      <c r="S93" s="19"/>
      <c r="T93" s="19"/>
      <c r="U93" s="19"/>
      <c r="V93" s="41"/>
      <c r="W93" s="19"/>
      <c r="X93" s="19"/>
    </row>
  </sheetData>
  <pageMargins left="0.25" right="0.25" top="0.75" bottom="0.75" header="0.3" footer="0.3"/>
  <pageSetup scale="55" orientation="landscape" r:id="rId1"/>
  <headerFooter>
    <oddHeader>&amp;RPre-Audit</oddHeader>
    <oddFooter>&amp;L&amp;C&amp;R</oddFooter>
    <evenHeader>&amp;L&amp;C&amp;R</evenHeader>
    <evenFooter>&amp;L&amp;C&amp;R</even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E8E39D-6567-2B03-656C-306BB89BCB7E}">
  <sheetPr>
    <tabColor rgb="FF92D050"/>
    <outlinePr summaryBelow="0" summaryRight="0"/>
  </sheetPr>
  <dimension ref="A2:Z93"/>
  <sheetViews>
    <sheetView showGridLines="0" defaultGridColor="0" colorId="8" zoomScale="80" workbookViewId="0">
      <pane xSplit="3" ySplit="10" topLeftCell="D11" activePane="bottomRight" state="frozen"/>
      <selection activeCell="D78" sqref="D78"/>
      <selection pane="topRight" activeCell="D78" sqref="D78"/>
      <selection pane="bottomLeft" activeCell="D78" sqref="D78"/>
      <selection pane="bottomRight" activeCell="D78" sqref="D78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3" t="s">
        <v>276</v>
      </c>
    </row>
    <row r="3" spans="1:26" ht="15" customHeight="1" x14ac:dyDescent="0.3">
      <c r="D3" s="53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3" t="str">
        <f>CONCATENATE("Period ",RIGHT(202212,2),", ",2022)</f>
        <v>Period 12,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5"/>
      <c r="D5" s="60">
        <v>44742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5"/>
      <c r="B6" s="47"/>
      <c r="C6" s="47"/>
      <c r="D6" s="25" t="str">
        <f>CONCATENATE("Department ","317"," - ","Computer Store")</f>
        <v>Department 317 - Computer Store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4"/>
    </row>
    <row r="8" spans="1:26" ht="15" customHeight="1" x14ac:dyDescent="0.3">
      <c r="B8" s="54"/>
    </row>
    <row r="9" spans="1:26" ht="15" customHeight="1" x14ac:dyDescent="0.3">
      <c r="B9" s="12"/>
      <c r="C9" s="12"/>
      <c r="D9" s="16" t="s">
        <v>279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280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ht="15" customHeight="1" x14ac:dyDescent="0.3">
      <c r="A10" s="13"/>
      <c r="B10" s="52"/>
      <c r="C10" s="13"/>
      <c r="D10" s="40" t="s">
        <v>281</v>
      </c>
      <c r="E10" s="32"/>
      <c r="F10" s="39" t="s">
        <v>282</v>
      </c>
      <c r="G10" s="32"/>
      <c r="H10" s="45" t="s">
        <v>283</v>
      </c>
      <c r="I10" s="32"/>
      <c r="J10" s="42" t="s">
        <v>284</v>
      </c>
      <c r="K10" s="13"/>
      <c r="L10" s="40" t="s">
        <v>285</v>
      </c>
      <c r="M10" s="13"/>
      <c r="N10" s="39" t="s">
        <v>286</v>
      </c>
      <c r="O10" s="13"/>
      <c r="P10" s="55" t="s">
        <v>281</v>
      </c>
      <c r="Q10" s="32"/>
      <c r="R10" s="39" t="s">
        <v>282</v>
      </c>
      <c r="S10" s="32"/>
      <c r="T10" s="45" t="s">
        <v>283</v>
      </c>
      <c r="U10" s="32"/>
      <c r="V10" s="42" t="s">
        <v>284</v>
      </c>
      <c r="W10" s="13"/>
      <c r="X10" s="40" t="s">
        <v>285</v>
      </c>
      <c r="Y10" s="13"/>
      <c r="Z10" s="39" t="s">
        <v>286</v>
      </c>
    </row>
    <row r="11" spans="1:26" ht="16.5" customHeight="1" x14ac:dyDescent="0.3">
      <c r="A11" s="12"/>
      <c r="B11" s="58"/>
      <c r="C11" s="12"/>
      <c r="D11" s="12"/>
      <c r="E11" s="12"/>
      <c r="F11" s="10"/>
      <c r="G11" s="12"/>
      <c r="H11" s="12"/>
      <c r="I11" s="12"/>
      <c r="J11" s="43"/>
      <c r="K11" s="12"/>
      <c r="L11" s="12"/>
      <c r="M11" s="12"/>
      <c r="N11" s="10"/>
      <c r="P11" s="12"/>
      <c r="Q11" s="12"/>
      <c r="R11" s="10"/>
      <c r="S11" s="12"/>
      <c r="T11" s="12"/>
      <c r="U11" s="12"/>
      <c r="V11" s="43"/>
      <c r="W11" s="12"/>
      <c r="X11" s="12"/>
      <c r="Y11" s="12"/>
      <c r="Z11" s="10"/>
    </row>
    <row r="12" spans="1:26" s="63" customFormat="1" ht="15" customHeight="1" collapsed="1" x14ac:dyDescent="0.3">
      <c r="A12" s="13"/>
      <c r="B12" s="28" t="s">
        <v>287</v>
      </c>
      <c r="C12" s="13"/>
      <c r="D12" s="8">
        <f>SUM(OSRRefD13x_0)</f>
        <v>399143.9499999999</v>
      </c>
      <c r="E12" s="8"/>
      <c r="F12" s="14"/>
      <c r="G12" s="8"/>
      <c r="H12" s="8">
        <f>SUM(OSRRefH13x_0)</f>
        <v>106336</v>
      </c>
      <c r="I12" s="8"/>
      <c r="J12" s="14"/>
      <c r="K12" s="8"/>
      <c r="L12" s="8">
        <f t="shared" ref="L12:L17" si="0">+D12-H12</f>
        <v>292807.9499999999</v>
      </c>
      <c r="M12" s="8"/>
      <c r="N12" s="14">
        <f t="shared" ref="N12:N17" si="1">IF(H12=0,0,L12/H12)</f>
        <v>2.7536107244959362</v>
      </c>
      <c r="O12" s="13"/>
      <c r="P12" s="8">
        <f>SUM(OSRRefP13x_0)</f>
        <v>2883548.02</v>
      </c>
      <c r="Q12" s="8"/>
      <c r="R12" s="14"/>
      <c r="S12" s="8"/>
      <c r="T12" s="8">
        <f>SUM(OSRRefT13x_0)</f>
        <v>2286159</v>
      </c>
      <c r="U12" s="8"/>
      <c r="V12" s="14"/>
      <c r="W12" s="8"/>
      <c r="X12" s="8">
        <f t="shared" ref="X12:X17" si="2">+P12-T12</f>
        <v>597389.02</v>
      </c>
      <c r="Y12" s="8"/>
      <c r="Z12" s="14">
        <f t="shared" ref="Z12:Z17" si="3">IF(T12=0,0,X12/T12)</f>
        <v>0.2613068557348811</v>
      </c>
    </row>
    <row r="13" spans="1:26" s="70" customFormat="1" ht="15" hidden="1" customHeight="1" outlineLevel="1" x14ac:dyDescent="0.3">
      <c r="A13" s="48"/>
      <c r="B13" s="9" t="str">
        <f>CONCATENATE("          ","4000"," - ","TAXABLE SALES")</f>
        <v xml:space="preserve">          4000 - TAXABLE SALES</v>
      </c>
      <c r="C13" s="9"/>
      <c r="D13" s="3">
        <f>--534649.09</f>
        <v>534649.09</v>
      </c>
      <c r="E13" s="3"/>
      <c r="F13" s="26"/>
      <c r="G13" s="3"/>
      <c r="H13" s="3">
        <v>103131</v>
      </c>
      <c r="I13" s="3"/>
      <c r="J13" s="26"/>
      <c r="K13" s="3"/>
      <c r="L13" s="3">
        <f t="shared" si="0"/>
        <v>431518.08999999997</v>
      </c>
      <c r="M13" s="3"/>
      <c r="N13" s="26">
        <f t="shared" si="1"/>
        <v>4.1841743995500869</v>
      </c>
      <c r="O13" s="9"/>
      <c r="P13" s="3">
        <f>--2885107.46</f>
        <v>2885107.46</v>
      </c>
      <c r="Q13" s="3"/>
      <c r="R13" s="26"/>
      <c r="S13" s="3"/>
      <c r="T13" s="3">
        <v>2140442</v>
      </c>
      <c r="U13" s="3"/>
      <c r="V13" s="26"/>
      <c r="W13" s="3"/>
      <c r="X13" s="3">
        <f t="shared" si="2"/>
        <v>744665.46</v>
      </c>
      <c r="Y13" s="3"/>
      <c r="Z13" s="26">
        <f t="shared" si="3"/>
        <v>0.34790265748850002</v>
      </c>
    </row>
    <row r="14" spans="1:26" s="70" customFormat="1" ht="15" hidden="1" customHeight="1" outlineLevel="1" x14ac:dyDescent="0.3">
      <c r="A14" s="48"/>
      <c r="B14" s="9" t="str">
        <f>CONCATENATE("          ","4100"," - ","NON-TAXABLE SALES")</f>
        <v xml:space="preserve">          4100 - NON-TAXABLE SALES</v>
      </c>
      <c r="C14" s="9"/>
      <c r="D14" s="3">
        <f>--80447.08</f>
        <v>80447.08</v>
      </c>
      <c r="E14" s="3"/>
      <c r="F14" s="26"/>
      <c r="G14" s="3"/>
      <c r="H14" s="3">
        <v>3205</v>
      </c>
      <c r="I14" s="3"/>
      <c r="J14" s="26"/>
      <c r="K14" s="3"/>
      <c r="L14" s="3">
        <f t="shared" si="0"/>
        <v>77242.080000000002</v>
      </c>
      <c r="M14" s="3"/>
      <c r="N14" s="26">
        <f t="shared" si="1"/>
        <v>24.100492979719188</v>
      </c>
      <c r="O14" s="9"/>
      <c r="P14" s="3">
        <f>--749033.87</f>
        <v>749033.87</v>
      </c>
      <c r="Q14" s="3"/>
      <c r="R14" s="26"/>
      <c r="S14" s="3"/>
      <c r="T14" s="3">
        <v>145717</v>
      </c>
      <c r="U14" s="3"/>
      <c r="V14" s="26"/>
      <c r="W14" s="3"/>
      <c r="X14" s="3">
        <f t="shared" si="2"/>
        <v>603316.87</v>
      </c>
      <c r="Y14" s="3"/>
      <c r="Z14" s="26">
        <f t="shared" si="3"/>
        <v>4.1403327683111781</v>
      </c>
    </row>
    <row r="15" spans="1:26" s="70" customFormat="1" ht="15" hidden="1" customHeight="1" outlineLevel="1" x14ac:dyDescent="0.3">
      <c r="A15" s="48"/>
      <c r="B15" s="9" t="str">
        <f>CONCATENATE("          ","4200"," - ","TAXABLE RETURNS")</f>
        <v xml:space="preserve">          4200 - TAXABLE RETURNS</v>
      </c>
      <c r="C15" s="9"/>
      <c r="D15" s="3">
        <f>-215135.94</f>
        <v>-215135.94</v>
      </c>
      <c r="E15" s="3"/>
      <c r="F15" s="26"/>
      <c r="G15" s="3"/>
      <c r="H15" s="3"/>
      <c r="I15" s="3"/>
      <c r="J15" s="26"/>
      <c r="K15" s="3"/>
      <c r="L15" s="3">
        <f t="shared" si="0"/>
        <v>-215135.94</v>
      </c>
      <c r="M15" s="3"/>
      <c r="N15" s="26">
        <f t="shared" si="1"/>
        <v>0</v>
      </c>
      <c r="O15" s="9"/>
      <c r="P15" s="3">
        <f>-747227.7</f>
        <v>-747227.7</v>
      </c>
      <c r="Q15" s="3"/>
      <c r="R15" s="26"/>
      <c r="S15" s="3"/>
      <c r="T15" s="3"/>
      <c r="U15" s="3"/>
      <c r="V15" s="26"/>
      <c r="W15" s="3"/>
      <c r="X15" s="3">
        <f t="shared" si="2"/>
        <v>-747227.7</v>
      </c>
      <c r="Y15" s="3"/>
      <c r="Z15" s="26">
        <f t="shared" si="3"/>
        <v>0</v>
      </c>
    </row>
    <row r="16" spans="1:26" s="70" customFormat="1" ht="15" hidden="1" customHeight="1" outlineLevel="1" x14ac:dyDescent="0.3">
      <c r="A16" s="48"/>
      <c r="B16" s="9" t="str">
        <f>CONCATENATE("          ","4300"," - ","NON-TAX RETURNS")</f>
        <v xml:space="preserve">          4300 - NON-TAX RETURNS</v>
      </c>
      <c r="C16" s="9"/>
      <c r="D16" s="3">
        <f>0</f>
        <v>0</v>
      </c>
      <c r="E16" s="3"/>
      <c r="F16" s="26"/>
      <c r="G16" s="3"/>
      <c r="H16" s="3"/>
      <c r="I16" s="3"/>
      <c r="J16" s="26"/>
      <c r="K16" s="3"/>
      <c r="L16" s="3">
        <f t="shared" si="0"/>
        <v>0</v>
      </c>
      <c r="M16" s="3"/>
      <c r="N16" s="26">
        <f t="shared" si="1"/>
        <v>0</v>
      </c>
      <c r="O16" s="9"/>
      <c r="P16" s="3">
        <f>-1114.52</f>
        <v>-1114.52</v>
      </c>
      <c r="Q16" s="3"/>
      <c r="R16" s="26"/>
      <c r="S16" s="3"/>
      <c r="T16" s="3"/>
      <c r="U16" s="3"/>
      <c r="V16" s="26"/>
      <c r="W16" s="3"/>
      <c r="X16" s="3">
        <f t="shared" si="2"/>
        <v>-1114.52</v>
      </c>
      <c r="Y16" s="3"/>
      <c r="Z16" s="26">
        <f t="shared" si="3"/>
        <v>0</v>
      </c>
    </row>
    <row r="17" spans="1:26" s="70" customFormat="1" ht="15" hidden="1" customHeight="1" outlineLevel="1" x14ac:dyDescent="0.3">
      <c r="A17" s="48"/>
      <c r="B17" s="9" t="str">
        <f>CONCATENATE("          ","4500"," - ","SALES DISCOUNT")</f>
        <v xml:space="preserve">          4500 - SALES DISCOUNT</v>
      </c>
      <c r="C17" s="9"/>
      <c r="D17" s="3">
        <f>-816.28</f>
        <v>-816.28</v>
      </c>
      <c r="E17" s="3"/>
      <c r="F17" s="26"/>
      <c r="G17" s="3"/>
      <c r="H17" s="3"/>
      <c r="I17" s="3"/>
      <c r="J17" s="26"/>
      <c r="K17" s="3"/>
      <c r="L17" s="3">
        <f t="shared" si="0"/>
        <v>-816.28</v>
      </c>
      <c r="M17" s="3"/>
      <c r="N17" s="26">
        <f t="shared" si="1"/>
        <v>0</v>
      </c>
      <c r="O17" s="9"/>
      <c r="P17" s="3">
        <f>-2251.09</f>
        <v>-2251.09</v>
      </c>
      <c r="Q17" s="3"/>
      <c r="R17" s="26"/>
      <c r="S17" s="3"/>
      <c r="T17" s="3"/>
      <c r="U17" s="3"/>
      <c r="V17" s="26"/>
      <c r="W17" s="3"/>
      <c r="X17" s="3">
        <f t="shared" si="2"/>
        <v>-2251.09</v>
      </c>
      <c r="Y17" s="3"/>
      <c r="Z17" s="26">
        <f t="shared" si="3"/>
        <v>0</v>
      </c>
    </row>
    <row r="18" spans="1:26" ht="15" customHeight="1" x14ac:dyDescent="0.3">
      <c r="A18" s="12"/>
      <c r="B18" s="13"/>
      <c r="C18" s="12"/>
      <c r="D18" s="4"/>
      <c r="E18" s="4"/>
      <c r="F18" s="10"/>
      <c r="G18" s="4"/>
      <c r="H18" s="4"/>
      <c r="I18" s="4"/>
      <c r="J18" s="10"/>
      <c r="K18" s="4"/>
      <c r="L18" s="4"/>
      <c r="M18" s="4"/>
      <c r="N18" s="10"/>
      <c r="P18" s="4"/>
      <c r="Q18" s="4"/>
      <c r="R18" s="10"/>
      <c r="S18" s="4"/>
      <c r="T18" s="4"/>
      <c r="U18" s="4"/>
      <c r="V18" s="10"/>
      <c r="W18" s="4"/>
      <c r="X18" s="4"/>
      <c r="Y18" s="4"/>
      <c r="Z18" s="10"/>
    </row>
    <row r="19" spans="1:26" s="63" customFormat="1" ht="15" customHeight="1" collapsed="1" x14ac:dyDescent="0.3">
      <c r="A19" s="13"/>
      <c r="B19" s="28" t="s">
        <v>288</v>
      </c>
      <c r="C19" s="13"/>
      <c r="D19" s="8">
        <f>SUM(OSRRefD16x_0)</f>
        <v>286197.05</v>
      </c>
      <c r="E19" s="8"/>
      <c r="F19" s="14">
        <f t="shared" ref="F19:F29" si="4">IF(D$12=0,0,D19/D$12)</f>
        <v>0.71702715273524764</v>
      </c>
      <c r="G19" s="8"/>
      <c r="H19" s="8">
        <f>SUM(OSRRefH16x_0)</f>
        <v>95171</v>
      </c>
      <c r="I19" s="8"/>
      <c r="J19" s="14">
        <f t="shared" ref="J19:J29" si="5">IF(H$12=0,0,H19/H$12)</f>
        <v>0.89500263316280471</v>
      </c>
      <c r="K19" s="8"/>
      <c r="L19" s="8">
        <f t="shared" ref="L19:L29" si="6">+D19-H19</f>
        <v>191026.05</v>
      </c>
      <c r="M19" s="8"/>
      <c r="N19" s="14">
        <f t="shared" ref="N19:N29" si="7">IF(H19=0,0,L19/H19)</f>
        <v>2.0071875886562083</v>
      </c>
      <c r="O19" s="13"/>
      <c r="P19" s="8">
        <f>SUM(OSRRefP16x_0)</f>
        <v>2395587.1300000004</v>
      </c>
      <c r="Q19" s="8"/>
      <c r="R19" s="14">
        <f t="shared" ref="R19:R29" si="8">IF(P$12=0,0,P19/P$12)</f>
        <v>0.83077760917607346</v>
      </c>
      <c r="S19" s="8"/>
      <c r="T19" s="8">
        <f>SUM(OSRRefT16x_0)</f>
        <v>2046109</v>
      </c>
      <c r="U19" s="8"/>
      <c r="V19" s="14">
        <f t="shared" ref="V19:V29" si="9">IF(T$12=0,0,T19/T$12)</f>
        <v>0.89499855434377051</v>
      </c>
      <c r="W19" s="8"/>
      <c r="X19" s="8">
        <f t="shared" ref="X19:X29" si="10">+P19-T19</f>
        <v>349478.13000000035</v>
      </c>
      <c r="Y19" s="8"/>
      <c r="Z19" s="14">
        <f t="shared" ref="Z19:Z29" si="11">IF(T19=0,0,X19/T19)</f>
        <v>0.17080132583357013</v>
      </c>
    </row>
    <row r="20" spans="1:26" s="70" customFormat="1" ht="15" hidden="1" customHeight="1" outlineLevel="1" x14ac:dyDescent="0.3">
      <c r="A20" s="48"/>
      <c r="B20" s="9" t="str">
        <f>CONCATENATE("          ","5000"," - ","PURCHASES @ COST")</f>
        <v xml:space="preserve">          5000 - PURCHASES @ COST</v>
      </c>
      <c r="C20" s="9"/>
      <c r="D20" s="3">
        <v>274575.13</v>
      </c>
      <c r="E20" s="3"/>
      <c r="F20" s="26">
        <f t="shared" si="4"/>
        <v>0.68791003847108312</v>
      </c>
      <c r="G20" s="3"/>
      <c r="H20" s="3">
        <v>95171</v>
      </c>
      <c r="I20" s="3"/>
      <c r="J20" s="26">
        <f t="shared" si="5"/>
        <v>0.89500263316280471</v>
      </c>
      <c r="K20" s="3"/>
      <c r="L20" s="3">
        <f t="shared" si="6"/>
        <v>179404.13</v>
      </c>
      <c r="M20" s="3"/>
      <c r="N20" s="26">
        <f t="shared" si="7"/>
        <v>1.88507139779975</v>
      </c>
      <c r="O20" s="9"/>
      <c r="P20" s="3">
        <v>2498333.89</v>
      </c>
      <c r="Q20" s="3"/>
      <c r="R20" s="26">
        <f t="shared" si="8"/>
        <v>0.86640967054191809</v>
      </c>
      <c r="S20" s="3"/>
      <c r="T20" s="3">
        <v>2046109</v>
      </c>
      <c r="U20" s="3"/>
      <c r="V20" s="26">
        <f t="shared" si="9"/>
        <v>0.89499855434377051</v>
      </c>
      <c r="W20" s="3"/>
      <c r="X20" s="3">
        <f t="shared" si="10"/>
        <v>452224.89000000013</v>
      </c>
      <c r="Y20" s="3"/>
      <c r="Z20" s="26">
        <f t="shared" si="11"/>
        <v>0.22101700838029653</v>
      </c>
    </row>
    <row r="21" spans="1:26" s="70" customFormat="1" ht="15" hidden="1" customHeight="1" outlineLevel="1" x14ac:dyDescent="0.3">
      <c r="A21" s="48"/>
      <c r="B21" s="9" t="str">
        <f>CONCATENATE("          ","5081"," - ","PURCHASES @ COST-ELECTRONICS")</f>
        <v xml:space="preserve">          5081 - PURCHASES @ COST-ELECTRONICS</v>
      </c>
      <c r="C21" s="9"/>
      <c r="D21" s="3"/>
      <c r="E21" s="3"/>
      <c r="F21" s="26">
        <f t="shared" si="4"/>
        <v>0</v>
      </c>
      <c r="G21" s="3"/>
      <c r="H21" s="3"/>
      <c r="I21" s="3"/>
      <c r="J21" s="26">
        <f t="shared" si="5"/>
        <v>0</v>
      </c>
      <c r="K21" s="3"/>
      <c r="L21" s="3">
        <f t="shared" si="6"/>
        <v>0</v>
      </c>
      <c r="M21" s="3"/>
      <c r="N21" s="26">
        <f t="shared" si="7"/>
        <v>0</v>
      </c>
      <c r="O21" s="9"/>
      <c r="P21" s="3">
        <v>0</v>
      </c>
      <c r="Q21" s="3"/>
      <c r="R21" s="26">
        <f t="shared" si="8"/>
        <v>0</v>
      </c>
      <c r="S21" s="3"/>
      <c r="T21" s="3"/>
      <c r="U21" s="3"/>
      <c r="V21" s="26">
        <f t="shared" si="9"/>
        <v>0</v>
      </c>
      <c r="W21" s="3"/>
      <c r="X21" s="3">
        <f t="shared" si="10"/>
        <v>0</v>
      </c>
      <c r="Y21" s="3"/>
      <c r="Z21" s="26">
        <f t="shared" si="11"/>
        <v>0</v>
      </c>
    </row>
    <row r="22" spans="1:26" s="70" customFormat="1" ht="15" hidden="1" customHeight="1" outlineLevel="1" x14ac:dyDescent="0.3">
      <c r="A22" s="48"/>
      <c r="B22" s="9" t="str">
        <f>CONCATENATE("          ","5082"," - ","PURCHASES @ COST-COMPUTER HARD")</f>
        <v xml:space="preserve">          5082 - PURCHASES @ COST-COMPUTER HARD</v>
      </c>
      <c r="C22" s="9"/>
      <c r="D22" s="3">
        <v>-29693.58</v>
      </c>
      <c r="E22" s="3"/>
      <c r="F22" s="26">
        <f t="shared" si="4"/>
        <v>-7.439316066296385E-2</v>
      </c>
      <c r="G22" s="3"/>
      <c r="H22" s="3"/>
      <c r="I22" s="3"/>
      <c r="J22" s="26">
        <f t="shared" si="5"/>
        <v>0</v>
      </c>
      <c r="K22" s="3"/>
      <c r="L22" s="3">
        <f t="shared" si="6"/>
        <v>-29693.58</v>
      </c>
      <c r="M22" s="3"/>
      <c r="N22" s="26">
        <f t="shared" si="7"/>
        <v>0</v>
      </c>
      <c r="O22" s="9"/>
      <c r="P22" s="3">
        <v>-150076.54999999999</v>
      </c>
      <c r="Q22" s="3"/>
      <c r="R22" s="26">
        <f t="shared" si="8"/>
        <v>-5.2045795304633068E-2</v>
      </c>
      <c r="S22" s="3"/>
      <c r="T22" s="3"/>
      <c r="U22" s="3"/>
      <c r="V22" s="26">
        <f t="shared" si="9"/>
        <v>0</v>
      </c>
      <c r="W22" s="3"/>
      <c r="X22" s="3">
        <f t="shared" si="10"/>
        <v>-150076.54999999999</v>
      </c>
      <c r="Y22" s="3"/>
      <c r="Z22" s="26">
        <f t="shared" si="11"/>
        <v>0</v>
      </c>
    </row>
    <row r="23" spans="1:26" s="70" customFormat="1" ht="15" hidden="1" customHeight="1" outlineLevel="1" x14ac:dyDescent="0.3">
      <c r="A23" s="48"/>
      <c r="B23" s="9" t="str">
        <f>CONCATENATE("          ","5083"," - ","PURCHASES @ COST-COMPUTER EQUI")</f>
        <v xml:space="preserve">          5083 - PURCHASES @ COST-COMPUTER EQUI</v>
      </c>
      <c r="C23" s="9"/>
      <c r="D23" s="3"/>
      <c r="E23" s="3"/>
      <c r="F23" s="26">
        <f t="shared" si="4"/>
        <v>0</v>
      </c>
      <c r="G23" s="3"/>
      <c r="H23" s="3"/>
      <c r="I23" s="3"/>
      <c r="J23" s="26">
        <f t="shared" si="5"/>
        <v>0</v>
      </c>
      <c r="K23" s="3"/>
      <c r="L23" s="3">
        <f t="shared" si="6"/>
        <v>0</v>
      </c>
      <c r="M23" s="3"/>
      <c r="N23" s="26">
        <f t="shared" si="7"/>
        <v>0</v>
      </c>
      <c r="O23" s="9"/>
      <c r="P23" s="3">
        <v>0</v>
      </c>
      <c r="Q23" s="3"/>
      <c r="R23" s="26">
        <f t="shared" si="8"/>
        <v>0</v>
      </c>
      <c r="S23" s="3"/>
      <c r="T23" s="3"/>
      <c r="U23" s="3"/>
      <c r="V23" s="26">
        <f t="shared" si="9"/>
        <v>0</v>
      </c>
      <c r="W23" s="3"/>
      <c r="X23" s="3">
        <f t="shared" si="10"/>
        <v>0</v>
      </c>
      <c r="Y23" s="3"/>
      <c r="Z23" s="26">
        <f t="shared" si="11"/>
        <v>0</v>
      </c>
    </row>
    <row r="24" spans="1:26" s="70" customFormat="1" ht="15" hidden="1" customHeight="1" outlineLevel="1" x14ac:dyDescent="0.3">
      <c r="A24" s="48"/>
      <c r="B24" s="9" t="str">
        <f>CONCATENATE("          ","5085"," - ","PURCHASES @ COST-SOFTWARE")</f>
        <v xml:space="preserve">          5085 - PURCHASES @ COST-SOFTWARE</v>
      </c>
      <c r="C24" s="9"/>
      <c r="D24" s="3"/>
      <c r="E24" s="3"/>
      <c r="F24" s="26">
        <f t="shared" si="4"/>
        <v>0</v>
      </c>
      <c r="G24" s="3"/>
      <c r="H24" s="3"/>
      <c r="I24" s="3"/>
      <c r="J24" s="26">
        <f t="shared" si="5"/>
        <v>0</v>
      </c>
      <c r="K24" s="3"/>
      <c r="L24" s="3">
        <f t="shared" si="6"/>
        <v>0</v>
      </c>
      <c r="M24" s="3"/>
      <c r="N24" s="26">
        <f t="shared" si="7"/>
        <v>0</v>
      </c>
      <c r="O24" s="9"/>
      <c r="P24" s="3">
        <v>0</v>
      </c>
      <c r="Q24" s="3"/>
      <c r="R24" s="26">
        <f t="shared" si="8"/>
        <v>0</v>
      </c>
      <c r="S24" s="3"/>
      <c r="T24" s="3"/>
      <c r="U24" s="3"/>
      <c r="V24" s="26">
        <f t="shared" si="9"/>
        <v>0</v>
      </c>
      <c r="W24" s="3"/>
      <c r="X24" s="3">
        <f t="shared" si="10"/>
        <v>0</v>
      </c>
      <c r="Y24" s="3"/>
      <c r="Z24" s="26">
        <f t="shared" si="11"/>
        <v>0</v>
      </c>
    </row>
    <row r="25" spans="1:26" s="70" customFormat="1" ht="15" hidden="1" customHeight="1" outlineLevel="1" x14ac:dyDescent="0.3">
      <c r="A25" s="48"/>
      <c r="B25" s="9" t="str">
        <f>CONCATENATE("          ","5086"," - ","PURCHASES @ COST-COMPUTER SUPP")</f>
        <v xml:space="preserve">          5086 - PURCHASES @ COST-COMPUTER SUPP</v>
      </c>
      <c r="C25" s="9"/>
      <c r="D25" s="3"/>
      <c r="E25" s="3"/>
      <c r="F25" s="26">
        <f t="shared" si="4"/>
        <v>0</v>
      </c>
      <c r="G25" s="3"/>
      <c r="H25" s="3"/>
      <c r="I25" s="3"/>
      <c r="J25" s="26">
        <f t="shared" si="5"/>
        <v>0</v>
      </c>
      <c r="K25" s="3"/>
      <c r="L25" s="3">
        <f t="shared" si="6"/>
        <v>0</v>
      </c>
      <c r="M25" s="3"/>
      <c r="N25" s="26">
        <f t="shared" si="7"/>
        <v>0</v>
      </c>
      <c r="O25" s="9"/>
      <c r="P25" s="3">
        <v>0</v>
      </c>
      <c r="Q25" s="3"/>
      <c r="R25" s="26">
        <f t="shared" si="8"/>
        <v>0</v>
      </c>
      <c r="S25" s="3"/>
      <c r="T25" s="3"/>
      <c r="U25" s="3"/>
      <c r="V25" s="26">
        <f t="shared" si="9"/>
        <v>0</v>
      </c>
      <c r="W25" s="3"/>
      <c r="X25" s="3">
        <f t="shared" si="10"/>
        <v>0</v>
      </c>
      <c r="Y25" s="3"/>
      <c r="Z25" s="26">
        <f t="shared" si="11"/>
        <v>0</v>
      </c>
    </row>
    <row r="26" spans="1:26" s="70" customFormat="1" ht="15" hidden="1" customHeight="1" outlineLevel="1" x14ac:dyDescent="0.3">
      <c r="A26" s="48"/>
      <c r="B26" s="9" t="str">
        <f>CONCATENATE("          ","5200"," - ","PURCHASES OFFSET")</f>
        <v xml:space="preserve">          5200 - PURCHASES OFFSET</v>
      </c>
      <c r="C26" s="9"/>
      <c r="D26" s="3">
        <v>-340883.54</v>
      </c>
      <c r="E26" s="3"/>
      <c r="F26" s="26">
        <f t="shared" si="4"/>
        <v>-0.8540365950680201</v>
      </c>
      <c r="G26" s="3"/>
      <c r="H26" s="3"/>
      <c r="I26" s="3"/>
      <c r="J26" s="26">
        <f t="shared" si="5"/>
        <v>0</v>
      </c>
      <c r="K26" s="3"/>
      <c r="L26" s="3">
        <f t="shared" si="6"/>
        <v>-340883.54</v>
      </c>
      <c r="M26" s="3"/>
      <c r="N26" s="26">
        <f t="shared" si="7"/>
        <v>0</v>
      </c>
      <c r="O26" s="9"/>
      <c r="P26" s="3">
        <v>-2564845.42</v>
      </c>
      <c r="Q26" s="3"/>
      <c r="R26" s="26">
        <f t="shared" si="8"/>
        <v>-0.88947553576721772</v>
      </c>
      <c r="S26" s="3"/>
      <c r="T26" s="3"/>
      <c r="U26" s="3"/>
      <c r="V26" s="26">
        <f t="shared" si="9"/>
        <v>0</v>
      </c>
      <c r="W26" s="3"/>
      <c r="X26" s="3">
        <f t="shared" si="10"/>
        <v>-2564845.42</v>
      </c>
      <c r="Y26" s="3"/>
      <c r="Z26" s="26">
        <f t="shared" si="11"/>
        <v>0</v>
      </c>
    </row>
    <row r="27" spans="1:26" s="70" customFormat="1" ht="15" hidden="1" customHeight="1" outlineLevel="1" x14ac:dyDescent="0.3">
      <c r="A27" s="48"/>
      <c r="B27" s="9" t="str">
        <f>CONCATENATE("          ","5300"," - ","COG$ OFFSET")</f>
        <v xml:space="preserve">          5300 - COG$ OFFSET</v>
      </c>
      <c r="C27" s="9"/>
      <c r="D27" s="3">
        <v>382194.36</v>
      </c>
      <c r="E27" s="3"/>
      <c r="F27" s="26">
        <f t="shared" si="4"/>
        <v>0.95753514490198355</v>
      </c>
      <c r="G27" s="3"/>
      <c r="H27" s="3"/>
      <c r="I27" s="3"/>
      <c r="J27" s="26">
        <f t="shared" si="5"/>
        <v>0</v>
      </c>
      <c r="K27" s="3"/>
      <c r="L27" s="3">
        <f t="shared" si="6"/>
        <v>382194.36</v>
      </c>
      <c r="M27" s="3"/>
      <c r="N27" s="26">
        <f t="shared" si="7"/>
        <v>0</v>
      </c>
      <c r="O27" s="9"/>
      <c r="P27" s="3">
        <v>2611967.41</v>
      </c>
      <c r="Q27" s="3"/>
      <c r="R27" s="26">
        <f t="shared" si="8"/>
        <v>0.9058172057075714</v>
      </c>
      <c r="S27" s="3"/>
      <c r="T27" s="3"/>
      <c r="U27" s="3"/>
      <c r="V27" s="26">
        <f t="shared" si="9"/>
        <v>0</v>
      </c>
      <c r="W27" s="3"/>
      <c r="X27" s="3">
        <f t="shared" si="10"/>
        <v>2611967.41</v>
      </c>
      <c r="Y27" s="3"/>
      <c r="Z27" s="26">
        <f t="shared" si="11"/>
        <v>0</v>
      </c>
    </row>
    <row r="28" spans="1:26" s="70" customFormat="1" ht="15" hidden="1" customHeight="1" outlineLevel="1" x14ac:dyDescent="0.3">
      <c r="A28" s="48"/>
      <c r="B28" s="9" t="str">
        <f>CONCATENATE("          ","5500"," - ","FREIGHT-IN")</f>
        <v xml:space="preserve">          5500 - FREIGHT-IN</v>
      </c>
      <c r="C28" s="9"/>
      <c r="D28" s="3">
        <v>4.68</v>
      </c>
      <c r="E28" s="3"/>
      <c r="F28" s="26">
        <f t="shared" si="4"/>
        <v>1.1725093165009768E-5</v>
      </c>
      <c r="G28" s="3"/>
      <c r="H28" s="3"/>
      <c r="I28" s="3"/>
      <c r="J28" s="26">
        <f t="shared" si="5"/>
        <v>0</v>
      </c>
      <c r="K28" s="3"/>
      <c r="L28" s="3">
        <f t="shared" si="6"/>
        <v>4.68</v>
      </c>
      <c r="M28" s="3"/>
      <c r="N28" s="26">
        <f t="shared" si="7"/>
        <v>0</v>
      </c>
      <c r="O28" s="9"/>
      <c r="P28" s="3">
        <v>207.8</v>
      </c>
      <c r="Q28" s="3"/>
      <c r="R28" s="26">
        <f t="shared" si="8"/>
        <v>7.2063998434817127E-5</v>
      </c>
      <c r="S28" s="3"/>
      <c r="T28" s="3"/>
      <c r="U28" s="3"/>
      <c r="V28" s="26">
        <f t="shared" si="9"/>
        <v>0</v>
      </c>
      <c r="W28" s="3"/>
      <c r="X28" s="3">
        <f t="shared" si="10"/>
        <v>207.8</v>
      </c>
      <c r="Y28" s="3"/>
      <c r="Z28" s="26">
        <f t="shared" si="11"/>
        <v>0</v>
      </c>
    </row>
    <row r="29" spans="1:26" s="70" customFormat="1" ht="15" hidden="1" customHeight="1" outlineLevel="1" x14ac:dyDescent="0.3">
      <c r="A29" s="48"/>
      <c r="B29" s="9" t="str">
        <f>CONCATENATE("          ","5583"," - ","FREIGHT-IN-COMPUTER EQUIPMENT")</f>
        <v xml:space="preserve">          5583 - FREIGHT-IN-COMPUTER EQUIPMENT</v>
      </c>
      <c r="C29" s="9"/>
      <c r="D29" s="3"/>
      <c r="E29" s="3"/>
      <c r="F29" s="26">
        <f t="shared" si="4"/>
        <v>0</v>
      </c>
      <c r="G29" s="3"/>
      <c r="H29" s="3"/>
      <c r="I29" s="3"/>
      <c r="J29" s="26">
        <f t="shared" si="5"/>
        <v>0</v>
      </c>
      <c r="K29" s="3"/>
      <c r="L29" s="3">
        <f t="shared" si="6"/>
        <v>0</v>
      </c>
      <c r="M29" s="3"/>
      <c r="N29" s="26">
        <f t="shared" si="7"/>
        <v>0</v>
      </c>
      <c r="O29" s="9"/>
      <c r="P29" s="3">
        <v>0</v>
      </c>
      <c r="Q29" s="3"/>
      <c r="R29" s="26">
        <f t="shared" si="8"/>
        <v>0</v>
      </c>
      <c r="S29" s="3"/>
      <c r="T29" s="3"/>
      <c r="U29" s="3"/>
      <c r="V29" s="26">
        <f t="shared" si="9"/>
        <v>0</v>
      </c>
      <c r="W29" s="3"/>
      <c r="X29" s="3">
        <f t="shared" si="10"/>
        <v>0</v>
      </c>
      <c r="Y29" s="3"/>
      <c r="Z29" s="26">
        <f t="shared" si="11"/>
        <v>0</v>
      </c>
    </row>
    <row r="30" spans="1:26" ht="15" customHeight="1" x14ac:dyDescent="0.3">
      <c r="A30" s="12"/>
      <c r="B30" s="13"/>
      <c r="C30" s="13"/>
      <c r="D30" s="4"/>
      <c r="E30" s="4"/>
      <c r="F30" s="10"/>
      <c r="G30" s="4"/>
      <c r="H30" s="4"/>
      <c r="I30" s="4"/>
      <c r="J30" s="10"/>
      <c r="K30" s="4"/>
      <c r="L30" s="4"/>
      <c r="M30" s="4"/>
      <c r="N30" s="10"/>
      <c r="O30" s="13"/>
      <c r="P30" s="4"/>
      <c r="Q30" s="4"/>
      <c r="R30" s="10"/>
      <c r="S30" s="4"/>
      <c r="T30" s="4"/>
      <c r="U30" s="4"/>
      <c r="V30" s="10"/>
      <c r="W30" s="4"/>
      <c r="X30" s="4"/>
      <c r="Y30" s="4"/>
      <c r="Z30" s="10"/>
    </row>
    <row r="31" spans="1:26" s="63" customFormat="1" ht="15" customHeight="1" x14ac:dyDescent="0.3">
      <c r="A31" s="13"/>
      <c r="B31" s="27" t="s">
        <v>289</v>
      </c>
      <c r="C31" s="27"/>
      <c r="D31" s="23">
        <f>D12-D19</f>
        <v>112946.89999999991</v>
      </c>
      <c r="E31" s="15"/>
      <c r="F31" s="22">
        <f>IF(D$12=0,0,D31/D$12)</f>
        <v>0.2829728472647523</v>
      </c>
      <c r="G31" s="15"/>
      <c r="H31" s="23">
        <f>H12-H19</f>
        <v>11165</v>
      </c>
      <c r="I31" s="15"/>
      <c r="J31" s="22">
        <f>IF(H$12=0,0,H31/H$12)</f>
        <v>0.10499736683719531</v>
      </c>
      <c r="K31" s="17"/>
      <c r="L31" s="23">
        <f>+D31-H31</f>
        <v>101781.89999999991</v>
      </c>
      <c r="M31" s="17"/>
      <c r="N31" s="22">
        <f>IF(H31=0,0,L31/H31)</f>
        <v>9.1161576354679728</v>
      </c>
      <c r="O31" s="28"/>
      <c r="P31" s="23">
        <f>P12-P19</f>
        <v>487960.88999999966</v>
      </c>
      <c r="Q31" s="15"/>
      <c r="R31" s="22">
        <f>IF(P$12=0,0,P31/P$12)</f>
        <v>0.16922239082392659</v>
      </c>
      <c r="S31" s="15"/>
      <c r="T31" s="23">
        <f>T12-T19</f>
        <v>240050</v>
      </c>
      <c r="U31" s="15"/>
      <c r="V31" s="22">
        <f>IF(T$12=0,0,T31/T$12)</f>
        <v>0.10500144565622951</v>
      </c>
      <c r="W31" s="17"/>
      <c r="X31" s="23">
        <f>+P31-T31</f>
        <v>247910.88999999966</v>
      </c>
      <c r="Y31" s="17"/>
      <c r="Z31" s="22">
        <f>IF(T31=0,0,X31/T31)</f>
        <v>1.0327468860654017</v>
      </c>
    </row>
    <row r="32" spans="1:26" ht="15" customHeight="1" x14ac:dyDescent="0.3">
      <c r="A32" s="12"/>
      <c r="B32" s="13"/>
      <c r="C32" s="12"/>
      <c r="D32" s="2"/>
      <c r="E32" s="2"/>
      <c r="F32" s="5"/>
      <c r="G32" s="2"/>
      <c r="H32" s="2"/>
      <c r="I32" s="2"/>
      <c r="J32" s="5"/>
      <c r="K32" s="2"/>
      <c r="L32" s="2"/>
      <c r="M32" s="2"/>
      <c r="N32" s="5"/>
      <c r="O32" s="36"/>
      <c r="P32" s="2"/>
      <c r="Q32" s="2"/>
      <c r="R32" s="5"/>
      <c r="S32" s="2"/>
      <c r="T32" s="2"/>
      <c r="U32" s="2"/>
      <c r="V32" s="5"/>
      <c r="W32" s="2"/>
      <c r="X32" s="2"/>
      <c r="Y32" s="2"/>
      <c r="Z32" s="5"/>
    </row>
    <row r="33" spans="1:26" s="63" customFormat="1" ht="15" customHeight="1" x14ac:dyDescent="0.3">
      <c r="A33" s="13"/>
      <c r="B33" s="28" t="s">
        <v>290</v>
      </c>
      <c r="C33" s="13"/>
      <c r="D33" s="24" cm="1">
        <f t="array" ref="D33">SUM(OSRRefD22x_0)</f>
        <v>3329.8900000000003</v>
      </c>
      <c r="E33" s="24"/>
      <c r="F33" s="34">
        <f t="shared" ref="F33:F74" si="12">IF(D$12=0,0,D33/D$12)</f>
        <v>8.3425791622295693E-3</v>
      </c>
      <c r="G33" s="24"/>
      <c r="H33" s="24" cm="1">
        <f t="array" ref="H33">SUM(OSRRefH22x_0)</f>
        <v>13656.93609967</v>
      </c>
      <c r="I33" s="24"/>
      <c r="J33" s="34">
        <f t="shared" ref="J33:J74" si="13">IF(H$12=0,0,H33/H$12)</f>
        <v>0.12843191487050482</v>
      </c>
      <c r="K33" s="8"/>
      <c r="L33" s="24">
        <f t="shared" ref="L33:L74" si="14">+D33-H33</f>
        <v>-10327.046099669999</v>
      </c>
      <c r="M33" s="8"/>
      <c r="N33" s="34">
        <f t="shared" ref="N33:N74" si="15">IF(H33=0,0,L33/H33)</f>
        <v>-0.75617591122210326</v>
      </c>
      <c r="O33" s="13"/>
      <c r="P33" s="24" cm="1">
        <f t="array" ref="P33">SUM(OSRRefP22x_0)</f>
        <v>174633.16999999995</v>
      </c>
      <c r="Q33" s="24"/>
      <c r="R33" s="34">
        <f t="shared" ref="R33:R74" si="16">IF(P$12=0,0,P33/P$12)</f>
        <v>6.056190803439436E-2</v>
      </c>
      <c r="S33" s="24"/>
      <c r="T33" s="24" cm="1">
        <f t="array" ref="T33">SUM(OSRRefT22x_0)</f>
        <v>188962.38579010998</v>
      </c>
      <c r="U33" s="24"/>
      <c r="V33" s="34">
        <f t="shared" ref="V33:V74" si="17">IF(T$12=0,0,T33/T$12)</f>
        <v>8.2654962227084808E-2</v>
      </c>
      <c r="W33" s="8"/>
      <c r="X33" s="24">
        <f t="shared" ref="X33:X74" si="18">+P33-T33</f>
        <v>-14329.215790110029</v>
      </c>
      <c r="Y33" s="8"/>
      <c r="Z33" s="34">
        <f t="shared" ref="Z33:Z74" si="19">IF(T33=0,0,X33/T33)</f>
        <v>-7.5831048227906109E-2</v>
      </c>
    </row>
    <row r="34" spans="1:26" s="69" customFormat="1" ht="15" customHeight="1" outlineLevel="1" collapsed="1" x14ac:dyDescent="0.3">
      <c r="A34" s="20"/>
      <c r="B34" s="11" t="str">
        <f>CONCATENATE("     ","*Benefits                                         ")</f>
        <v xml:space="preserve">     *Benefits                                         </v>
      </c>
      <c r="C34" s="11"/>
      <c r="D34" s="2">
        <f>SUM(OSRRefD22_0x_0)</f>
        <v>846.68999999999994</v>
      </c>
      <c r="E34" s="2"/>
      <c r="F34" s="5">
        <f t="shared" si="12"/>
        <v>2.1212647717696841E-3</v>
      </c>
      <c r="G34" s="2"/>
      <c r="H34" s="2">
        <f>SUM(OSRRefH22_0x_0)</f>
        <v>2818.6255496700001</v>
      </c>
      <c r="I34" s="2"/>
      <c r="J34" s="5">
        <f t="shared" si="13"/>
        <v>2.6506785563402798E-2</v>
      </c>
      <c r="K34" s="2"/>
      <c r="L34" s="2">
        <f t="shared" si="14"/>
        <v>-1971.93554967</v>
      </c>
      <c r="M34" s="2"/>
      <c r="N34" s="5">
        <f t="shared" si="15"/>
        <v>-0.69960891041410977</v>
      </c>
      <c r="O34" s="11"/>
      <c r="P34" s="2">
        <f>SUM(OSRRefP22_0x_0)</f>
        <v>31634.639999999999</v>
      </c>
      <c r="Q34" s="2"/>
      <c r="R34" s="5">
        <f t="shared" si="16"/>
        <v>1.0970734588286828E-2</v>
      </c>
      <c r="S34" s="2"/>
      <c r="T34" s="2">
        <f>SUM(OSRRefT22_0x_0)</f>
        <v>33822.508640109998</v>
      </c>
      <c r="U34" s="2"/>
      <c r="V34" s="5">
        <f t="shared" si="17"/>
        <v>1.4794469081157521E-2</v>
      </c>
      <c r="W34" s="2"/>
      <c r="X34" s="2">
        <f t="shared" si="18"/>
        <v>-2187.8686401099985</v>
      </c>
      <c r="Y34" s="2"/>
      <c r="Z34" s="5">
        <f t="shared" si="19"/>
        <v>-6.4686764172052352E-2</v>
      </c>
    </row>
    <row r="35" spans="1:26" s="70" customFormat="1" ht="15" hidden="1" customHeight="1" outlineLevel="2" x14ac:dyDescent="0.3">
      <c r="A35" s="21"/>
      <c r="B35" s="9" t="str">
        <f>CONCATENATE("          ","6111"," - ","F.I.C.A.")</f>
        <v xml:space="preserve">          6111 - F.I.C.A.</v>
      </c>
      <c r="C35" s="9"/>
      <c r="D35" s="6">
        <v>804.82</v>
      </c>
      <c r="E35" s="3"/>
      <c r="F35" s="7">
        <f t="shared" si="12"/>
        <v>2.0163652737314451E-3</v>
      </c>
      <c r="G35" s="3"/>
      <c r="H35" s="6">
        <v>741.35598236999999</v>
      </c>
      <c r="I35" s="3"/>
      <c r="J35" s="7">
        <f t="shared" si="13"/>
        <v>6.9718249921945528E-3</v>
      </c>
      <c r="K35" s="3"/>
      <c r="L35" s="6">
        <f t="shared" si="14"/>
        <v>63.464017630000058</v>
      </c>
      <c r="M35" s="3"/>
      <c r="N35" s="7">
        <f t="shared" si="15"/>
        <v>8.5605322057448627E-2</v>
      </c>
      <c r="O35" s="9"/>
      <c r="P35" s="6">
        <v>7299.12</v>
      </c>
      <c r="Q35" s="3"/>
      <c r="R35" s="7">
        <f t="shared" si="16"/>
        <v>2.5312982302961614E-3</v>
      </c>
      <c r="S35" s="3"/>
      <c r="T35" s="6">
        <v>7008.5834972100001</v>
      </c>
      <c r="U35" s="3"/>
      <c r="V35" s="7">
        <f t="shared" si="17"/>
        <v>3.0656588177856397E-3</v>
      </c>
      <c r="W35" s="3"/>
      <c r="X35" s="6">
        <f t="shared" si="18"/>
        <v>290.53650278999976</v>
      </c>
      <c r="Y35" s="3"/>
      <c r="Z35" s="7">
        <f t="shared" si="19"/>
        <v>4.1454382744481461E-2</v>
      </c>
    </row>
    <row r="36" spans="1:26" s="70" customFormat="1" ht="15" hidden="1" customHeight="1" outlineLevel="2" x14ac:dyDescent="0.3">
      <c r="A36" s="21"/>
      <c r="B36" s="9" t="str">
        <f>CONCATENATE("          ","6112"," - ","COMPENSATION INSURANCE")</f>
        <v xml:space="preserve">          6112 - COMPENSATION INSURANCE</v>
      </c>
      <c r="C36" s="9"/>
      <c r="D36" s="6">
        <v>-1175.6300000000001</v>
      </c>
      <c r="E36" s="3"/>
      <c r="F36" s="7">
        <f t="shared" si="12"/>
        <v>-2.945378478115478E-3</v>
      </c>
      <c r="G36" s="3"/>
      <c r="H36" s="6">
        <v>151.11921240000001</v>
      </c>
      <c r="I36" s="3"/>
      <c r="J36" s="7">
        <f t="shared" si="13"/>
        <v>1.4211481755943426E-3</v>
      </c>
      <c r="K36" s="3"/>
      <c r="L36" s="6">
        <f t="shared" si="14"/>
        <v>-1326.7492124</v>
      </c>
      <c r="M36" s="3"/>
      <c r="N36" s="7">
        <f t="shared" si="15"/>
        <v>-8.7794873420078776</v>
      </c>
      <c r="O36" s="9"/>
      <c r="P36" s="6">
        <v>536.69000000000005</v>
      </c>
      <c r="Q36" s="3"/>
      <c r="R36" s="7">
        <f t="shared" si="16"/>
        <v>1.861214019248412E-4</v>
      </c>
      <c r="S36" s="3"/>
      <c r="T36" s="6">
        <v>2125.1024652000001</v>
      </c>
      <c r="U36" s="3"/>
      <c r="V36" s="7">
        <f t="shared" si="17"/>
        <v>9.2955147266659936E-4</v>
      </c>
      <c r="W36" s="3"/>
      <c r="X36" s="6">
        <f t="shared" si="18"/>
        <v>-1588.4124652</v>
      </c>
      <c r="Y36" s="3"/>
      <c r="Z36" s="7">
        <f t="shared" si="19"/>
        <v>-0.74745217758265103</v>
      </c>
    </row>
    <row r="37" spans="1:26" s="70" customFormat="1" ht="15" hidden="1" customHeight="1" outlineLevel="2" x14ac:dyDescent="0.3">
      <c r="A37" s="21"/>
      <c r="B37" s="9" t="str">
        <f>CONCATENATE("          ","6113"," - ","GROUP INSURANCE")</f>
        <v xml:space="preserve">          6113 - GROUP INSURANCE</v>
      </c>
      <c r="C37" s="9"/>
      <c r="D37" s="6">
        <v>179.83</v>
      </c>
      <c r="E37" s="3"/>
      <c r="F37" s="7">
        <f t="shared" si="12"/>
        <v>4.505392102272878E-4</v>
      </c>
      <c r="G37" s="3"/>
      <c r="H37" s="6">
        <v>943.5</v>
      </c>
      <c r="I37" s="3"/>
      <c r="J37" s="7">
        <f t="shared" si="13"/>
        <v>8.8728182365332524E-3</v>
      </c>
      <c r="K37" s="3"/>
      <c r="L37" s="6">
        <f t="shared" si="14"/>
        <v>-763.67</v>
      </c>
      <c r="M37" s="3"/>
      <c r="N37" s="7">
        <f t="shared" si="15"/>
        <v>-0.80940116587175404</v>
      </c>
      <c r="O37" s="9"/>
      <c r="P37" s="6">
        <v>11627.15</v>
      </c>
      <c r="Q37" s="3"/>
      <c r="R37" s="7">
        <f t="shared" si="16"/>
        <v>4.0322373407188829E-3</v>
      </c>
      <c r="S37" s="3"/>
      <c r="T37" s="6">
        <v>11934</v>
      </c>
      <c r="U37" s="3"/>
      <c r="V37" s="7">
        <f t="shared" si="17"/>
        <v>5.2201093624721639E-3</v>
      </c>
      <c r="W37" s="3"/>
      <c r="X37" s="6">
        <f t="shared" si="18"/>
        <v>-306.85000000000036</v>
      </c>
      <c r="Y37" s="3"/>
      <c r="Z37" s="7">
        <f t="shared" si="19"/>
        <v>-2.5712250712250743E-2</v>
      </c>
    </row>
    <row r="38" spans="1:26" s="70" customFormat="1" ht="15" hidden="1" customHeight="1" outlineLevel="2" x14ac:dyDescent="0.3">
      <c r="A38" s="21"/>
      <c r="B38" s="9" t="str">
        <f>CONCATENATE("          ","6114"," - ","STATE UNEMPLOYMENT INSURANCE")</f>
        <v xml:space="preserve">          6114 - STATE UNEMPLOYMENT INSURANCE</v>
      </c>
      <c r="C38" s="9"/>
      <c r="D38" s="6"/>
      <c r="E38" s="3"/>
      <c r="F38" s="7">
        <f t="shared" si="12"/>
        <v>0</v>
      </c>
      <c r="G38" s="3"/>
      <c r="H38" s="6">
        <v>20.342970900000001</v>
      </c>
      <c r="I38" s="3"/>
      <c r="J38" s="7">
        <f t="shared" si="13"/>
        <v>1.9130840825308458E-4</v>
      </c>
      <c r="K38" s="3"/>
      <c r="L38" s="6">
        <f t="shared" si="14"/>
        <v>-20.342970900000001</v>
      </c>
      <c r="M38" s="3"/>
      <c r="N38" s="7">
        <f t="shared" si="15"/>
        <v>-1</v>
      </c>
      <c r="O38" s="9"/>
      <c r="P38" s="6">
        <v>301.5</v>
      </c>
      <c r="Q38" s="3"/>
      <c r="R38" s="7">
        <f t="shared" si="16"/>
        <v>1.0455868877813937E-4</v>
      </c>
      <c r="S38" s="3"/>
      <c r="T38" s="6">
        <v>286.07148569999998</v>
      </c>
      <c r="U38" s="3"/>
      <c r="V38" s="7">
        <f t="shared" si="17"/>
        <v>1.2513192901281143E-4</v>
      </c>
      <c r="W38" s="3"/>
      <c r="X38" s="6">
        <f t="shared" si="18"/>
        <v>15.428514300000018</v>
      </c>
      <c r="Y38" s="3"/>
      <c r="Z38" s="7">
        <f t="shared" si="19"/>
        <v>5.3932373798973206E-2</v>
      </c>
    </row>
    <row r="39" spans="1:26" s="70" customFormat="1" ht="15" hidden="1" customHeight="1" outlineLevel="2" x14ac:dyDescent="0.3">
      <c r="A39" s="21"/>
      <c r="B39" s="9" t="str">
        <f>CONCATENATE("          ","6115"," - ","P.E.R.S.")</f>
        <v xml:space="preserve">          6115 - P.E.R.S.</v>
      </c>
      <c r="C39" s="9"/>
      <c r="D39" s="6">
        <v>111.48</v>
      </c>
      <c r="E39" s="3"/>
      <c r="F39" s="7">
        <f t="shared" si="12"/>
        <v>2.7929773205882249E-4</v>
      </c>
      <c r="G39" s="3"/>
      <c r="H39" s="6">
        <v>202.166134</v>
      </c>
      <c r="I39" s="3"/>
      <c r="J39" s="7">
        <f t="shared" si="13"/>
        <v>1.9012012300631959E-3</v>
      </c>
      <c r="K39" s="3"/>
      <c r="L39" s="6">
        <f t="shared" si="14"/>
        <v>-90.686133999999996</v>
      </c>
      <c r="M39" s="3"/>
      <c r="N39" s="7">
        <f t="shared" si="15"/>
        <v>-0.44857233111061023</v>
      </c>
      <c r="O39" s="9"/>
      <c r="P39" s="6">
        <v>1453.64</v>
      </c>
      <c r="Q39" s="3"/>
      <c r="R39" s="7">
        <f t="shared" si="16"/>
        <v>5.0411506585557053E-4</v>
      </c>
      <c r="S39" s="3"/>
      <c r="T39" s="6">
        <v>2628.1597419999998</v>
      </c>
      <c r="U39" s="3"/>
      <c r="V39" s="7">
        <f t="shared" si="17"/>
        <v>1.1495962188106776E-3</v>
      </c>
      <c r="W39" s="3"/>
      <c r="X39" s="6">
        <f t="shared" si="18"/>
        <v>-1174.5197419999997</v>
      </c>
      <c r="Y39" s="3"/>
      <c r="Z39" s="7">
        <f t="shared" si="19"/>
        <v>-0.44689815585798581</v>
      </c>
    </row>
    <row r="40" spans="1:26" s="70" customFormat="1" ht="15" hidden="1" customHeight="1" outlineLevel="2" x14ac:dyDescent="0.3">
      <c r="A40" s="21"/>
      <c r="B40" s="9" t="str">
        <f>CONCATENATE("          ","6116"," - ","EDUCATIONAL BENEFITS")</f>
        <v xml:space="preserve">          6116 - EDUCATIONAL BENEFITS</v>
      </c>
      <c r="C40" s="9"/>
      <c r="D40" s="6"/>
      <c r="E40" s="3"/>
      <c r="F40" s="7">
        <f t="shared" si="12"/>
        <v>0</v>
      </c>
      <c r="G40" s="3"/>
      <c r="H40" s="6">
        <v>0</v>
      </c>
      <c r="I40" s="3"/>
      <c r="J40" s="7">
        <f t="shared" si="13"/>
        <v>0</v>
      </c>
      <c r="K40" s="3"/>
      <c r="L40" s="6">
        <f t="shared" si="14"/>
        <v>0</v>
      </c>
      <c r="M40" s="3"/>
      <c r="N40" s="7">
        <f t="shared" si="15"/>
        <v>0</v>
      </c>
      <c r="O40" s="9"/>
      <c r="P40" s="6"/>
      <c r="Q40" s="3"/>
      <c r="R40" s="7">
        <f t="shared" si="16"/>
        <v>0</v>
      </c>
      <c r="S40" s="3"/>
      <c r="T40" s="6">
        <v>0</v>
      </c>
      <c r="U40" s="3"/>
      <c r="V40" s="7">
        <f t="shared" si="17"/>
        <v>0</v>
      </c>
      <c r="W40" s="3"/>
      <c r="X40" s="6">
        <f t="shared" si="18"/>
        <v>0</v>
      </c>
      <c r="Y40" s="3"/>
      <c r="Z40" s="7">
        <f t="shared" si="19"/>
        <v>0</v>
      </c>
    </row>
    <row r="41" spans="1:26" s="70" customFormat="1" ht="15" hidden="1" customHeight="1" outlineLevel="2" x14ac:dyDescent="0.3">
      <c r="A41" s="21"/>
      <c r="B41" s="9" t="str">
        <f>CONCATENATE("          ","6117"," - ","RETIREMENT STAFF HOURLY")</f>
        <v xml:space="preserve">          6117 - RETIREMENT STAFF HOURLY</v>
      </c>
      <c r="C41" s="9"/>
      <c r="D41" s="6">
        <v>195.63</v>
      </c>
      <c r="E41" s="3"/>
      <c r="F41" s="7">
        <f t="shared" si="12"/>
        <v>4.9012392646813276E-4</v>
      </c>
      <c r="G41" s="3"/>
      <c r="H41" s="6"/>
      <c r="I41" s="3"/>
      <c r="J41" s="7">
        <f t="shared" si="13"/>
        <v>0</v>
      </c>
      <c r="K41" s="3"/>
      <c r="L41" s="6">
        <f t="shared" si="14"/>
        <v>195.63</v>
      </c>
      <c r="M41" s="3"/>
      <c r="N41" s="7">
        <f t="shared" si="15"/>
        <v>0</v>
      </c>
      <c r="O41" s="9"/>
      <c r="P41" s="6">
        <v>562.08000000000004</v>
      </c>
      <c r="Q41" s="3"/>
      <c r="R41" s="7">
        <f t="shared" si="16"/>
        <v>1.9492652666141486E-4</v>
      </c>
      <c r="S41" s="3"/>
      <c r="T41" s="6"/>
      <c r="U41" s="3"/>
      <c r="V41" s="7">
        <f t="shared" si="17"/>
        <v>0</v>
      </c>
      <c r="W41" s="3"/>
      <c r="X41" s="6">
        <f t="shared" si="18"/>
        <v>562.08000000000004</v>
      </c>
      <c r="Y41" s="3"/>
      <c r="Z41" s="7">
        <f t="shared" si="19"/>
        <v>0</v>
      </c>
    </row>
    <row r="42" spans="1:26" s="70" customFormat="1" ht="15" hidden="1" customHeight="1" outlineLevel="2" x14ac:dyDescent="0.3">
      <c r="A42" s="21"/>
      <c r="B42" s="9" t="str">
        <f>CONCATENATE("          ","6118"," - ","VACATION")</f>
        <v xml:space="preserve">          6118 - VACATION</v>
      </c>
      <c r="C42" s="9"/>
      <c r="D42" s="6">
        <v>229.44</v>
      </c>
      <c r="E42" s="3"/>
      <c r="F42" s="7">
        <f t="shared" si="12"/>
        <v>5.7483020849996612E-4</v>
      </c>
      <c r="G42" s="3"/>
      <c r="H42" s="6">
        <v>179.29106999999999</v>
      </c>
      <c r="I42" s="3"/>
      <c r="J42" s="7">
        <f t="shared" si="13"/>
        <v>1.6860806312067409E-3</v>
      </c>
      <c r="K42" s="3"/>
      <c r="L42" s="6">
        <f t="shared" si="14"/>
        <v>50.148930000000007</v>
      </c>
      <c r="M42" s="3"/>
      <c r="N42" s="7">
        <f t="shared" si="15"/>
        <v>0.27970679186643266</v>
      </c>
      <c r="O42" s="9"/>
      <c r="P42" s="6">
        <v>3358.39</v>
      </c>
      <c r="Q42" s="3"/>
      <c r="R42" s="7">
        <f t="shared" si="16"/>
        <v>1.1646728185924229E-3</v>
      </c>
      <c r="S42" s="3"/>
      <c r="T42" s="6">
        <v>2330.7839100000001</v>
      </c>
      <c r="U42" s="3"/>
      <c r="V42" s="7">
        <f t="shared" si="17"/>
        <v>1.0195196003427583E-3</v>
      </c>
      <c r="W42" s="3"/>
      <c r="X42" s="6">
        <f t="shared" si="18"/>
        <v>1027.6060899999998</v>
      </c>
      <c r="Y42" s="3"/>
      <c r="Z42" s="7">
        <f t="shared" si="19"/>
        <v>0.44088432462192506</v>
      </c>
    </row>
    <row r="43" spans="1:26" s="70" customFormat="1" ht="15" hidden="1" customHeight="1" outlineLevel="2" x14ac:dyDescent="0.3">
      <c r="A43" s="21"/>
      <c r="B43" s="9" t="str">
        <f>CONCATENATE("          ","6119"," - ","SICK LEAVE")</f>
        <v xml:space="preserve">          6119 - SICK LEAVE</v>
      </c>
      <c r="C43" s="9"/>
      <c r="D43" s="6">
        <v>252.39</v>
      </c>
      <c r="E43" s="3"/>
      <c r="F43" s="7">
        <f t="shared" si="12"/>
        <v>6.3232826152068709E-4</v>
      </c>
      <c r="G43" s="3"/>
      <c r="H43" s="6">
        <v>230.85017999999999</v>
      </c>
      <c r="I43" s="3"/>
      <c r="J43" s="7">
        <f t="shared" si="13"/>
        <v>2.170950383689437E-3</v>
      </c>
      <c r="K43" s="3"/>
      <c r="L43" s="6">
        <f t="shared" si="14"/>
        <v>21.539819999999992</v>
      </c>
      <c r="M43" s="3"/>
      <c r="N43" s="7">
        <f t="shared" si="15"/>
        <v>9.3306489949455493E-2</v>
      </c>
      <c r="O43" s="9"/>
      <c r="P43" s="6">
        <v>4174.7700000000004</v>
      </c>
      <c r="Q43" s="3"/>
      <c r="R43" s="7">
        <f t="shared" si="16"/>
        <v>1.4477893106146365E-3</v>
      </c>
      <c r="S43" s="3"/>
      <c r="T43" s="6">
        <v>3309.8075399999998</v>
      </c>
      <c r="U43" s="3"/>
      <c r="V43" s="7">
        <f t="shared" si="17"/>
        <v>1.4477591191163867E-3</v>
      </c>
      <c r="W43" s="3"/>
      <c r="X43" s="6">
        <f t="shared" si="18"/>
        <v>864.96246000000065</v>
      </c>
      <c r="Y43" s="3"/>
      <c r="Z43" s="7">
        <f t="shared" si="19"/>
        <v>0.26133315896669951</v>
      </c>
    </row>
    <row r="44" spans="1:26" s="70" customFormat="1" ht="15" hidden="1" customHeight="1" outlineLevel="2" x14ac:dyDescent="0.3">
      <c r="A44" s="21"/>
      <c r="B44" s="9" t="str">
        <f>CONCATENATE("          ","6156"," - ","EMPLOYEE MEALS")</f>
        <v xml:space="preserve">          6156 - EMPLOYEE MEALS</v>
      </c>
      <c r="C44" s="9"/>
      <c r="D44" s="6">
        <v>248.73</v>
      </c>
      <c r="E44" s="3"/>
      <c r="F44" s="7">
        <f t="shared" si="12"/>
        <v>6.2315863737882047E-4</v>
      </c>
      <c r="G44" s="3"/>
      <c r="H44" s="6">
        <v>350</v>
      </c>
      <c r="I44" s="3"/>
      <c r="J44" s="7">
        <f t="shared" si="13"/>
        <v>3.2914535058681913E-3</v>
      </c>
      <c r="K44" s="3"/>
      <c r="L44" s="6">
        <f t="shared" si="14"/>
        <v>-101.27000000000001</v>
      </c>
      <c r="M44" s="3"/>
      <c r="N44" s="7">
        <f t="shared" si="15"/>
        <v>-0.28934285714285718</v>
      </c>
      <c r="O44" s="9"/>
      <c r="P44" s="6">
        <v>2321.3000000000002</v>
      </c>
      <c r="Q44" s="3"/>
      <c r="R44" s="7">
        <f t="shared" si="16"/>
        <v>8.0501520484475928E-4</v>
      </c>
      <c r="S44" s="3"/>
      <c r="T44" s="6">
        <v>4200</v>
      </c>
      <c r="U44" s="3"/>
      <c r="V44" s="7">
        <f t="shared" si="17"/>
        <v>1.837142560950485E-3</v>
      </c>
      <c r="W44" s="3"/>
      <c r="X44" s="6">
        <f t="shared" si="18"/>
        <v>-1878.6999999999998</v>
      </c>
      <c r="Y44" s="3"/>
      <c r="Z44" s="7">
        <f t="shared" si="19"/>
        <v>-0.44730952380952377</v>
      </c>
    </row>
    <row r="45" spans="1:26" s="69" customFormat="1" ht="15" customHeight="1" outlineLevel="1" collapsed="1" x14ac:dyDescent="0.3">
      <c r="A45" s="20"/>
      <c r="B45" s="11" t="str">
        <f>CONCATENATE("     ","*Payroll                                          ")</f>
        <v xml:space="preserve">     *Payroll                                          </v>
      </c>
      <c r="C45" s="11"/>
      <c r="D45" s="2">
        <f>SUM(OSRRefD22_1x_0)</f>
        <v>10438.880000000001</v>
      </c>
      <c r="E45" s="2"/>
      <c r="F45" s="5">
        <f t="shared" si="12"/>
        <v>2.6153171055204528E-2</v>
      </c>
      <c r="G45" s="2"/>
      <c r="H45" s="2">
        <f>SUM(OSRRefH22_1x_0)</f>
        <v>9388.3105500000001</v>
      </c>
      <c r="I45" s="2"/>
      <c r="J45" s="5">
        <f t="shared" si="13"/>
        <v>8.8289107639933792E-2</v>
      </c>
      <c r="K45" s="2"/>
      <c r="L45" s="2">
        <f t="shared" si="14"/>
        <v>1050.5694500000009</v>
      </c>
      <c r="M45" s="2"/>
      <c r="N45" s="5">
        <f t="shared" si="15"/>
        <v>0.11190186396209495</v>
      </c>
      <c r="O45" s="11"/>
      <c r="P45" s="2">
        <f>SUM(OSRRefP22_1x_0)</f>
        <v>127833.33</v>
      </c>
      <c r="Q45" s="2"/>
      <c r="R45" s="5">
        <f t="shared" si="16"/>
        <v>4.4331958099314055E-2</v>
      </c>
      <c r="S45" s="2"/>
      <c r="T45" s="2">
        <f>SUM(OSRRefT22_1x_0)</f>
        <v>132339.87714999999</v>
      </c>
      <c r="U45" s="2"/>
      <c r="V45" s="5">
        <f t="shared" si="17"/>
        <v>5.7887433529338943E-2</v>
      </c>
      <c r="W45" s="2"/>
      <c r="X45" s="2">
        <f t="shared" si="18"/>
        <v>-4506.547149999984</v>
      </c>
      <c r="Y45" s="2"/>
      <c r="Z45" s="5">
        <f t="shared" si="19"/>
        <v>-3.4052828573295862E-2</v>
      </c>
    </row>
    <row r="46" spans="1:26" s="70" customFormat="1" ht="15" hidden="1" customHeight="1" outlineLevel="2" x14ac:dyDescent="0.3">
      <c r="A46" s="21"/>
      <c r="B46" s="9" t="str">
        <f>CONCATENATE("          ","6001"," - ","ADMINISTRATIVE SALARIES")</f>
        <v xml:space="preserve">          6001 - ADMINISTRATIVE SALARIES</v>
      </c>
      <c r="C46" s="9"/>
      <c r="D46" s="6"/>
      <c r="E46" s="3"/>
      <c r="F46" s="7">
        <f t="shared" si="12"/>
        <v>0</v>
      </c>
      <c r="G46" s="3"/>
      <c r="H46" s="6">
        <v>0</v>
      </c>
      <c r="I46" s="3"/>
      <c r="J46" s="7">
        <f t="shared" si="13"/>
        <v>0</v>
      </c>
      <c r="K46" s="3"/>
      <c r="L46" s="6">
        <f t="shared" si="14"/>
        <v>0</v>
      </c>
      <c r="M46" s="3"/>
      <c r="N46" s="7">
        <f t="shared" si="15"/>
        <v>0</v>
      </c>
      <c r="O46" s="9"/>
      <c r="P46" s="6"/>
      <c r="Q46" s="3"/>
      <c r="R46" s="7">
        <f t="shared" si="16"/>
        <v>0</v>
      </c>
      <c r="S46" s="3"/>
      <c r="T46" s="6">
        <v>0</v>
      </c>
      <c r="U46" s="3"/>
      <c r="V46" s="7">
        <f t="shared" si="17"/>
        <v>0</v>
      </c>
      <c r="W46" s="3"/>
      <c r="X46" s="6">
        <f t="shared" si="18"/>
        <v>0</v>
      </c>
      <c r="Y46" s="3"/>
      <c r="Z46" s="7">
        <f t="shared" si="19"/>
        <v>0</v>
      </c>
    </row>
    <row r="47" spans="1:26" s="70" customFormat="1" ht="15" hidden="1" customHeight="1" outlineLevel="2" x14ac:dyDescent="0.3">
      <c r="A47" s="21"/>
      <c r="B47" s="9" t="str">
        <f>CONCATENATE("          ","6002"," - ","STAFF SALARIES")</f>
        <v xml:space="preserve">          6002 - STAFF SALARIES</v>
      </c>
      <c r="C47" s="9"/>
      <c r="D47" s="6">
        <v>1550.4</v>
      </c>
      <c r="E47" s="3"/>
      <c r="F47" s="7">
        <f t="shared" si="12"/>
        <v>3.8843129151775956E-3</v>
      </c>
      <c r="G47" s="3"/>
      <c r="H47" s="6">
        <v>2233.2305500000002</v>
      </c>
      <c r="I47" s="3"/>
      <c r="J47" s="7">
        <f t="shared" si="13"/>
        <v>2.1001641494884142E-2</v>
      </c>
      <c r="K47" s="3"/>
      <c r="L47" s="6">
        <f t="shared" si="14"/>
        <v>-682.83055000000013</v>
      </c>
      <c r="M47" s="3"/>
      <c r="N47" s="7">
        <f t="shared" si="15"/>
        <v>-0.30575909415174357</v>
      </c>
      <c r="O47" s="9"/>
      <c r="P47" s="6">
        <v>21807.34</v>
      </c>
      <c r="Q47" s="3"/>
      <c r="R47" s="7">
        <f t="shared" si="16"/>
        <v>7.5626762060997344E-3</v>
      </c>
      <c r="S47" s="3"/>
      <c r="T47" s="6">
        <v>29031.997149999999</v>
      </c>
      <c r="U47" s="3"/>
      <c r="V47" s="7">
        <f t="shared" si="17"/>
        <v>1.2699027998490044E-2</v>
      </c>
      <c r="W47" s="3"/>
      <c r="X47" s="6">
        <f t="shared" si="18"/>
        <v>-7224.6571499999991</v>
      </c>
      <c r="Y47" s="3"/>
      <c r="Z47" s="7">
        <f t="shared" si="19"/>
        <v>-0.24885153827593287</v>
      </c>
    </row>
    <row r="48" spans="1:26" s="70" customFormat="1" ht="15" hidden="1" customHeight="1" outlineLevel="2" x14ac:dyDescent="0.3">
      <c r="A48" s="21"/>
      <c r="B48" s="9" t="str">
        <f>CONCATENATE("          ","6003"," - ","STAFF HOURLY-9 MONTH")</f>
        <v xml:space="preserve">          6003 - STAFF HOURLY-9 MONTH</v>
      </c>
      <c r="C48" s="9"/>
      <c r="D48" s="6"/>
      <c r="E48" s="3"/>
      <c r="F48" s="7">
        <f t="shared" si="12"/>
        <v>0</v>
      </c>
      <c r="G48" s="3"/>
      <c r="H48" s="6">
        <v>0</v>
      </c>
      <c r="I48" s="3"/>
      <c r="J48" s="7">
        <f t="shared" si="13"/>
        <v>0</v>
      </c>
      <c r="K48" s="3"/>
      <c r="L48" s="6">
        <f t="shared" si="14"/>
        <v>0</v>
      </c>
      <c r="M48" s="3"/>
      <c r="N48" s="7">
        <f t="shared" si="15"/>
        <v>0</v>
      </c>
      <c r="O48" s="9"/>
      <c r="P48" s="6"/>
      <c r="Q48" s="3"/>
      <c r="R48" s="7">
        <f t="shared" si="16"/>
        <v>0</v>
      </c>
      <c r="S48" s="3"/>
      <c r="T48" s="6">
        <v>0</v>
      </c>
      <c r="U48" s="3"/>
      <c r="V48" s="7">
        <f t="shared" si="17"/>
        <v>0</v>
      </c>
      <c r="W48" s="3"/>
      <c r="X48" s="6">
        <f t="shared" si="18"/>
        <v>0</v>
      </c>
      <c r="Y48" s="3"/>
      <c r="Z48" s="7">
        <f t="shared" si="19"/>
        <v>0</v>
      </c>
    </row>
    <row r="49" spans="1:26" s="70" customFormat="1" ht="15" hidden="1" customHeight="1" outlineLevel="2" x14ac:dyDescent="0.3">
      <c r="A49" s="21"/>
      <c r="B49" s="9" t="str">
        <f>CONCATENATE("          ","6004"," - ","STAFF HOURLY")</f>
        <v xml:space="preserve">          6004 - STAFF HOURLY</v>
      </c>
      <c r="C49" s="9"/>
      <c r="D49" s="6">
        <v>3950.56</v>
      </c>
      <c r="E49" s="3"/>
      <c r="F49" s="7">
        <f t="shared" si="12"/>
        <v>9.8975820628121776E-3</v>
      </c>
      <c r="G49" s="3"/>
      <c r="H49" s="6">
        <v>3444.32</v>
      </c>
      <c r="I49" s="3"/>
      <c r="J49" s="7">
        <f t="shared" si="13"/>
        <v>3.2390911826662656E-2</v>
      </c>
      <c r="K49" s="3"/>
      <c r="L49" s="6">
        <f t="shared" si="14"/>
        <v>506.23999999999978</v>
      </c>
      <c r="M49" s="3"/>
      <c r="N49" s="7">
        <f t="shared" si="15"/>
        <v>0.14697821340641978</v>
      </c>
      <c r="O49" s="9"/>
      <c r="P49" s="6">
        <v>41779.29</v>
      </c>
      <c r="Q49" s="3"/>
      <c r="R49" s="7">
        <f t="shared" si="16"/>
        <v>1.4488848359806402E-2</v>
      </c>
      <c r="S49" s="3"/>
      <c r="T49" s="6">
        <v>44776.160000000003</v>
      </c>
      <c r="U49" s="3"/>
      <c r="V49" s="7">
        <f t="shared" si="17"/>
        <v>1.9585759345697305E-2</v>
      </c>
      <c r="W49" s="3"/>
      <c r="X49" s="6">
        <f t="shared" si="18"/>
        <v>-2996.8700000000026</v>
      </c>
      <c r="Y49" s="3"/>
      <c r="Z49" s="7">
        <f t="shared" si="19"/>
        <v>-6.6930035983434097E-2</v>
      </c>
    </row>
    <row r="50" spans="1:26" s="70" customFormat="1" ht="15" hidden="1" customHeight="1" outlineLevel="2" x14ac:dyDescent="0.3">
      <c r="A50" s="21"/>
      <c r="B50" s="9" t="str">
        <f>CONCATENATE("          ","6005"," - ","TEMPORARY WAGES-HOURLY")</f>
        <v xml:space="preserve">          6005 - TEMPORARY WAGES-HOURLY</v>
      </c>
      <c r="C50" s="9"/>
      <c r="D50" s="6">
        <v>1731.39</v>
      </c>
      <c r="E50" s="3"/>
      <c r="F50" s="7">
        <f t="shared" si="12"/>
        <v>4.3377583450782617E-3</v>
      </c>
      <c r="G50" s="3"/>
      <c r="H50" s="6">
        <v>0</v>
      </c>
      <c r="I50" s="3"/>
      <c r="J50" s="7">
        <f t="shared" si="13"/>
        <v>0</v>
      </c>
      <c r="K50" s="3"/>
      <c r="L50" s="6">
        <f t="shared" si="14"/>
        <v>1731.39</v>
      </c>
      <c r="M50" s="3"/>
      <c r="N50" s="7">
        <f t="shared" si="15"/>
        <v>0</v>
      </c>
      <c r="O50" s="9"/>
      <c r="P50" s="6">
        <v>18327.900000000001</v>
      </c>
      <c r="Q50" s="3"/>
      <c r="R50" s="7">
        <f t="shared" si="16"/>
        <v>6.356023854251611E-3</v>
      </c>
      <c r="S50" s="3"/>
      <c r="T50" s="6">
        <v>0</v>
      </c>
      <c r="U50" s="3"/>
      <c r="V50" s="7">
        <f t="shared" si="17"/>
        <v>0</v>
      </c>
      <c r="W50" s="3"/>
      <c r="X50" s="6">
        <f t="shared" si="18"/>
        <v>18327.900000000001</v>
      </c>
      <c r="Y50" s="3"/>
      <c r="Z50" s="7">
        <f t="shared" si="19"/>
        <v>0</v>
      </c>
    </row>
    <row r="51" spans="1:26" s="70" customFormat="1" ht="15" hidden="1" customHeight="1" outlineLevel="2" x14ac:dyDescent="0.3">
      <c r="A51" s="21"/>
      <c r="B51" s="9" t="str">
        <f>CONCATENATE("          ","6006"," - ","TEMPORARY PART TIME")</f>
        <v xml:space="preserve">          6006 - TEMPORARY PART TIME</v>
      </c>
      <c r="C51" s="9"/>
      <c r="D51" s="6"/>
      <c r="E51" s="3"/>
      <c r="F51" s="7">
        <f t="shared" si="12"/>
        <v>0</v>
      </c>
      <c r="G51" s="3"/>
      <c r="H51" s="6">
        <v>0</v>
      </c>
      <c r="I51" s="3"/>
      <c r="J51" s="7">
        <f t="shared" si="13"/>
        <v>0</v>
      </c>
      <c r="K51" s="3"/>
      <c r="L51" s="6">
        <f t="shared" si="14"/>
        <v>0</v>
      </c>
      <c r="M51" s="3"/>
      <c r="N51" s="7">
        <f t="shared" si="15"/>
        <v>0</v>
      </c>
      <c r="O51" s="9"/>
      <c r="P51" s="6"/>
      <c r="Q51" s="3"/>
      <c r="R51" s="7">
        <f t="shared" si="16"/>
        <v>0</v>
      </c>
      <c r="S51" s="3"/>
      <c r="T51" s="6">
        <v>0</v>
      </c>
      <c r="U51" s="3"/>
      <c r="V51" s="7">
        <f t="shared" si="17"/>
        <v>0</v>
      </c>
      <c r="W51" s="3"/>
      <c r="X51" s="6">
        <f t="shared" si="18"/>
        <v>0</v>
      </c>
      <c r="Y51" s="3"/>
      <c r="Z51" s="7">
        <f t="shared" si="19"/>
        <v>0</v>
      </c>
    </row>
    <row r="52" spans="1:26" s="70" customFormat="1" ht="15" hidden="1" customHeight="1" outlineLevel="2" x14ac:dyDescent="0.3">
      <c r="A52" s="21"/>
      <c r="B52" s="9" t="str">
        <f>CONCATENATE("          ","6007"," - ","STUDENT HOURLY")</f>
        <v xml:space="preserve">          6007 - STUDENT HOURLY</v>
      </c>
      <c r="C52" s="9"/>
      <c r="D52" s="6">
        <v>3206.53</v>
      </c>
      <c r="E52" s="3"/>
      <c r="F52" s="7">
        <f t="shared" si="12"/>
        <v>8.0335177321364908E-3</v>
      </c>
      <c r="G52" s="3"/>
      <c r="H52" s="6">
        <v>3710.76</v>
      </c>
      <c r="I52" s="3"/>
      <c r="J52" s="7">
        <f t="shared" si="13"/>
        <v>3.4896554318387001E-2</v>
      </c>
      <c r="K52" s="3"/>
      <c r="L52" s="6">
        <f t="shared" si="14"/>
        <v>-504.23</v>
      </c>
      <c r="M52" s="3"/>
      <c r="N52" s="7">
        <f t="shared" si="15"/>
        <v>-0.13588321529821384</v>
      </c>
      <c r="O52" s="9"/>
      <c r="P52" s="6">
        <v>39773.17</v>
      </c>
      <c r="Q52" s="3"/>
      <c r="R52" s="7">
        <f t="shared" si="16"/>
        <v>1.3793135999170909E-2</v>
      </c>
      <c r="S52" s="3"/>
      <c r="T52" s="6">
        <v>13886.76</v>
      </c>
      <c r="U52" s="3"/>
      <c r="V52" s="7">
        <f t="shared" si="17"/>
        <v>6.0742756737392281E-3</v>
      </c>
      <c r="W52" s="3"/>
      <c r="X52" s="6">
        <f t="shared" si="18"/>
        <v>25886.409999999996</v>
      </c>
      <c r="Y52" s="3"/>
      <c r="Z52" s="7">
        <f t="shared" si="19"/>
        <v>1.8641072503593348</v>
      </c>
    </row>
    <row r="53" spans="1:26" s="70" customFormat="1" ht="15" hidden="1" customHeight="1" outlineLevel="2" x14ac:dyDescent="0.3">
      <c r="A53" s="21"/>
      <c r="B53" s="9" t="str">
        <f>CONCATENATE("          ","6008"," - ","STUDENT HOURLY-FICA EXEMPT")</f>
        <v xml:space="preserve">          6008 - STUDENT HOURLY-FICA EXEMPT</v>
      </c>
      <c r="C53" s="9"/>
      <c r="D53" s="6"/>
      <c r="E53" s="3"/>
      <c r="F53" s="7">
        <f t="shared" si="12"/>
        <v>0</v>
      </c>
      <c r="G53" s="3"/>
      <c r="H53" s="6">
        <v>0</v>
      </c>
      <c r="I53" s="3"/>
      <c r="J53" s="7">
        <f t="shared" si="13"/>
        <v>0</v>
      </c>
      <c r="K53" s="3"/>
      <c r="L53" s="6">
        <f t="shared" si="14"/>
        <v>0</v>
      </c>
      <c r="M53" s="3"/>
      <c r="N53" s="7">
        <f t="shared" si="15"/>
        <v>0</v>
      </c>
      <c r="O53" s="9"/>
      <c r="P53" s="6">
        <v>6145.63</v>
      </c>
      <c r="Q53" s="3"/>
      <c r="R53" s="7">
        <f t="shared" si="16"/>
        <v>2.1312736799853952E-3</v>
      </c>
      <c r="S53" s="3"/>
      <c r="T53" s="6">
        <v>44644.959999999999</v>
      </c>
      <c r="U53" s="3"/>
      <c r="V53" s="7">
        <f t="shared" si="17"/>
        <v>1.9528370511412374E-2</v>
      </c>
      <c r="W53" s="3"/>
      <c r="X53" s="6">
        <f t="shared" si="18"/>
        <v>-38499.33</v>
      </c>
      <c r="Y53" s="3"/>
      <c r="Z53" s="7">
        <f t="shared" si="19"/>
        <v>-0.86234437213069526</v>
      </c>
    </row>
    <row r="54" spans="1:26" s="70" customFormat="1" ht="15" hidden="1" customHeight="1" outlineLevel="2" x14ac:dyDescent="0.3">
      <c r="A54" s="21"/>
      <c r="B54" s="9" t="str">
        <f>CONCATENATE("          ","6009"," - ","TEMPORARY-SEASONAL")</f>
        <v xml:space="preserve">          6009 - TEMPORARY-SEASONAL</v>
      </c>
      <c r="C54" s="9"/>
      <c r="D54" s="6"/>
      <c r="E54" s="3"/>
      <c r="F54" s="7">
        <f t="shared" si="12"/>
        <v>0</v>
      </c>
      <c r="G54" s="3"/>
      <c r="H54" s="6">
        <v>0</v>
      </c>
      <c r="I54" s="3"/>
      <c r="J54" s="7">
        <f t="shared" si="13"/>
        <v>0</v>
      </c>
      <c r="K54" s="3"/>
      <c r="L54" s="6">
        <f t="shared" si="14"/>
        <v>0</v>
      </c>
      <c r="M54" s="3"/>
      <c r="N54" s="7">
        <f t="shared" si="15"/>
        <v>0</v>
      </c>
      <c r="O54" s="9"/>
      <c r="P54" s="6"/>
      <c r="Q54" s="3"/>
      <c r="R54" s="7">
        <f t="shared" si="16"/>
        <v>0</v>
      </c>
      <c r="S54" s="3"/>
      <c r="T54" s="6">
        <v>0</v>
      </c>
      <c r="U54" s="3"/>
      <c r="V54" s="7">
        <f t="shared" si="17"/>
        <v>0</v>
      </c>
      <c r="W54" s="3"/>
      <c r="X54" s="6">
        <f t="shared" si="18"/>
        <v>0</v>
      </c>
      <c r="Y54" s="3"/>
      <c r="Z54" s="7">
        <f t="shared" si="19"/>
        <v>0</v>
      </c>
    </row>
    <row r="55" spans="1:26" s="70" customFormat="1" ht="15" hidden="1" customHeight="1" outlineLevel="2" x14ac:dyDescent="0.3">
      <c r="A55" s="21"/>
      <c r="B55" s="9" t="str">
        <f>CONCATENATE("          ","6010"," - ","GRATUITY")</f>
        <v xml:space="preserve">          6010 - GRATUITY</v>
      </c>
      <c r="C55" s="9"/>
      <c r="D55" s="6"/>
      <c r="E55" s="3"/>
      <c r="F55" s="7">
        <f t="shared" si="12"/>
        <v>0</v>
      </c>
      <c r="G55" s="3"/>
      <c r="H55" s="6">
        <v>0</v>
      </c>
      <c r="I55" s="3"/>
      <c r="J55" s="7">
        <f t="shared" si="13"/>
        <v>0</v>
      </c>
      <c r="K55" s="3"/>
      <c r="L55" s="6">
        <f t="shared" si="14"/>
        <v>0</v>
      </c>
      <c r="M55" s="3"/>
      <c r="N55" s="7">
        <f t="shared" si="15"/>
        <v>0</v>
      </c>
      <c r="O55" s="9"/>
      <c r="P55" s="6"/>
      <c r="Q55" s="3"/>
      <c r="R55" s="7">
        <f t="shared" si="16"/>
        <v>0</v>
      </c>
      <c r="S55" s="3"/>
      <c r="T55" s="6">
        <v>0</v>
      </c>
      <c r="U55" s="3"/>
      <c r="V55" s="7">
        <f t="shared" si="17"/>
        <v>0</v>
      </c>
      <c r="W55" s="3"/>
      <c r="X55" s="6">
        <f t="shared" si="18"/>
        <v>0</v>
      </c>
      <c r="Y55" s="3"/>
      <c r="Z55" s="7">
        <f t="shared" si="19"/>
        <v>0</v>
      </c>
    </row>
    <row r="56" spans="1:26" s="69" customFormat="1" ht="15" customHeight="1" outlineLevel="1" collapsed="1" x14ac:dyDescent="0.3">
      <c r="A56" s="20"/>
      <c r="B56" s="11" t="str">
        <f>CONCATENATE("     ","Advertising/Promo                                 ")</f>
        <v xml:space="preserve">     Advertising/Promo                                 </v>
      </c>
      <c r="C56" s="11"/>
      <c r="D56" s="2">
        <f>SUM(OSRRefD22_2x_0)</f>
        <v>0</v>
      </c>
      <c r="E56" s="2"/>
      <c r="F56" s="5">
        <f t="shared" si="12"/>
        <v>0</v>
      </c>
      <c r="G56" s="2"/>
      <c r="H56" s="2">
        <f>SUM(OSRRefH22_2x_0)</f>
        <v>200</v>
      </c>
      <c r="I56" s="2"/>
      <c r="J56" s="5">
        <f t="shared" si="13"/>
        <v>1.8808305747818237E-3</v>
      </c>
      <c r="K56" s="2"/>
      <c r="L56" s="2">
        <f t="shared" si="14"/>
        <v>-200</v>
      </c>
      <c r="M56" s="2"/>
      <c r="N56" s="5">
        <f t="shared" si="15"/>
        <v>-1</v>
      </c>
      <c r="O56" s="11"/>
      <c r="P56" s="2">
        <f>SUM(OSRRefP22_2x_0)</f>
        <v>215.78</v>
      </c>
      <c r="Q56" s="2"/>
      <c r="R56" s="5">
        <f t="shared" si="16"/>
        <v>7.4831422436308172E-5</v>
      </c>
      <c r="S56" s="2"/>
      <c r="T56" s="2">
        <f>SUM(OSRRefT22_2x_0)</f>
        <v>2400</v>
      </c>
      <c r="U56" s="2"/>
      <c r="V56" s="5">
        <f t="shared" si="17"/>
        <v>1.049795749114563E-3</v>
      </c>
      <c r="W56" s="2"/>
      <c r="X56" s="2">
        <f t="shared" si="18"/>
        <v>-2184.2199999999998</v>
      </c>
      <c r="Y56" s="2"/>
      <c r="Z56" s="5">
        <f t="shared" si="19"/>
        <v>-0.91009166666666663</v>
      </c>
    </row>
    <row r="57" spans="1:26" s="70" customFormat="1" ht="15" hidden="1" customHeight="1" outlineLevel="2" x14ac:dyDescent="0.3">
      <c r="A57" s="21"/>
      <c r="B57" s="9" t="str">
        <f>CONCATENATE("          ","6362"," - ","ADVERTISING EXPENSE")</f>
        <v xml:space="preserve">          6362 - ADVERTISING EXPENSE</v>
      </c>
      <c r="C57" s="9"/>
      <c r="D57" s="6"/>
      <c r="E57" s="3"/>
      <c r="F57" s="7">
        <f t="shared" si="12"/>
        <v>0</v>
      </c>
      <c r="G57" s="3"/>
      <c r="H57" s="6">
        <v>200</v>
      </c>
      <c r="I57" s="3"/>
      <c r="J57" s="7">
        <f t="shared" si="13"/>
        <v>1.8808305747818237E-3</v>
      </c>
      <c r="K57" s="3"/>
      <c r="L57" s="6">
        <f t="shared" si="14"/>
        <v>-200</v>
      </c>
      <c r="M57" s="3"/>
      <c r="N57" s="7">
        <f t="shared" si="15"/>
        <v>-1</v>
      </c>
      <c r="O57" s="9"/>
      <c r="P57" s="6">
        <v>215.78</v>
      </c>
      <c r="Q57" s="3"/>
      <c r="R57" s="7">
        <f t="shared" si="16"/>
        <v>7.4831422436308172E-5</v>
      </c>
      <c r="S57" s="3"/>
      <c r="T57" s="6">
        <v>2400</v>
      </c>
      <c r="U57" s="3"/>
      <c r="V57" s="7">
        <f t="shared" si="17"/>
        <v>1.049795749114563E-3</v>
      </c>
      <c r="W57" s="3"/>
      <c r="X57" s="6">
        <f t="shared" si="18"/>
        <v>-2184.2199999999998</v>
      </c>
      <c r="Y57" s="3"/>
      <c r="Z57" s="7">
        <f t="shared" si="19"/>
        <v>-0.91009166666666663</v>
      </c>
    </row>
    <row r="58" spans="1:26" s="69" customFormat="1" ht="15" customHeight="1" outlineLevel="1" collapsed="1" x14ac:dyDescent="0.3">
      <c r="A58" s="20"/>
      <c r="B58" s="11" t="str">
        <f>CONCATENATE("     ","Depreciation                                      ")</f>
        <v xml:space="preserve">     Depreciation                                      </v>
      </c>
      <c r="C58" s="11"/>
      <c r="D58" s="2">
        <f>SUM(OSRRefD22_3x_0)</f>
        <v>280.45</v>
      </c>
      <c r="E58" s="2"/>
      <c r="F58" s="5">
        <f t="shared" si="12"/>
        <v>7.0262871327499783E-4</v>
      </c>
      <c r="G58" s="2"/>
      <c r="H58" s="2">
        <f>SUM(OSRRefH22_3x_0)</f>
        <v>0</v>
      </c>
      <c r="I58" s="2"/>
      <c r="J58" s="5">
        <f t="shared" si="13"/>
        <v>0</v>
      </c>
      <c r="K58" s="2"/>
      <c r="L58" s="2">
        <f t="shared" si="14"/>
        <v>280.45</v>
      </c>
      <c r="M58" s="2"/>
      <c r="N58" s="5">
        <f t="shared" si="15"/>
        <v>0</v>
      </c>
      <c r="O58" s="11"/>
      <c r="P58" s="2">
        <f>SUM(OSRRefP22_3x_0)</f>
        <v>3365.29</v>
      </c>
      <c r="Q58" s="2"/>
      <c r="R58" s="5">
        <f t="shared" si="16"/>
        <v>1.1670657040072458E-3</v>
      </c>
      <c r="S58" s="2"/>
      <c r="T58" s="2">
        <f>SUM(OSRRefT22_3x_0)</f>
        <v>0</v>
      </c>
      <c r="U58" s="2"/>
      <c r="V58" s="5">
        <f t="shared" si="17"/>
        <v>0</v>
      </c>
      <c r="W58" s="2"/>
      <c r="X58" s="2">
        <f t="shared" si="18"/>
        <v>3365.29</v>
      </c>
      <c r="Y58" s="2"/>
      <c r="Z58" s="5">
        <f t="shared" si="19"/>
        <v>0</v>
      </c>
    </row>
    <row r="59" spans="1:26" s="70" customFormat="1" ht="15" hidden="1" customHeight="1" outlineLevel="2" x14ac:dyDescent="0.3">
      <c r="A59" s="21"/>
      <c r="B59" s="9" t="str">
        <f>CONCATENATE("          ","6322"," - ","EQUIPMENT DEPRECIATION EXPENSE")</f>
        <v xml:space="preserve">          6322 - EQUIPMENT DEPRECIATION EXPENSE</v>
      </c>
      <c r="C59" s="9"/>
      <c r="D59" s="6">
        <v>280.45</v>
      </c>
      <c r="E59" s="3"/>
      <c r="F59" s="7">
        <f t="shared" si="12"/>
        <v>7.0262871327499783E-4</v>
      </c>
      <c r="G59" s="3"/>
      <c r="H59" s="6"/>
      <c r="I59" s="3"/>
      <c r="J59" s="7">
        <f t="shared" si="13"/>
        <v>0</v>
      </c>
      <c r="K59" s="3"/>
      <c r="L59" s="6">
        <f t="shared" si="14"/>
        <v>280.45</v>
      </c>
      <c r="M59" s="3"/>
      <c r="N59" s="7">
        <f t="shared" si="15"/>
        <v>0</v>
      </c>
      <c r="O59" s="9"/>
      <c r="P59" s="6">
        <v>3365.29</v>
      </c>
      <c r="Q59" s="3"/>
      <c r="R59" s="7">
        <f t="shared" si="16"/>
        <v>1.1670657040072458E-3</v>
      </c>
      <c r="S59" s="3"/>
      <c r="T59" s="6"/>
      <c r="U59" s="3"/>
      <c r="V59" s="7">
        <f t="shared" si="17"/>
        <v>0</v>
      </c>
      <c r="W59" s="3"/>
      <c r="X59" s="6">
        <f t="shared" si="18"/>
        <v>3365.29</v>
      </c>
      <c r="Y59" s="3"/>
      <c r="Z59" s="7">
        <f t="shared" si="19"/>
        <v>0</v>
      </c>
    </row>
    <row r="60" spans="1:26" s="69" customFormat="1" ht="15" customHeight="1" outlineLevel="1" collapsed="1" x14ac:dyDescent="0.3">
      <c r="A60" s="20"/>
      <c r="B60" s="11" t="str">
        <f>CONCATENATE("     ","Employees' Appreciation                           ")</f>
        <v xml:space="preserve">     Employees' Appreciation                           </v>
      </c>
      <c r="C60" s="11"/>
      <c r="D60" s="2">
        <f>SUM(OSRRefD22_4x_0)</f>
        <v>0</v>
      </c>
      <c r="E60" s="2"/>
      <c r="F60" s="5">
        <f t="shared" si="12"/>
        <v>0</v>
      </c>
      <c r="G60" s="2"/>
      <c r="H60" s="2">
        <f>SUM(OSRRefH22_4x_0)</f>
        <v>20</v>
      </c>
      <c r="I60" s="2"/>
      <c r="J60" s="5">
        <f t="shared" si="13"/>
        <v>1.8808305747818236E-4</v>
      </c>
      <c r="K60" s="2"/>
      <c r="L60" s="2">
        <f t="shared" si="14"/>
        <v>-20</v>
      </c>
      <c r="M60" s="2"/>
      <c r="N60" s="5">
        <f t="shared" si="15"/>
        <v>-1</v>
      </c>
      <c r="O60" s="11"/>
      <c r="P60" s="2">
        <f>SUM(OSRRefP22_4x_0)</f>
        <v>0</v>
      </c>
      <c r="Q60" s="2"/>
      <c r="R60" s="5">
        <f t="shared" si="16"/>
        <v>0</v>
      </c>
      <c r="S60" s="2"/>
      <c r="T60" s="2">
        <f>SUM(OSRRefT22_4x_0)</f>
        <v>240</v>
      </c>
      <c r="U60" s="2"/>
      <c r="V60" s="5">
        <f t="shared" si="17"/>
        <v>1.0497957491145629E-4</v>
      </c>
      <c r="W60" s="2"/>
      <c r="X60" s="2">
        <f t="shared" si="18"/>
        <v>-240</v>
      </c>
      <c r="Y60" s="2"/>
      <c r="Z60" s="5">
        <f t="shared" si="19"/>
        <v>-1</v>
      </c>
    </row>
    <row r="61" spans="1:26" s="70" customFormat="1" ht="15" hidden="1" customHeight="1" outlineLevel="2" x14ac:dyDescent="0.3">
      <c r="A61" s="21"/>
      <c r="B61" s="9" t="str">
        <f>CONCATENATE("          ","6277"," - ","EMPLOYEE APPRECIATION")</f>
        <v xml:space="preserve">          6277 - EMPLOYEE APPRECIATION</v>
      </c>
      <c r="C61" s="9"/>
      <c r="D61" s="6"/>
      <c r="E61" s="3"/>
      <c r="F61" s="7">
        <f t="shared" si="12"/>
        <v>0</v>
      </c>
      <c r="G61" s="3"/>
      <c r="H61" s="6">
        <v>20</v>
      </c>
      <c r="I61" s="3"/>
      <c r="J61" s="7">
        <f t="shared" si="13"/>
        <v>1.8808305747818236E-4</v>
      </c>
      <c r="K61" s="3"/>
      <c r="L61" s="6">
        <f t="shared" si="14"/>
        <v>-20</v>
      </c>
      <c r="M61" s="3"/>
      <c r="N61" s="7">
        <f t="shared" si="15"/>
        <v>-1</v>
      </c>
      <c r="O61" s="9"/>
      <c r="P61" s="6"/>
      <c r="Q61" s="3"/>
      <c r="R61" s="7">
        <f t="shared" si="16"/>
        <v>0</v>
      </c>
      <c r="S61" s="3"/>
      <c r="T61" s="6">
        <v>240</v>
      </c>
      <c r="U61" s="3"/>
      <c r="V61" s="7">
        <f t="shared" si="17"/>
        <v>1.0497957491145629E-4</v>
      </c>
      <c r="W61" s="3"/>
      <c r="X61" s="6">
        <f t="shared" si="18"/>
        <v>-240</v>
      </c>
      <c r="Y61" s="3"/>
      <c r="Z61" s="7">
        <f t="shared" si="19"/>
        <v>-1</v>
      </c>
    </row>
    <row r="62" spans="1:26" s="69" customFormat="1" ht="15" customHeight="1" outlineLevel="1" collapsed="1" x14ac:dyDescent="0.3">
      <c r="A62" s="20"/>
      <c r="B62" s="11" t="str">
        <f>CONCATENATE("     ","Freight out/Postage                               ")</f>
        <v xml:space="preserve">     Freight out/Postage                               </v>
      </c>
      <c r="C62" s="11"/>
      <c r="D62" s="2">
        <f>SUM(OSRRefD22_5x_0)</f>
        <v>0</v>
      </c>
      <c r="E62" s="2"/>
      <c r="F62" s="5">
        <f t="shared" si="12"/>
        <v>0</v>
      </c>
      <c r="G62" s="2"/>
      <c r="H62" s="2">
        <f>SUM(OSRRefH22_5x_0)</f>
        <v>15</v>
      </c>
      <c r="I62" s="2"/>
      <c r="J62" s="5">
        <f t="shared" si="13"/>
        <v>1.4106229310863677E-4</v>
      </c>
      <c r="K62" s="2"/>
      <c r="L62" s="2">
        <f t="shared" si="14"/>
        <v>-15</v>
      </c>
      <c r="M62" s="2"/>
      <c r="N62" s="5">
        <f t="shared" si="15"/>
        <v>-1</v>
      </c>
      <c r="O62" s="11"/>
      <c r="P62" s="2">
        <f>SUM(OSRRefP22_5x_0)</f>
        <v>122.13</v>
      </c>
      <c r="Q62" s="2"/>
      <c r="R62" s="5">
        <f t="shared" si="16"/>
        <v>4.2354071842368691E-5</v>
      </c>
      <c r="S62" s="2"/>
      <c r="T62" s="2">
        <f>SUM(OSRRefT22_5x_0)</f>
        <v>180</v>
      </c>
      <c r="U62" s="2"/>
      <c r="V62" s="5">
        <f t="shared" si="17"/>
        <v>7.8734681183592221E-5</v>
      </c>
      <c r="W62" s="2"/>
      <c r="X62" s="2">
        <f t="shared" si="18"/>
        <v>-57.870000000000005</v>
      </c>
      <c r="Y62" s="2"/>
      <c r="Z62" s="5">
        <f t="shared" si="19"/>
        <v>-0.32150000000000001</v>
      </c>
    </row>
    <row r="63" spans="1:26" s="70" customFormat="1" ht="15" hidden="1" customHeight="1" outlineLevel="2" x14ac:dyDescent="0.3">
      <c r="A63" s="21"/>
      <c r="B63" s="9" t="str">
        <f>CONCATENATE("          ","6305"," - ","FREIGHT OUT")</f>
        <v xml:space="preserve">          6305 - FREIGHT OUT</v>
      </c>
      <c r="C63" s="9"/>
      <c r="D63" s="6"/>
      <c r="E63" s="3"/>
      <c r="F63" s="7">
        <f t="shared" si="12"/>
        <v>0</v>
      </c>
      <c r="G63" s="3"/>
      <c r="H63" s="6">
        <v>15</v>
      </c>
      <c r="I63" s="3"/>
      <c r="J63" s="7">
        <f t="shared" si="13"/>
        <v>1.4106229310863677E-4</v>
      </c>
      <c r="K63" s="3"/>
      <c r="L63" s="6">
        <f t="shared" si="14"/>
        <v>-15</v>
      </c>
      <c r="M63" s="3"/>
      <c r="N63" s="7">
        <f t="shared" si="15"/>
        <v>-1</v>
      </c>
      <c r="O63" s="9"/>
      <c r="P63" s="6">
        <v>122.13</v>
      </c>
      <c r="Q63" s="3"/>
      <c r="R63" s="7">
        <f t="shared" si="16"/>
        <v>4.2354071842368691E-5</v>
      </c>
      <c r="S63" s="3"/>
      <c r="T63" s="6">
        <v>180</v>
      </c>
      <c r="U63" s="3"/>
      <c r="V63" s="7">
        <f t="shared" si="17"/>
        <v>7.8734681183592221E-5</v>
      </c>
      <c r="W63" s="3"/>
      <c r="X63" s="6">
        <f t="shared" si="18"/>
        <v>-57.870000000000005</v>
      </c>
      <c r="Y63" s="3"/>
      <c r="Z63" s="7">
        <f t="shared" si="19"/>
        <v>-0.32150000000000001</v>
      </c>
    </row>
    <row r="64" spans="1:26" s="69" customFormat="1" ht="15" customHeight="1" outlineLevel="1" collapsed="1" x14ac:dyDescent="0.3">
      <c r="A64" s="20"/>
      <c r="B64" s="11" t="str">
        <f>CONCATENATE("     ","General                                           ")</f>
        <v xml:space="preserve">     General                                           </v>
      </c>
      <c r="C64" s="11"/>
      <c r="D64" s="2">
        <f>SUM(OSRRefD22_6x_0)</f>
        <v>0</v>
      </c>
      <c r="E64" s="2"/>
      <c r="F64" s="5">
        <f t="shared" si="12"/>
        <v>0</v>
      </c>
      <c r="G64" s="2"/>
      <c r="H64" s="2">
        <f>SUM(OSRRefH22_6x_0)</f>
        <v>30</v>
      </c>
      <c r="I64" s="2"/>
      <c r="J64" s="5">
        <f t="shared" si="13"/>
        <v>2.8212458621727353E-4</v>
      </c>
      <c r="K64" s="2"/>
      <c r="L64" s="2">
        <f t="shared" si="14"/>
        <v>-30</v>
      </c>
      <c r="M64" s="2"/>
      <c r="N64" s="5">
        <f t="shared" si="15"/>
        <v>-1</v>
      </c>
      <c r="O64" s="11"/>
      <c r="P64" s="2">
        <f>SUM(OSRRefP22_6x_0)</f>
        <v>285</v>
      </c>
      <c r="Q64" s="2"/>
      <c r="R64" s="5">
        <f t="shared" si="16"/>
        <v>9.883657148182329E-5</v>
      </c>
      <c r="S64" s="2"/>
      <c r="T64" s="2">
        <f>SUM(OSRRefT22_6x_0)</f>
        <v>360</v>
      </c>
      <c r="U64" s="2"/>
      <c r="V64" s="5">
        <f t="shared" si="17"/>
        <v>1.5746936236718444E-4</v>
      </c>
      <c r="W64" s="2"/>
      <c r="X64" s="2">
        <f t="shared" si="18"/>
        <v>-75</v>
      </c>
      <c r="Y64" s="2"/>
      <c r="Z64" s="5">
        <f t="shared" si="19"/>
        <v>-0.20833333333333334</v>
      </c>
    </row>
    <row r="65" spans="1:26" s="70" customFormat="1" ht="15" hidden="1" customHeight="1" outlineLevel="2" x14ac:dyDescent="0.3">
      <c r="A65" s="21"/>
      <c r="B65" s="9" t="str">
        <f>CONCATENATE("          ","6279"," - ","GENERAL EXPENSE")</f>
        <v xml:space="preserve">          6279 - GENERAL EXPENSE</v>
      </c>
      <c r="C65" s="9"/>
      <c r="D65" s="6"/>
      <c r="E65" s="3"/>
      <c r="F65" s="7">
        <f t="shared" si="12"/>
        <v>0</v>
      </c>
      <c r="G65" s="3"/>
      <c r="H65" s="6">
        <v>30</v>
      </c>
      <c r="I65" s="3"/>
      <c r="J65" s="7">
        <f t="shared" si="13"/>
        <v>2.8212458621727353E-4</v>
      </c>
      <c r="K65" s="3"/>
      <c r="L65" s="6">
        <f t="shared" si="14"/>
        <v>-30</v>
      </c>
      <c r="M65" s="3"/>
      <c r="N65" s="7">
        <f t="shared" si="15"/>
        <v>-1</v>
      </c>
      <c r="O65" s="9"/>
      <c r="P65" s="6">
        <v>285</v>
      </c>
      <c r="Q65" s="3"/>
      <c r="R65" s="7">
        <f t="shared" si="16"/>
        <v>9.883657148182329E-5</v>
      </c>
      <c r="S65" s="3"/>
      <c r="T65" s="6">
        <v>360</v>
      </c>
      <c r="U65" s="3"/>
      <c r="V65" s="7">
        <f t="shared" si="17"/>
        <v>1.5746936236718444E-4</v>
      </c>
      <c r="W65" s="3"/>
      <c r="X65" s="6">
        <f t="shared" si="18"/>
        <v>-75</v>
      </c>
      <c r="Y65" s="3"/>
      <c r="Z65" s="7">
        <f t="shared" si="19"/>
        <v>-0.20833333333333334</v>
      </c>
    </row>
    <row r="66" spans="1:26" s="69" customFormat="1" ht="15" customHeight="1" outlineLevel="1" collapsed="1" x14ac:dyDescent="0.3">
      <c r="A66" s="20"/>
      <c r="B66" s="11" t="str">
        <f>CONCATENATE("     ","Inventory Adjustment                              ")</f>
        <v xml:space="preserve">     Inventory Adjustment                              </v>
      </c>
      <c r="C66" s="11"/>
      <c r="D66" s="2">
        <f>SUM(OSRRefD22_7x_0)</f>
        <v>-10740</v>
      </c>
      <c r="E66" s="2"/>
      <c r="F66" s="5">
        <f t="shared" si="12"/>
        <v>-2.6907585596624983E-2</v>
      </c>
      <c r="G66" s="2"/>
      <c r="H66" s="2">
        <f>SUM(OSRRefH22_7x_0)</f>
        <v>550</v>
      </c>
      <c r="I66" s="2"/>
      <c r="J66" s="5">
        <f t="shared" si="13"/>
        <v>5.1722840806500154E-3</v>
      </c>
      <c r="K66" s="2"/>
      <c r="L66" s="2">
        <f t="shared" si="14"/>
        <v>-11290</v>
      </c>
      <c r="M66" s="2"/>
      <c r="N66" s="5">
        <f t="shared" si="15"/>
        <v>-20.527272727272727</v>
      </c>
      <c r="O66" s="11"/>
      <c r="P66" s="2">
        <f>SUM(OSRRefP22_7x_0)</f>
        <v>0</v>
      </c>
      <c r="Q66" s="2"/>
      <c r="R66" s="5">
        <f t="shared" si="16"/>
        <v>0</v>
      </c>
      <c r="S66" s="2"/>
      <c r="T66" s="2">
        <f>SUM(OSRRefT22_7x_0)</f>
        <v>12000</v>
      </c>
      <c r="U66" s="2"/>
      <c r="V66" s="5">
        <f t="shared" si="17"/>
        <v>5.2489787455728149E-3</v>
      </c>
      <c r="W66" s="2"/>
      <c r="X66" s="2">
        <f t="shared" si="18"/>
        <v>-12000</v>
      </c>
      <c r="Y66" s="2"/>
      <c r="Z66" s="5">
        <f t="shared" si="19"/>
        <v>-1</v>
      </c>
    </row>
    <row r="67" spans="1:26" s="70" customFormat="1" ht="15" hidden="1" customHeight="1" outlineLevel="2" x14ac:dyDescent="0.3">
      <c r="A67" s="21"/>
      <c r="B67" s="9" t="str">
        <f>CONCATENATE("          ","6408"," - ","INVENTORY ADJUSTMENT")</f>
        <v xml:space="preserve">          6408 - INVENTORY ADJUSTMENT</v>
      </c>
      <c r="C67" s="9"/>
      <c r="D67" s="6">
        <v>-10740</v>
      </c>
      <c r="E67" s="3"/>
      <c r="F67" s="7">
        <f t="shared" si="12"/>
        <v>-2.6907585596624983E-2</v>
      </c>
      <c r="G67" s="3"/>
      <c r="H67" s="6">
        <v>550</v>
      </c>
      <c r="I67" s="3"/>
      <c r="J67" s="7">
        <f t="shared" si="13"/>
        <v>5.1722840806500154E-3</v>
      </c>
      <c r="K67" s="3"/>
      <c r="L67" s="6">
        <f t="shared" si="14"/>
        <v>-11290</v>
      </c>
      <c r="M67" s="3"/>
      <c r="N67" s="7">
        <f t="shared" si="15"/>
        <v>-20.527272727272727</v>
      </c>
      <c r="O67" s="9"/>
      <c r="P67" s="6">
        <v>0</v>
      </c>
      <c r="Q67" s="3"/>
      <c r="R67" s="7">
        <f t="shared" si="16"/>
        <v>0</v>
      </c>
      <c r="S67" s="3"/>
      <c r="T67" s="6">
        <v>12000</v>
      </c>
      <c r="U67" s="3"/>
      <c r="V67" s="7">
        <f t="shared" si="17"/>
        <v>5.2489787455728149E-3</v>
      </c>
      <c r="W67" s="3"/>
      <c r="X67" s="6">
        <f t="shared" si="18"/>
        <v>-12000</v>
      </c>
      <c r="Y67" s="3"/>
      <c r="Z67" s="7">
        <f t="shared" si="19"/>
        <v>-1</v>
      </c>
    </row>
    <row r="68" spans="1:26" s="69" customFormat="1" ht="15" customHeight="1" outlineLevel="1" collapsed="1" x14ac:dyDescent="0.3">
      <c r="A68" s="20"/>
      <c r="B68" s="11" t="str">
        <f>CONCATENATE("     ","Repair and Maintenance                            ")</f>
        <v xml:space="preserve">     Repair and Maintenance                            </v>
      </c>
      <c r="C68" s="11"/>
      <c r="D68" s="2">
        <f>SUM(OSRRefD22_8x_0)</f>
        <v>0</v>
      </c>
      <c r="E68" s="2"/>
      <c r="F68" s="5">
        <f t="shared" si="12"/>
        <v>0</v>
      </c>
      <c r="G68" s="2"/>
      <c r="H68" s="2">
        <f>SUM(OSRRefH22_8x_0)</f>
        <v>0</v>
      </c>
      <c r="I68" s="2"/>
      <c r="J68" s="5">
        <f t="shared" si="13"/>
        <v>0</v>
      </c>
      <c r="K68" s="2"/>
      <c r="L68" s="2">
        <f t="shared" si="14"/>
        <v>0</v>
      </c>
      <c r="M68" s="2"/>
      <c r="N68" s="5">
        <f t="shared" si="15"/>
        <v>0</v>
      </c>
      <c r="O68" s="11"/>
      <c r="P68" s="2">
        <f>SUM(OSRRefP22_8x_0)</f>
        <v>1550</v>
      </c>
      <c r="Q68" s="2"/>
      <c r="R68" s="5">
        <f t="shared" si="16"/>
        <v>5.3753223086605649E-4</v>
      </c>
      <c r="S68" s="2"/>
      <c r="T68" s="2">
        <f>SUM(OSRRefT22_8x_0)</f>
        <v>0</v>
      </c>
      <c r="U68" s="2"/>
      <c r="V68" s="5">
        <f t="shared" si="17"/>
        <v>0</v>
      </c>
      <c r="W68" s="2"/>
      <c r="X68" s="2">
        <f t="shared" si="18"/>
        <v>1550</v>
      </c>
      <c r="Y68" s="2"/>
      <c r="Z68" s="5">
        <f t="shared" si="19"/>
        <v>0</v>
      </c>
    </row>
    <row r="69" spans="1:26" s="70" customFormat="1" ht="15" hidden="1" customHeight="1" outlineLevel="2" x14ac:dyDescent="0.3">
      <c r="A69" s="21"/>
      <c r="B69" s="9" t="str">
        <f>CONCATENATE("          ","6371"," - ","COMPUTER SOFTWARE MAINTENANCE")</f>
        <v xml:space="preserve">          6371 - COMPUTER SOFTWARE MAINTENANCE</v>
      </c>
      <c r="C69" s="9"/>
      <c r="D69" s="6"/>
      <c r="E69" s="3"/>
      <c r="F69" s="7">
        <f t="shared" si="12"/>
        <v>0</v>
      </c>
      <c r="G69" s="3"/>
      <c r="H69" s="6"/>
      <c r="I69" s="3"/>
      <c r="J69" s="7">
        <f t="shared" si="13"/>
        <v>0</v>
      </c>
      <c r="K69" s="3"/>
      <c r="L69" s="6">
        <f t="shared" si="14"/>
        <v>0</v>
      </c>
      <c r="M69" s="3"/>
      <c r="N69" s="7">
        <f t="shared" si="15"/>
        <v>0</v>
      </c>
      <c r="O69" s="9"/>
      <c r="P69" s="6">
        <v>1550</v>
      </c>
      <c r="Q69" s="3"/>
      <c r="R69" s="7">
        <f t="shared" si="16"/>
        <v>5.3753223086605649E-4</v>
      </c>
      <c r="S69" s="3"/>
      <c r="T69" s="6"/>
      <c r="U69" s="3"/>
      <c r="V69" s="7">
        <f t="shared" si="17"/>
        <v>0</v>
      </c>
      <c r="W69" s="3"/>
      <c r="X69" s="6">
        <f t="shared" si="18"/>
        <v>1550</v>
      </c>
      <c r="Y69" s="3"/>
      <c r="Z69" s="7">
        <f t="shared" si="19"/>
        <v>0</v>
      </c>
    </row>
    <row r="70" spans="1:26" s="69" customFormat="1" ht="15" customHeight="1" outlineLevel="1" collapsed="1" x14ac:dyDescent="0.3">
      <c r="A70" s="20"/>
      <c r="B70" s="11" t="str">
        <f>CONCATENATE("     ","Supplies                                          ")</f>
        <v xml:space="preserve">     Supplies                                          </v>
      </c>
      <c r="C70" s="11"/>
      <c r="D70" s="2">
        <f>SUM(OSRRefD22_9x_0)</f>
        <v>2445.7199999999998</v>
      </c>
      <c r="E70" s="2"/>
      <c r="F70" s="5">
        <f t="shared" si="12"/>
        <v>6.12741343066831E-3</v>
      </c>
      <c r="G70" s="2"/>
      <c r="H70" s="2">
        <f>SUM(OSRRefH22_9x_0)</f>
        <v>310</v>
      </c>
      <c r="I70" s="2"/>
      <c r="J70" s="5">
        <f t="shared" si="13"/>
        <v>2.9152873909118267E-3</v>
      </c>
      <c r="K70" s="2"/>
      <c r="L70" s="2">
        <f t="shared" si="14"/>
        <v>2135.7199999999998</v>
      </c>
      <c r="M70" s="2"/>
      <c r="N70" s="5">
        <f t="shared" si="15"/>
        <v>6.8894193548387088</v>
      </c>
      <c r="O70" s="11"/>
      <c r="P70" s="2">
        <f>SUM(OSRRefP22_9x_0)</f>
        <v>7557.1900000000005</v>
      </c>
      <c r="Q70" s="2"/>
      <c r="R70" s="5">
        <f t="shared" si="16"/>
        <v>2.6207956127604218E-3</v>
      </c>
      <c r="S70" s="2"/>
      <c r="T70" s="2">
        <f>SUM(OSRRefT22_9x_0)</f>
        <v>3720</v>
      </c>
      <c r="U70" s="2"/>
      <c r="V70" s="5">
        <f t="shared" si="17"/>
        <v>1.6271834111275725E-3</v>
      </c>
      <c r="W70" s="2"/>
      <c r="X70" s="2">
        <f t="shared" si="18"/>
        <v>3837.1900000000005</v>
      </c>
      <c r="Y70" s="2"/>
      <c r="Z70" s="5">
        <f t="shared" si="19"/>
        <v>1.031502688172043</v>
      </c>
    </row>
    <row r="71" spans="1:26" s="70" customFormat="1" ht="15" hidden="1" customHeight="1" outlineLevel="2" x14ac:dyDescent="0.3">
      <c r="A71" s="21"/>
      <c r="B71" s="9" t="str">
        <f>CONCATENATE("          ","6241"," - ","OFFICE EXPENSE")</f>
        <v xml:space="preserve">          6241 - OFFICE EXPENSE</v>
      </c>
      <c r="C71" s="9"/>
      <c r="D71" s="6">
        <v>63.64</v>
      </c>
      <c r="E71" s="3"/>
      <c r="F71" s="7">
        <f t="shared" si="12"/>
        <v>1.594412241498337E-4</v>
      </c>
      <c r="G71" s="3"/>
      <c r="H71" s="6">
        <v>110</v>
      </c>
      <c r="I71" s="3"/>
      <c r="J71" s="7">
        <f t="shared" si="13"/>
        <v>1.034456816130003E-3</v>
      </c>
      <c r="K71" s="3"/>
      <c r="L71" s="6">
        <f t="shared" si="14"/>
        <v>-46.36</v>
      </c>
      <c r="M71" s="3"/>
      <c r="N71" s="7">
        <f t="shared" si="15"/>
        <v>-0.42145454545454547</v>
      </c>
      <c r="O71" s="9"/>
      <c r="P71" s="6">
        <v>2263.11</v>
      </c>
      <c r="Q71" s="3"/>
      <c r="R71" s="7">
        <f t="shared" si="16"/>
        <v>7.8483520451308453E-4</v>
      </c>
      <c r="S71" s="3"/>
      <c r="T71" s="6">
        <v>1320</v>
      </c>
      <c r="U71" s="3"/>
      <c r="V71" s="7">
        <f t="shared" si="17"/>
        <v>5.7738766201300958E-4</v>
      </c>
      <c r="W71" s="3"/>
      <c r="X71" s="6">
        <f t="shared" si="18"/>
        <v>943.11000000000013</v>
      </c>
      <c r="Y71" s="3"/>
      <c r="Z71" s="7">
        <f t="shared" si="19"/>
        <v>0.71447727272727279</v>
      </c>
    </row>
    <row r="72" spans="1:26" s="70" customFormat="1" ht="15" hidden="1" customHeight="1" outlineLevel="2" x14ac:dyDescent="0.3">
      <c r="A72" s="21"/>
      <c r="B72" s="9" t="str">
        <f>CONCATENATE("          ","6247"," - ","STORE SUPPLIES")</f>
        <v xml:space="preserve">          6247 - STORE SUPPLIES</v>
      </c>
      <c r="C72" s="9"/>
      <c r="D72" s="6">
        <v>2382.08</v>
      </c>
      <c r="E72" s="3"/>
      <c r="F72" s="7">
        <f t="shared" si="12"/>
        <v>5.967972206518477E-3</v>
      </c>
      <c r="G72" s="3"/>
      <c r="H72" s="6">
        <v>200</v>
      </c>
      <c r="I72" s="3"/>
      <c r="J72" s="7">
        <f t="shared" si="13"/>
        <v>1.8808305747818237E-3</v>
      </c>
      <c r="K72" s="3"/>
      <c r="L72" s="6">
        <f t="shared" si="14"/>
        <v>2182.08</v>
      </c>
      <c r="M72" s="3"/>
      <c r="N72" s="7">
        <f t="shared" si="15"/>
        <v>10.910399999999999</v>
      </c>
      <c r="O72" s="9"/>
      <c r="P72" s="6">
        <v>5294.08</v>
      </c>
      <c r="Q72" s="3"/>
      <c r="R72" s="7">
        <f t="shared" si="16"/>
        <v>1.835960408247337E-3</v>
      </c>
      <c r="S72" s="3"/>
      <c r="T72" s="6">
        <v>2400</v>
      </c>
      <c r="U72" s="3"/>
      <c r="V72" s="7">
        <f t="shared" si="17"/>
        <v>1.049795749114563E-3</v>
      </c>
      <c r="W72" s="3"/>
      <c r="X72" s="6">
        <f t="shared" si="18"/>
        <v>2894.08</v>
      </c>
      <c r="Y72" s="3"/>
      <c r="Z72" s="7">
        <f t="shared" si="19"/>
        <v>1.2058666666666666</v>
      </c>
    </row>
    <row r="73" spans="1:26" s="69" customFormat="1" ht="15" customHeight="1" outlineLevel="1" collapsed="1" x14ac:dyDescent="0.3">
      <c r="A73" s="20"/>
      <c r="B73" s="11" t="str">
        <f>CONCATENATE("     ","Telephone/Data Lines                              ")</f>
        <v xml:space="preserve">     Telephone/Data Lines                              </v>
      </c>
      <c r="C73" s="11"/>
      <c r="D73" s="2">
        <f>SUM(OSRRefD22_10x_0)</f>
        <v>58.15</v>
      </c>
      <c r="E73" s="2"/>
      <c r="F73" s="5">
        <f t="shared" si="12"/>
        <v>1.4568678793703378E-4</v>
      </c>
      <c r="G73" s="2"/>
      <c r="H73" s="2">
        <f>SUM(OSRRefH22_10x_0)</f>
        <v>325</v>
      </c>
      <c r="I73" s="2"/>
      <c r="J73" s="5">
        <f t="shared" si="13"/>
        <v>3.0563496840204634E-3</v>
      </c>
      <c r="K73" s="2"/>
      <c r="L73" s="2">
        <f t="shared" si="14"/>
        <v>-266.85000000000002</v>
      </c>
      <c r="M73" s="2"/>
      <c r="N73" s="5">
        <f t="shared" si="15"/>
        <v>-0.82107692307692315</v>
      </c>
      <c r="O73" s="11"/>
      <c r="P73" s="2">
        <f>SUM(OSRRefP22_10x_0)</f>
        <v>2069.81</v>
      </c>
      <c r="Q73" s="2"/>
      <c r="R73" s="5">
        <f t="shared" si="16"/>
        <v>7.1779973339927249E-4</v>
      </c>
      <c r="S73" s="2"/>
      <c r="T73" s="2">
        <f>SUM(OSRRefT22_10x_0)</f>
        <v>3900</v>
      </c>
      <c r="U73" s="2"/>
      <c r="V73" s="5">
        <f t="shared" si="17"/>
        <v>1.7059180923111646E-3</v>
      </c>
      <c r="W73" s="2"/>
      <c r="X73" s="2">
        <f t="shared" si="18"/>
        <v>-1830.19</v>
      </c>
      <c r="Y73" s="2"/>
      <c r="Z73" s="5">
        <f t="shared" si="19"/>
        <v>-0.4692794871794872</v>
      </c>
    </row>
    <row r="74" spans="1:26" s="70" customFormat="1" ht="15" hidden="1" customHeight="1" outlineLevel="2" x14ac:dyDescent="0.3">
      <c r="A74" s="21"/>
      <c r="B74" s="9" t="str">
        <f>CONCATENATE("          ","6309"," - ","TELEPHONE")</f>
        <v xml:space="preserve">          6309 - TELEPHONE</v>
      </c>
      <c r="C74" s="9"/>
      <c r="D74" s="6">
        <v>58.15</v>
      </c>
      <c r="E74" s="3"/>
      <c r="F74" s="7">
        <f t="shared" si="12"/>
        <v>1.4568678793703378E-4</v>
      </c>
      <c r="G74" s="3"/>
      <c r="H74" s="6">
        <v>325</v>
      </c>
      <c r="I74" s="3"/>
      <c r="J74" s="7">
        <f t="shared" si="13"/>
        <v>3.0563496840204634E-3</v>
      </c>
      <c r="K74" s="3"/>
      <c r="L74" s="6">
        <f t="shared" si="14"/>
        <v>-266.85000000000002</v>
      </c>
      <c r="M74" s="3"/>
      <c r="N74" s="7">
        <f t="shared" si="15"/>
        <v>-0.82107692307692315</v>
      </c>
      <c r="O74" s="9"/>
      <c r="P74" s="6">
        <v>2069.81</v>
      </c>
      <c r="Q74" s="3"/>
      <c r="R74" s="7">
        <f t="shared" si="16"/>
        <v>7.1779973339927249E-4</v>
      </c>
      <c r="S74" s="3"/>
      <c r="T74" s="6">
        <v>3900</v>
      </c>
      <c r="U74" s="3"/>
      <c r="V74" s="7">
        <f t="shared" si="17"/>
        <v>1.7059180923111646E-3</v>
      </c>
      <c r="W74" s="3"/>
      <c r="X74" s="6">
        <f t="shared" si="18"/>
        <v>-1830.19</v>
      </c>
      <c r="Y74" s="3"/>
      <c r="Z74" s="7">
        <f t="shared" si="19"/>
        <v>-0.4692794871794872</v>
      </c>
    </row>
    <row r="75" spans="1:26" s="65" customFormat="1" ht="15" customHeight="1" x14ac:dyDescent="0.3">
      <c r="A75" s="36"/>
      <c r="B75" s="36"/>
      <c r="C75" s="36"/>
      <c r="D75" s="2"/>
      <c r="E75" s="2"/>
      <c r="F75" s="5"/>
      <c r="G75" s="2"/>
      <c r="H75" s="2"/>
      <c r="I75" s="2"/>
      <c r="J75" s="5"/>
      <c r="K75" s="2"/>
      <c r="L75" s="2"/>
      <c r="M75" s="2"/>
      <c r="N75" s="5"/>
      <c r="O75" s="36"/>
      <c r="P75" s="2"/>
      <c r="Q75" s="2"/>
      <c r="R75" s="5"/>
      <c r="S75" s="2"/>
      <c r="T75" s="2"/>
      <c r="U75" s="2"/>
      <c r="V75" s="5"/>
      <c r="W75" s="2"/>
      <c r="X75" s="2"/>
      <c r="Y75" s="2"/>
      <c r="Z75" s="5"/>
    </row>
    <row r="76" spans="1:26" s="63" customFormat="1" ht="15" customHeight="1" collapsed="1" x14ac:dyDescent="0.3">
      <c r="A76" s="13"/>
      <c r="B76" s="28" t="s">
        <v>291</v>
      </c>
      <c r="C76" s="13"/>
      <c r="D76" s="8">
        <f>SUM(OSRRefD25x_0)</f>
        <v>-1003.81</v>
      </c>
      <c r="E76" s="8"/>
      <c r="F76" s="14">
        <f>IF(D$12=0,0,D76/D$12)</f>
        <v>-2.5149072158052255E-3</v>
      </c>
      <c r="G76" s="8"/>
      <c r="H76" s="8">
        <f>SUM(OSRRefH25x_0)</f>
        <v>2424</v>
      </c>
      <c r="I76" s="8"/>
      <c r="J76" s="14">
        <f>IF(H$12=0,0,H76/H$12)</f>
        <v>2.2795666566355701E-2</v>
      </c>
      <c r="K76" s="8"/>
      <c r="L76" s="8">
        <f>+D76-H76</f>
        <v>-3427.81</v>
      </c>
      <c r="M76" s="8"/>
      <c r="N76" s="14">
        <f>IF(H76=0,0,L76/H76)</f>
        <v>-1.4141130363036303</v>
      </c>
      <c r="O76" s="13"/>
      <c r="P76" s="8">
        <f>SUM(OSRRefP25x_0)</f>
        <v>2760.96</v>
      </c>
      <c r="Q76" s="8"/>
      <c r="R76" s="14">
        <f>IF(P$12=0,0,P76/P$12)</f>
        <v>9.5748708911738538E-4</v>
      </c>
      <c r="S76" s="8"/>
      <c r="T76" s="8">
        <f>SUM(OSRRefT25x_0)</f>
        <v>20000</v>
      </c>
      <c r="U76" s="8"/>
      <c r="V76" s="14">
        <f>IF(T$12=0,0,T76/T$12)</f>
        <v>8.7482979092880237E-3</v>
      </c>
      <c r="W76" s="8"/>
      <c r="X76" s="8">
        <f>+P76-T76</f>
        <v>-17239.04</v>
      </c>
      <c r="Y76" s="8"/>
      <c r="Z76" s="14">
        <f>IF(T76=0,0,X76/T76)</f>
        <v>-0.86195200000000005</v>
      </c>
    </row>
    <row r="77" spans="1:26" s="70" customFormat="1" ht="15" hidden="1" customHeight="1" outlineLevel="1" x14ac:dyDescent="0.3">
      <c r="A77" s="48"/>
      <c r="B77" s="9" t="str">
        <f>CONCATENATE("          ","4187"," - ","NON-TAXABLE SALES-COMPUTER REP")</f>
        <v xml:space="preserve">          4187 - NON-TAXABLE SALES-COMPUTER REP</v>
      </c>
      <c r="C77" s="9"/>
      <c r="D77" s="3">
        <f>0</f>
        <v>0</v>
      </c>
      <c r="E77" s="3"/>
      <c r="F77" s="26">
        <f>IF(D$12=0,0,D77/D$12)</f>
        <v>0</v>
      </c>
      <c r="G77" s="3"/>
      <c r="H77" s="3"/>
      <c r="I77" s="3"/>
      <c r="J77" s="26">
        <f>IF(H$12=0,0,H77/H$12)</f>
        <v>0</v>
      </c>
      <c r="K77" s="3"/>
      <c r="L77" s="3">
        <f>+D77-H77</f>
        <v>0</v>
      </c>
      <c r="M77" s="3"/>
      <c r="N77" s="26">
        <f>IF(H77=0,0,L77/H77)</f>
        <v>0</v>
      </c>
      <c r="O77" s="9"/>
      <c r="P77" s="3">
        <f>0</f>
        <v>0</v>
      </c>
      <c r="Q77" s="3"/>
      <c r="R77" s="26">
        <f>IF(P$12=0,0,P77/P$12)</f>
        <v>0</v>
      </c>
      <c r="S77" s="3"/>
      <c r="T77" s="3"/>
      <c r="U77" s="3"/>
      <c r="V77" s="26">
        <f>IF(T$12=0,0,T77/T$12)</f>
        <v>0</v>
      </c>
      <c r="W77" s="3"/>
      <c r="X77" s="3">
        <f>+P77-T77</f>
        <v>0</v>
      </c>
      <c r="Y77" s="3"/>
      <c r="Z77" s="26">
        <f>IF(T77=0,0,X77/T77)</f>
        <v>0</v>
      </c>
    </row>
    <row r="78" spans="1:26" s="70" customFormat="1" ht="15" hidden="1" customHeight="1" outlineLevel="1" x14ac:dyDescent="0.3">
      <c r="A78" s="48"/>
      <c r="B78" s="9" t="str">
        <f>CONCATENATE("          ","9087"," - ","")</f>
        <v xml:space="preserve">          9087 - </v>
      </c>
      <c r="C78" s="9"/>
      <c r="D78" s="3">
        <f>-711.04</f>
        <v>-711.04</v>
      </c>
      <c r="E78" s="3"/>
      <c r="F78" s="26">
        <f>IF(D$12=0,0,D78/D$12)</f>
        <v>-1.7814124453095184E-3</v>
      </c>
      <c r="G78" s="3"/>
      <c r="H78" s="3"/>
      <c r="I78" s="3"/>
      <c r="J78" s="26">
        <f>IF(H$12=0,0,H78/H$12)</f>
        <v>0</v>
      </c>
      <c r="K78" s="3"/>
      <c r="L78" s="3">
        <f>+D78-H78</f>
        <v>-711.04</v>
      </c>
      <c r="M78" s="3"/>
      <c r="N78" s="26">
        <f>IF(H78=0,0,L78/H78)</f>
        <v>0</v>
      </c>
      <c r="O78" s="9"/>
      <c r="P78" s="3">
        <f>-5.4</f>
        <v>-5.4</v>
      </c>
      <c r="Q78" s="3"/>
      <c r="R78" s="26">
        <f>IF(P$12=0,0,P78/P$12)</f>
        <v>-1.8726929333398097E-6</v>
      </c>
      <c r="S78" s="3"/>
      <c r="T78" s="3"/>
      <c r="U78" s="3"/>
      <c r="V78" s="26">
        <f>IF(T$12=0,0,T78/T$12)</f>
        <v>0</v>
      </c>
      <c r="W78" s="3"/>
      <c r="X78" s="3">
        <f>+P78-T78</f>
        <v>-5.4</v>
      </c>
      <c r="Y78" s="3"/>
      <c r="Z78" s="26">
        <f>IF(T78=0,0,X78/T78)</f>
        <v>0</v>
      </c>
    </row>
    <row r="79" spans="1:26" s="70" customFormat="1" ht="15" hidden="1" customHeight="1" outlineLevel="1" x14ac:dyDescent="0.3">
      <c r="A79" s="48"/>
      <c r="B79" s="9" t="str">
        <f>CONCATENATE("          ","9150"," - ","MISC. INCOME")</f>
        <v xml:space="preserve">          9150 - MISC. INCOME</v>
      </c>
      <c r="C79" s="9"/>
      <c r="D79" s="3">
        <f>-292.77</f>
        <v>-292.77</v>
      </c>
      <c r="E79" s="3"/>
      <c r="F79" s="26">
        <f>IF(D$12=0,0,D79/D$12)</f>
        <v>-7.3349477049570728E-4</v>
      </c>
      <c r="G79" s="3"/>
      <c r="H79" s="3">
        <v>2424</v>
      </c>
      <c r="I79" s="3"/>
      <c r="J79" s="26">
        <f>IF(H$12=0,0,H79/H$12)</f>
        <v>2.2795666566355701E-2</v>
      </c>
      <c r="K79" s="3"/>
      <c r="L79" s="3">
        <f>+D79-H79</f>
        <v>-2716.77</v>
      </c>
      <c r="M79" s="3"/>
      <c r="N79" s="26">
        <f>IF(H79=0,0,L79/H79)</f>
        <v>-1.1207797029702971</v>
      </c>
      <c r="O79" s="9"/>
      <c r="P79" s="3">
        <f>--2766.36</f>
        <v>2766.36</v>
      </c>
      <c r="Q79" s="3"/>
      <c r="R79" s="26">
        <f>IF(P$12=0,0,P79/P$12)</f>
        <v>9.5935978205072519E-4</v>
      </c>
      <c r="S79" s="3"/>
      <c r="T79" s="3">
        <v>20000</v>
      </c>
      <c r="U79" s="3"/>
      <c r="V79" s="26">
        <f>IF(T$12=0,0,T79/T$12)</f>
        <v>8.7482979092880237E-3</v>
      </c>
      <c r="W79" s="3"/>
      <c r="X79" s="3">
        <f>+P79-T79</f>
        <v>-17233.64</v>
      </c>
      <c r="Y79" s="3"/>
      <c r="Z79" s="26">
        <f>IF(T79=0,0,X79/T79)</f>
        <v>-0.86168199999999995</v>
      </c>
    </row>
    <row r="80" spans="1:26" ht="15" customHeight="1" x14ac:dyDescent="0.3">
      <c r="A80" s="12"/>
      <c r="B80" s="13"/>
      <c r="C80" s="13"/>
      <c r="D80" s="4"/>
      <c r="E80" s="4"/>
      <c r="F80" s="10"/>
      <c r="G80" s="4"/>
      <c r="H80" s="4"/>
      <c r="I80" s="4"/>
      <c r="J80" s="10"/>
      <c r="K80" s="4"/>
      <c r="L80" s="4"/>
      <c r="M80" s="4"/>
      <c r="N80" s="10"/>
      <c r="O80" s="13"/>
      <c r="P80" s="4"/>
      <c r="Q80" s="4"/>
      <c r="R80" s="10"/>
      <c r="S80" s="4"/>
      <c r="T80" s="4"/>
      <c r="U80" s="4"/>
      <c r="V80" s="10"/>
      <c r="W80" s="4"/>
      <c r="X80" s="4"/>
      <c r="Y80" s="4"/>
      <c r="Z80" s="10"/>
    </row>
    <row r="81" spans="1:26" s="63" customFormat="1" ht="15" customHeight="1" x14ac:dyDescent="0.3">
      <c r="A81" s="13"/>
      <c r="B81" s="27" t="s">
        <v>292</v>
      </c>
      <c r="C81" s="27"/>
      <c r="D81" s="23">
        <f>+D31-D33+D76</f>
        <v>108613.19999999991</v>
      </c>
      <c r="E81" s="15"/>
      <c r="F81" s="22">
        <f>IF(D$12=0,0,D81/D$12)</f>
        <v>0.27211536088671751</v>
      </c>
      <c r="G81" s="15"/>
      <c r="H81" s="23">
        <f>+H31-H33+H76</f>
        <v>-67.936099669999749</v>
      </c>
      <c r="I81" s="15"/>
      <c r="J81" s="22">
        <f>IF(H$12=0,0,H81/H$12)</f>
        <v>-6.388814669538044E-4</v>
      </c>
      <c r="K81" s="17"/>
      <c r="L81" s="23">
        <f>+D81-H81</f>
        <v>108681.13609966991</v>
      </c>
      <c r="M81" s="17"/>
      <c r="N81" s="22">
        <f>IF(H81=0,0,L81/H81)</f>
        <v>-1599.755308703172</v>
      </c>
      <c r="O81" s="28"/>
      <c r="P81" s="23">
        <f>+P31-P33+P76</f>
        <v>316088.67999999976</v>
      </c>
      <c r="Q81" s="15"/>
      <c r="R81" s="22">
        <f>IF(P$12=0,0,P81/P$12)</f>
        <v>0.10961796987864962</v>
      </c>
      <c r="S81" s="15"/>
      <c r="T81" s="23">
        <f>+T31-T33+T76</f>
        <v>71087.614209890016</v>
      </c>
      <c r="U81" s="15"/>
      <c r="V81" s="22">
        <f>IF(T$12=0,0,T81/T$12)</f>
        <v>3.1094781338432725E-2</v>
      </c>
      <c r="W81" s="17"/>
      <c r="X81" s="23">
        <f>+P81-T81</f>
        <v>245001.06579010974</v>
      </c>
      <c r="Y81" s="17"/>
      <c r="Z81" s="22">
        <f>IF(T81=0,0,X81/T81)</f>
        <v>3.4464662868939571</v>
      </c>
    </row>
    <row r="82" spans="1:26" ht="15" customHeight="1" x14ac:dyDescent="0.3">
      <c r="A82" s="12"/>
      <c r="B82" s="13"/>
      <c r="C82" s="12"/>
      <c r="D82" s="4"/>
      <c r="E82" s="4"/>
      <c r="F82" s="10"/>
      <c r="G82" s="4"/>
      <c r="H82" s="4"/>
      <c r="I82" s="4"/>
      <c r="J82" s="10"/>
      <c r="K82" s="4"/>
      <c r="L82" s="4"/>
      <c r="M82" s="4"/>
      <c r="N82" s="10"/>
      <c r="P82" s="4"/>
      <c r="Q82" s="4"/>
      <c r="R82" s="10"/>
      <c r="S82" s="4"/>
      <c r="T82" s="4"/>
      <c r="U82" s="4"/>
      <c r="V82" s="10"/>
      <c r="W82" s="4"/>
      <c r="X82" s="4"/>
      <c r="Y82" s="4"/>
      <c r="Z82" s="10"/>
    </row>
    <row r="83" spans="1:26" s="63" customFormat="1" ht="15" customHeight="1" x14ac:dyDescent="0.3">
      <c r="A83" s="49"/>
      <c r="B83" s="13" t="s">
        <v>293</v>
      </c>
      <c r="C83" s="13"/>
      <c r="D83" s="8">
        <v>-611750.59</v>
      </c>
      <c r="E83" s="8"/>
      <c r="F83" s="14">
        <f>IF(D$12=0,0,D83/D$12)</f>
        <v>-1.5326565516024986</v>
      </c>
      <c r="G83" s="8"/>
      <c r="H83" s="8">
        <v>-10979</v>
      </c>
      <c r="I83" s="8"/>
      <c r="J83" s="14">
        <f>IF(H$12=0,0,H83/H$12)</f>
        <v>-0.10324819440264821</v>
      </c>
      <c r="K83" s="8"/>
      <c r="L83" s="8">
        <f>+D83-H83</f>
        <v>-600771.59</v>
      </c>
      <c r="M83" s="8"/>
      <c r="N83" s="14">
        <f>IF(H83=0,0,L83/H83)</f>
        <v>54.720064668913381</v>
      </c>
      <c r="O83" s="13"/>
      <c r="P83" s="8">
        <v>-332440.58</v>
      </c>
      <c r="Q83" s="8"/>
      <c r="R83" s="14">
        <f>IF(P$12=0,0,P83/P$12)</f>
        <v>-0.11528872683729402</v>
      </c>
      <c r="S83" s="8"/>
      <c r="T83" s="8">
        <v>259238</v>
      </c>
      <c r="U83" s="8"/>
      <c r="V83" s="14">
        <f>IF(T$12=0,0,T83/T$12)</f>
        <v>0.11339456267040043</v>
      </c>
      <c r="W83" s="8"/>
      <c r="X83" s="8">
        <f>+P83-T83</f>
        <v>-591678.58000000007</v>
      </c>
      <c r="Y83" s="8"/>
      <c r="Z83" s="14">
        <f>IF(T83=0,0,X83/T83)</f>
        <v>-2.2823759634004275</v>
      </c>
    </row>
    <row r="84" spans="1:26" ht="15" customHeight="1" x14ac:dyDescent="0.3">
      <c r="A84" s="12"/>
      <c r="B84" s="13"/>
      <c r="C84" s="13"/>
      <c r="D84" s="4"/>
      <c r="E84" s="4"/>
      <c r="F84" s="10"/>
      <c r="G84" s="4"/>
      <c r="H84" s="4"/>
      <c r="I84" s="4"/>
      <c r="J84" s="10"/>
      <c r="K84" s="4"/>
      <c r="L84" s="4"/>
      <c r="M84" s="4"/>
      <c r="N84" s="10"/>
      <c r="O84" s="13"/>
      <c r="P84" s="4"/>
      <c r="Q84" s="4"/>
      <c r="R84" s="10"/>
      <c r="S84" s="4"/>
      <c r="T84" s="4"/>
      <c r="U84" s="4"/>
      <c r="V84" s="10"/>
      <c r="W84" s="4"/>
      <c r="X84" s="4"/>
      <c r="Y84" s="4"/>
      <c r="Z84" s="10"/>
    </row>
    <row r="85" spans="1:26" s="63" customFormat="1" ht="15" customHeight="1" x14ac:dyDescent="0.3">
      <c r="A85" s="13"/>
      <c r="B85" s="27" t="s">
        <v>294</v>
      </c>
      <c r="C85" s="27"/>
      <c r="D85" s="30">
        <f>+D81-D83</f>
        <v>720363.78999999992</v>
      </c>
      <c r="E85" s="15"/>
      <c r="F85" s="35">
        <f>IF(D$12=0,0,D85/D$12)</f>
        <v>1.8047719124892163</v>
      </c>
      <c r="G85" s="15"/>
      <c r="H85" s="30">
        <f>+H81-H83</f>
        <v>10911.06390033</v>
      </c>
      <c r="I85" s="15"/>
      <c r="J85" s="35">
        <f>IF(H$12=0,0,H85/H$12)</f>
        <v>0.10260931293569441</v>
      </c>
      <c r="K85" s="17"/>
      <c r="L85" s="30">
        <f>D85-H85</f>
        <v>709452.72609966993</v>
      </c>
      <c r="M85" s="17"/>
      <c r="N85" s="35">
        <f>IF(H85=0,0,L85/H85)</f>
        <v>65.021406948062406</v>
      </c>
      <c r="O85" s="28"/>
      <c r="P85" s="30">
        <f>+P81-P83</f>
        <v>648529.25999999978</v>
      </c>
      <c r="Q85" s="15"/>
      <c r="R85" s="35">
        <f>IF(P$12=0,0,P85/P$12)</f>
        <v>0.22490669671594363</v>
      </c>
      <c r="S85" s="15"/>
      <c r="T85" s="30">
        <f>+T81-T83</f>
        <v>-188150.38579010998</v>
      </c>
      <c r="U85" s="15"/>
      <c r="V85" s="35">
        <f>IF(T$12=0,0,T85/T$12)</f>
        <v>-8.229978133196772E-2</v>
      </c>
      <c r="W85" s="17"/>
      <c r="X85" s="30">
        <f>P85-T85</f>
        <v>836679.64579010976</v>
      </c>
      <c r="Y85" s="17"/>
      <c r="Z85" s="35">
        <f>IF(T85=0,0,X85/T85)</f>
        <v>-4.4468664907414146</v>
      </c>
    </row>
    <row r="86" spans="1:26" ht="15" customHeight="1" x14ac:dyDescent="0.3">
      <c r="A86" s="12"/>
      <c r="B86" s="12"/>
      <c r="C86" s="12"/>
      <c r="D86" s="4"/>
      <c r="E86" s="4"/>
      <c r="F86" s="10"/>
      <c r="G86" s="4"/>
      <c r="H86" s="4"/>
      <c r="I86" s="4"/>
      <c r="J86" s="10"/>
      <c r="K86" s="4"/>
      <c r="L86" s="4"/>
      <c r="M86" s="4"/>
      <c r="N86" s="10"/>
      <c r="P86" s="4"/>
      <c r="Q86" s="4"/>
      <c r="R86" s="10"/>
      <c r="S86" s="4"/>
      <c r="T86" s="4"/>
      <c r="U86" s="4"/>
      <c r="V86" s="10"/>
      <c r="W86" s="4"/>
      <c r="X86" s="4"/>
      <c r="Y86" s="4"/>
      <c r="Z86" s="10"/>
    </row>
    <row r="87" spans="1:26" ht="15" customHeight="1" x14ac:dyDescent="0.3">
      <c r="A87" s="12"/>
      <c r="B87" s="12"/>
      <c r="C87" s="12"/>
      <c r="D87" s="4"/>
      <c r="E87" s="4"/>
      <c r="F87" s="10"/>
      <c r="G87" s="4"/>
      <c r="H87" s="4"/>
      <c r="I87" s="4"/>
      <c r="J87" s="10"/>
      <c r="K87" s="4"/>
      <c r="L87" s="4"/>
      <c r="M87" s="4"/>
      <c r="N87" s="10"/>
      <c r="P87" s="4"/>
      <c r="Q87" s="4"/>
      <c r="R87" s="10"/>
      <c r="S87" s="4"/>
      <c r="T87" s="4"/>
      <c r="U87" s="4"/>
      <c r="V87" s="10"/>
      <c r="W87" s="4"/>
      <c r="X87" s="4"/>
      <c r="Y87" s="4"/>
      <c r="Z87" s="10"/>
    </row>
    <row r="88" spans="1:26" s="63" customFormat="1" ht="15" customHeight="1" x14ac:dyDescent="0.3">
      <c r="A88" s="13"/>
      <c r="B88" s="27" t="s">
        <v>297</v>
      </c>
      <c r="C88" s="27"/>
      <c r="D88" s="33">
        <f>SUM(D85:D87)</f>
        <v>720363.78999999992</v>
      </c>
      <c r="E88" s="15"/>
      <c r="F88" s="31">
        <f>IF(D$12=0,0,D88/D$12)</f>
        <v>1.8047719124892163</v>
      </c>
      <c r="G88" s="15"/>
      <c r="H88" s="33">
        <f>SUM(H85:H87)</f>
        <v>10911.06390033</v>
      </c>
      <c r="I88" s="15"/>
      <c r="J88" s="31">
        <f>IF(H$12=0,0,H88/H$12)</f>
        <v>0.10260931293569441</v>
      </c>
      <c r="K88" s="17"/>
      <c r="L88" s="33">
        <f>+D88-H88</f>
        <v>709452.72609966993</v>
      </c>
      <c r="M88" s="17"/>
      <c r="N88" s="31">
        <f>IF(H88=0,0,L88/H88)</f>
        <v>65.021406948062406</v>
      </c>
      <c r="O88" s="28"/>
      <c r="P88" s="33">
        <f>SUM(P85:P87)</f>
        <v>648529.25999999978</v>
      </c>
      <c r="Q88" s="15"/>
      <c r="R88" s="31">
        <f>IF(P$12=0,0,P88/P$12)</f>
        <v>0.22490669671594363</v>
      </c>
      <c r="S88" s="15"/>
      <c r="T88" s="33">
        <f>SUM(T85:T87)</f>
        <v>-188150.38579010998</v>
      </c>
      <c r="U88" s="15"/>
      <c r="V88" s="31">
        <f>IF(T$12=0,0,T88/T$12)</f>
        <v>-8.229978133196772E-2</v>
      </c>
      <c r="W88" s="17"/>
      <c r="X88" s="33">
        <f>+P88-T88</f>
        <v>836679.64579010976</v>
      </c>
      <c r="Y88" s="17"/>
      <c r="Z88" s="31">
        <f>IF(T88=0,0,X88/T88)</f>
        <v>-4.4468664907414146</v>
      </c>
    </row>
    <row r="89" spans="1:26" ht="15" customHeight="1" x14ac:dyDescent="0.3">
      <c r="A89" s="12"/>
      <c r="C89" s="12"/>
      <c r="D89" s="19"/>
      <c r="E89" s="19"/>
      <c r="G89" s="19"/>
      <c r="H89" s="19"/>
      <c r="I89" s="19"/>
      <c r="J89" s="41"/>
      <c r="K89" s="19"/>
      <c r="L89" s="19"/>
      <c r="M89" s="19"/>
      <c r="P89" s="19"/>
      <c r="Q89" s="19"/>
      <c r="R89" s="41"/>
      <c r="S89" s="19"/>
      <c r="T89" s="19"/>
      <c r="U89" s="19"/>
      <c r="V89" s="41"/>
      <c r="W89" s="19"/>
      <c r="X89" s="19"/>
    </row>
    <row r="90" spans="1:26" ht="15" customHeight="1" x14ac:dyDescent="0.3">
      <c r="A90" s="12"/>
      <c r="B90" s="50">
        <v>44767.799547766204</v>
      </c>
      <c r="D90" s="19"/>
      <c r="E90" s="19"/>
      <c r="G90" s="19"/>
      <c r="H90" s="19"/>
      <c r="I90" s="19"/>
      <c r="J90" s="41"/>
      <c r="K90" s="19"/>
      <c r="L90" s="19"/>
      <c r="M90" s="19"/>
      <c r="P90" s="19"/>
      <c r="Q90" s="19"/>
      <c r="R90" s="41"/>
      <c r="S90" s="19"/>
      <c r="T90" s="19"/>
      <c r="U90" s="19"/>
      <c r="V90" s="41"/>
      <c r="W90" s="19"/>
      <c r="X90" s="19"/>
    </row>
    <row r="91" spans="1:26" ht="15" customHeight="1" x14ac:dyDescent="0.3">
      <c r="A91" s="12"/>
      <c r="B91" s="57" t="s">
        <v>298</v>
      </c>
      <c r="D91" s="19"/>
      <c r="E91" s="19"/>
      <c r="G91" s="19"/>
      <c r="H91" s="19"/>
      <c r="I91" s="19"/>
      <c r="J91" s="41"/>
      <c r="K91" s="19"/>
      <c r="L91" s="19"/>
      <c r="M91" s="19"/>
      <c r="P91" s="19"/>
      <c r="Q91" s="19"/>
      <c r="R91" s="41"/>
      <c r="S91" s="19"/>
      <c r="T91" s="19"/>
      <c r="U91" s="19"/>
      <c r="V91" s="41"/>
      <c r="W91" s="19"/>
      <c r="X91" s="19"/>
    </row>
    <row r="92" spans="1:26" ht="15" customHeight="1" x14ac:dyDescent="0.3">
      <c r="A92" s="12"/>
      <c r="B92" s="51"/>
      <c r="D92" s="19"/>
      <c r="E92" s="19"/>
      <c r="G92" s="19"/>
      <c r="H92" s="19"/>
      <c r="I92" s="19"/>
      <c r="J92" s="41"/>
      <c r="K92" s="19"/>
      <c r="L92" s="19"/>
      <c r="M92" s="19"/>
      <c r="P92" s="19"/>
      <c r="Q92" s="19"/>
      <c r="R92" s="41"/>
      <c r="S92" s="19"/>
      <c r="T92" s="19"/>
      <c r="U92" s="19"/>
      <c r="V92" s="41"/>
      <c r="W92" s="19"/>
      <c r="X92" s="19"/>
    </row>
    <row r="93" spans="1:26" ht="15" customHeight="1" x14ac:dyDescent="0.3">
      <c r="D93" s="19"/>
      <c r="E93" s="19"/>
      <c r="G93" s="19"/>
      <c r="H93" s="19"/>
      <c r="I93" s="19"/>
      <c r="J93" s="41"/>
      <c r="K93" s="19"/>
      <c r="L93" s="19"/>
      <c r="M93" s="19"/>
      <c r="P93" s="19"/>
      <c r="Q93" s="19"/>
      <c r="R93" s="41"/>
      <c r="S93" s="19"/>
      <c r="T93" s="19"/>
      <c r="U93" s="19"/>
      <c r="V93" s="41"/>
      <c r="W93" s="19"/>
      <c r="X93" s="19"/>
    </row>
  </sheetData>
  <pageMargins left="0.25" right="0.25" top="0.75" bottom="0.75" header="0.3" footer="0.3"/>
  <pageSetup scale="55" orientation="landscape" r:id="rId1"/>
  <headerFooter>
    <oddHeader>&amp;RPre-Audit</oddHeader>
    <oddFooter>&amp;L&amp;C&amp;R</oddFooter>
    <evenHeader>&amp;L&amp;C&amp;R</evenHeader>
    <evenFooter>&amp;L&amp;C&amp;R</even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45568E-CA27-5B66-C6BD-49CE55AEF30C}">
  <sheetPr>
    <tabColor rgb="FF00B0F0"/>
    <outlinePr summaryBelow="0" summaryRight="0"/>
  </sheetPr>
  <dimension ref="A2:Z192"/>
  <sheetViews>
    <sheetView showGridLines="0" tabSelected="1" defaultGridColor="0" colorId="8" zoomScale="80" workbookViewId="0">
      <pane xSplit="3" ySplit="10" topLeftCell="D156" activePane="bottomRight" state="frozen"/>
      <selection pane="topRight" activeCell="D1" sqref="D1"/>
      <selection pane="bottomLeft" activeCell="A11" sqref="A11"/>
      <selection pane="bottomRight" activeCell="D78" sqref="D78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3" t="s">
        <v>276</v>
      </c>
    </row>
    <row r="3" spans="1:26" ht="15" customHeight="1" x14ac:dyDescent="0.3">
      <c r="D3" s="53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3" t="str">
        <f>CONCATENATE("Period ",RIGHT(202212,2),", ",2022)</f>
        <v>Period 12,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5"/>
      <c r="D5" s="60">
        <v>44742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5"/>
      <c r="B6" s="47"/>
      <c r="C6" s="47"/>
      <c r="D6" s="25" t="s">
        <v>278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4"/>
    </row>
    <row r="8" spans="1:26" ht="15" customHeight="1" x14ac:dyDescent="0.3">
      <c r="B8" s="54"/>
    </row>
    <row r="9" spans="1:26" ht="15" customHeight="1" x14ac:dyDescent="0.3">
      <c r="B9" s="12"/>
      <c r="C9" s="12"/>
      <c r="D9" s="16" t="s">
        <v>279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280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ht="15" customHeight="1" x14ac:dyDescent="0.3">
      <c r="A10" s="13"/>
      <c r="B10" s="52"/>
      <c r="C10" s="13"/>
      <c r="D10" s="40" t="s">
        <v>281</v>
      </c>
      <c r="E10" s="32"/>
      <c r="F10" s="39" t="s">
        <v>282</v>
      </c>
      <c r="G10" s="32"/>
      <c r="H10" s="45" t="s">
        <v>283</v>
      </c>
      <c r="I10" s="32"/>
      <c r="J10" s="42" t="s">
        <v>284</v>
      </c>
      <c r="K10" s="13"/>
      <c r="L10" s="40" t="s">
        <v>285</v>
      </c>
      <c r="M10" s="13"/>
      <c r="N10" s="39" t="s">
        <v>286</v>
      </c>
      <c r="O10" s="13"/>
      <c r="P10" s="55" t="s">
        <v>281</v>
      </c>
      <c r="Q10" s="32"/>
      <c r="R10" s="39" t="s">
        <v>282</v>
      </c>
      <c r="S10" s="32"/>
      <c r="T10" s="45" t="s">
        <v>283</v>
      </c>
      <c r="U10" s="32"/>
      <c r="V10" s="42" t="s">
        <v>284</v>
      </c>
      <c r="W10" s="13"/>
      <c r="X10" s="40" t="s">
        <v>285</v>
      </c>
      <c r="Y10" s="13"/>
      <c r="Z10" s="39" t="s">
        <v>286</v>
      </c>
    </row>
    <row r="11" spans="1:26" ht="16.5" customHeight="1" x14ac:dyDescent="0.3">
      <c r="A11" s="12"/>
      <c r="B11" s="58"/>
      <c r="C11" s="12"/>
      <c r="D11" s="12"/>
      <c r="E11" s="12"/>
      <c r="F11" s="10"/>
      <c r="G11" s="12"/>
      <c r="H11" s="12"/>
      <c r="I11" s="12"/>
      <c r="J11" s="43"/>
      <c r="K11" s="12"/>
      <c r="L11" s="12"/>
      <c r="M11" s="12"/>
      <c r="N11" s="10"/>
      <c r="P11" s="12"/>
      <c r="Q11" s="12"/>
      <c r="R11" s="10"/>
      <c r="S11" s="12"/>
      <c r="T11" s="12"/>
      <c r="U11" s="12"/>
      <c r="V11" s="43"/>
      <c r="W11" s="12"/>
      <c r="X11" s="12"/>
      <c r="Y11" s="12"/>
      <c r="Z11" s="10"/>
    </row>
    <row r="12" spans="1:26" s="63" customFormat="1" ht="15" customHeight="1" collapsed="1" x14ac:dyDescent="0.3">
      <c r="A12" s="13"/>
      <c r="B12" s="28" t="s">
        <v>287</v>
      </c>
      <c r="C12" s="13"/>
      <c r="D12" s="8">
        <f>SUM(OSRRefD13x_0)</f>
        <v>941703.08</v>
      </c>
      <c r="E12" s="8"/>
      <c r="F12" s="14"/>
      <c r="G12" s="8"/>
      <c r="H12" s="8">
        <f>SUM(OSRRefH13x_0)</f>
        <v>528176</v>
      </c>
      <c r="I12" s="8"/>
      <c r="J12" s="14"/>
      <c r="K12" s="8"/>
      <c r="L12" s="8">
        <f t="shared" ref="L12:L25" si="0">+D12-H12</f>
        <v>413527.07999999996</v>
      </c>
      <c r="M12" s="8"/>
      <c r="N12" s="14">
        <f t="shared" ref="N12:N25" si="1">IF(H12=0,0,L12/H12)</f>
        <v>0.78293424918966392</v>
      </c>
      <c r="O12" s="13"/>
      <c r="P12" s="8">
        <f>SUM(OSRRefP13x_0)</f>
        <v>25006256.440000005</v>
      </c>
      <c r="Q12" s="8"/>
      <c r="R12" s="14"/>
      <c r="S12" s="8"/>
      <c r="T12" s="8">
        <f>SUM(OSRRefT13x_0)</f>
        <v>23284613</v>
      </c>
      <c r="U12" s="8"/>
      <c r="V12" s="14"/>
      <c r="W12" s="8"/>
      <c r="X12" s="8">
        <f t="shared" ref="X12:X25" si="2">+P12-T12</f>
        <v>1721643.4400000051</v>
      </c>
      <c r="Y12" s="8"/>
      <c r="Z12" s="14">
        <f t="shared" ref="Z12:Z25" si="3">IF(T12=0,0,X12/T12)</f>
        <v>7.3939104764163571E-2</v>
      </c>
    </row>
    <row r="13" spans="1:26" s="70" customFormat="1" ht="15" hidden="1" customHeight="1" outlineLevel="1" x14ac:dyDescent="0.3">
      <c r="A13" s="48"/>
      <c r="B13" s="9" t="str">
        <f>CONCATENATE("          ","4000"," - ","TAXABLE SALES")</f>
        <v xml:space="preserve">          4000 - TAXABLE SALES</v>
      </c>
      <c r="C13" s="9"/>
      <c r="D13" s="3">
        <f>--835136.42</f>
        <v>835136.42</v>
      </c>
      <c r="E13" s="3"/>
      <c r="F13" s="26"/>
      <c r="G13" s="3"/>
      <c r="H13" s="3">
        <v>426998</v>
      </c>
      <c r="I13" s="3"/>
      <c r="J13" s="26"/>
      <c r="K13" s="3"/>
      <c r="L13" s="3">
        <f t="shared" si="0"/>
        <v>408138.42000000004</v>
      </c>
      <c r="M13" s="3"/>
      <c r="N13" s="26">
        <f t="shared" si="1"/>
        <v>0.95583215846444258</v>
      </c>
      <c r="O13" s="9"/>
      <c r="P13" s="3">
        <f>--9831797.98</f>
        <v>9831797.9800000004</v>
      </c>
      <c r="Q13" s="3"/>
      <c r="R13" s="26"/>
      <c r="S13" s="3"/>
      <c r="T13" s="3">
        <v>11611690</v>
      </c>
      <c r="U13" s="3"/>
      <c r="V13" s="26"/>
      <c r="W13" s="3"/>
      <c r="X13" s="3">
        <f t="shared" si="2"/>
        <v>-1779892.0199999996</v>
      </c>
      <c r="Y13" s="3"/>
      <c r="Z13" s="26">
        <f t="shared" si="3"/>
        <v>-0.15328449347166515</v>
      </c>
    </row>
    <row r="14" spans="1:26" s="70" customFormat="1" ht="15" hidden="1" customHeight="1" outlineLevel="1" x14ac:dyDescent="0.3">
      <c r="A14" s="48"/>
      <c r="B14" s="9" t="str">
        <f>CONCATENATE("          ","4051"," - ","TAXABLE SALES-FOOD")</f>
        <v xml:space="preserve">          4051 - TAXABLE SALES-FOOD</v>
      </c>
      <c r="C14" s="9"/>
      <c r="D14" s="3">
        <f>--14372.1</f>
        <v>14372.1</v>
      </c>
      <c r="E14" s="3"/>
      <c r="F14" s="26"/>
      <c r="G14" s="3"/>
      <c r="H14" s="3"/>
      <c r="I14" s="3"/>
      <c r="J14" s="26"/>
      <c r="K14" s="3"/>
      <c r="L14" s="3">
        <f t="shared" si="0"/>
        <v>14372.1</v>
      </c>
      <c r="M14" s="3"/>
      <c r="N14" s="26">
        <f t="shared" si="1"/>
        <v>0</v>
      </c>
      <c r="O14" s="9"/>
      <c r="P14" s="3">
        <f>--360408.55</f>
        <v>360408.55</v>
      </c>
      <c r="Q14" s="3"/>
      <c r="R14" s="26"/>
      <c r="S14" s="3"/>
      <c r="T14" s="3"/>
      <c r="U14" s="3"/>
      <c r="V14" s="26"/>
      <c r="W14" s="3"/>
      <c r="X14" s="3">
        <f t="shared" si="2"/>
        <v>360408.55</v>
      </c>
      <c r="Y14" s="3"/>
      <c r="Z14" s="26">
        <f t="shared" si="3"/>
        <v>0</v>
      </c>
    </row>
    <row r="15" spans="1:26" s="70" customFormat="1" ht="15" hidden="1" customHeight="1" outlineLevel="1" x14ac:dyDescent="0.3">
      <c r="A15" s="48"/>
      <c r="B15" s="9" t="str">
        <f>CONCATENATE("          ","4053"," - ","TAXABLE SALES-FOOD")</f>
        <v xml:space="preserve">          4053 - TAXABLE SALES-FOOD</v>
      </c>
      <c r="C15" s="9"/>
      <c r="D15" s="3">
        <f>--11752.35</f>
        <v>11752.35</v>
      </c>
      <c r="E15" s="3"/>
      <c r="F15" s="26"/>
      <c r="G15" s="3"/>
      <c r="H15" s="3"/>
      <c r="I15" s="3"/>
      <c r="J15" s="26"/>
      <c r="K15" s="3"/>
      <c r="L15" s="3">
        <f t="shared" si="0"/>
        <v>11752.35</v>
      </c>
      <c r="M15" s="3"/>
      <c r="N15" s="26">
        <f t="shared" si="1"/>
        <v>0</v>
      </c>
      <c r="O15" s="9"/>
      <c r="P15" s="3">
        <f>--42941.38</f>
        <v>42941.38</v>
      </c>
      <c r="Q15" s="3"/>
      <c r="R15" s="26"/>
      <c r="S15" s="3"/>
      <c r="T15" s="3"/>
      <c r="U15" s="3"/>
      <c r="V15" s="26"/>
      <c r="W15" s="3"/>
      <c r="X15" s="3">
        <f t="shared" si="2"/>
        <v>42941.38</v>
      </c>
      <c r="Y15" s="3"/>
      <c r="Z15" s="26">
        <f t="shared" si="3"/>
        <v>0</v>
      </c>
    </row>
    <row r="16" spans="1:26" s="70" customFormat="1" ht="15" hidden="1" customHeight="1" outlineLevel="1" x14ac:dyDescent="0.3">
      <c r="A16" s="48"/>
      <c r="B16" s="9" t="str">
        <f>CONCATENATE("          ","4055"," - ","TAXABLE SALES-FOOD")</f>
        <v xml:space="preserve">          4055 - TAXABLE SALES-FOOD</v>
      </c>
      <c r="C16" s="9"/>
      <c r="D16" s="3">
        <f>0</f>
        <v>0</v>
      </c>
      <c r="E16" s="3"/>
      <c r="F16" s="26"/>
      <c r="G16" s="3"/>
      <c r="H16" s="3"/>
      <c r="I16" s="3"/>
      <c r="J16" s="26"/>
      <c r="K16" s="3"/>
      <c r="L16" s="3">
        <f t="shared" si="0"/>
        <v>0</v>
      </c>
      <c r="M16" s="3"/>
      <c r="N16" s="26">
        <f t="shared" si="1"/>
        <v>0</v>
      </c>
      <c r="O16" s="9"/>
      <c r="P16" s="3">
        <f>--2070.63</f>
        <v>2070.63</v>
      </c>
      <c r="Q16" s="3"/>
      <c r="R16" s="26"/>
      <c r="S16" s="3"/>
      <c r="T16" s="3"/>
      <c r="U16" s="3"/>
      <c r="V16" s="26"/>
      <c r="W16" s="3"/>
      <c r="X16" s="3">
        <f t="shared" si="2"/>
        <v>2070.63</v>
      </c>
      <c r="Y16" s="3"/>
      <c r="Z16" s="26">
        <f t="shared" si="3"/>
        <v>0</v>
      </c>
    </row>
    <row r="17" spans="1:26" s="70" customFormat="1" ht="15" hidden="1" customHeight="1" outlineLevel="1" x14ac:dyDescent="0.3">
      <c r="A17" s="48"/>
      <c r="B17" s="9" t="str">
        <f>CONCATENATE("          ","4100"," - ","NON-TAXABLE SALES")</f>
        <v xml:space="preserve">          4100 - NON-TAXABLE SALES</v>
      </c>
      <c r="C17" s="9"/>
      <c r="D17" s="3">
        <f>--141120.94</f>
        <v>141120.94</v>
      </c>
      <c r="E17" s="3"/>
      <c r="F17" s="26"/>
      <c r="G17" s="3"/>
      <c r="H17" s="3">
        <v>101178</v>
      </c>
      <c r="I17" s="3"/>
      <c r="J17" s="26"/>
      <c r="K17" s="3"/>
      <c r="L17" s="3">
        <f t="shared" si="0"/>
        <v>39942.94</v>
      </c>
      <c r="M17" s="3"/>
      <c r="N17" s="26">
        <f t="shared" si="1"/>
        <v>0.39477890450493192</v>
      </c>
      <c r="O17" s="9"/>
      <c r="P17" s="3">
        <f>--3002349.04</f>
        <v>3002349.04</v>
      </c>
      <c r="Q17" s="3"/>
      <c r="R17" s="26"/>
      <c r="S17" s="3"/>
      <c r="T17" s="3">
        <v>11672923</v>
      </c>
      <c r="U17" s="3"/>
      <c r="V17" s="26"/>
      <c r="W17" s="3"/>
      <c r="X17" s="3">
        <f t="shared" si="2"/>
        <v>-8670573.9600000009</v>
      </c>
      <c r="Y17" s="3"/>
      <c r="Z17" s="26">
        <f t="shared" si="3"/>
        <v>-0.74279372527343845</v>
      </c>
    </row>
    <row r="18" spans="1:26" s="70" customFormat="1" ht="15" hidden="1" customHeight="1" outlineLevel="1" x14ac:dyDescent="0.3">
      <c r="A18" s="48"/>
      <c r="B18" s="9" t="str">
        <f>CONCATENATE("          ","4141"," - ","NON-TAXABLE SALES-LOGO GIFTS")</f>
        <v xml:space="preserve">          4141 - NON-TAXABLE SALES-LOGO GIFTS</v>
      </c>
      <c r="C18" s="9"/>
      <c r="D18" s="3">
        <f>0</f>
        <v>0</v>
      </c>
      <c r="E18" s="3"/>
      <c r="F18" s="26"/>
      <c r="G18" s="3"/>
      <c r="H18" s="3"/>
      <c r="I18" s="3"/>
      <c r="J18" s="26"/>
      <c r="K18" s="3"/>
      <c r="L18" s="3">
        <f t="shared" si="0"/>
        <v>0</v>
      </c>
      <c r="M18" s="3"/>
      <c r="N18" s="26">
        <f t="shared" si="1"/>
        <v>0</v>
      </c>
      <c r="O18" s="9"/>
      <c r="P18" s="3">
        <f>0</f>
        <v>0</v>
      </c>
      <c r="Q18" s="3"/>
      <c r="R18" s="26"/>
      <c r="S18" s="3"/>
      <c r="T18" s="3"/>
      <c r="U18" s="3"/>
      <c r="V18" s="26"/>
      <c r="W18" s="3"/>
      <c r="X18" s="3">
        <f t="shared" si="2"/>
        <v>0</v>
      </c>
      <c r="Y18" s="3"/>
      <c r="Z18" s="26">
        <f t="shared" si="3"/>
        <v>0</v>
      </c>
    </row>
    <row r="19" spans="1:26" s="70" customFormat="1" ht="15" hidden="1" customHeight="1" outlineLevel="1" x14ac:dyDescent="0.3">
      <c r="A19" s="48"/>
      <c r="B19" s="9" t="str">
        <f>CONCATENATE("          ","4146"," - ","NON-TAXABLE SALES-COIN OP MACH")</f>
        <v xml:space="preserve">          4146 - NON-TAXABLE SALES-COIN OP MACH</v>
      </c>
      <c r="C19" s="9"/>
      <c r="D19" s="3">
        <f>0</f>
        <v>0</v>
      </c>
      <c r="E19" s="3"/>
      <c r="F19" s="26"/>
      <c r="G19" s="3"/>
      <c r="H19" s="3"/>
      <c r="I19" s="3"/>
      <c r="J19" s="26"/>
      <c r="K19" s="3"/>
      <c r="L19" s="3">
        <f t="shared" si="0"/>
        <v>0</v>
      </c>
      <c r="M19" s="3"/>
      <c r="N19" s="26">
        <f t="shared" si="1"/>
        <v>0</v>
      </c>
      <c r="O19" s="9"/>
      <c r="P19" s="3">
        <f>0</f>
        <v>0</v>
      </c>
      <c r="Q19" s="3"/>
      <c r="R19" s="26"/>
      <c r="S19" s="3"/>
      <c r="T19" s="3"/>
      <c r="U19" s="3"/>
      <c r="V19" s="26"/>
      <c r="W19" s="3"/>
      <c r="X19" s="3">
        <f t="shared" si="2"/>
        <v>0</v>
      </c>
      <c r="Y19" s="3"/>
      <c r="Z19" s="26">
        <f t="shared" si="3"/>
        <v>0</v>
      </c>
    </row>
    <row r="20" spans="1:26" s="70" customFormat="1" ht="15" hidden="1" customHeight="1" outlineLevel="1" x14ac:dyDescent="0.3">
      <c r="A20" s="48"/>
      <c r="B20" s="9" t="str">
        <f>CONCATENATE("          ","4151"," - ","NON-TAXABLE SALES-FOOD")</f>
        <v xml:space="preserve">          4151 - NON-TAXABLE SALES-FOOD</v>
      </c>
      <c r="C20" s="9"/>
      <c r="D20" s="3">
        <f>--183490.71</f>
        <v>183490.71</v>
      </c>
      <c r="E20" s="3"/>
      <c r="F20" s="26"/>
      <c r="G20" s="3"/>
      <c r="H20" s="3"/>
      <c r="I20" s="3"/>
      <c r="J20" s="26"/>
      <c r="K20" s="3"/>
      <c r="L20" s="3">
        <f t="shared" si="0"/>
        <v>183490.71</v>
      </c>
      <c r="M20" s="3"/>
      <c r="N20" s="26">
        <f t="shared" si="1"/>
        <v>0</v>
      </c>
      <c r="O20" s="9"/>
      <c r="P20" s="3">
        <f>--12808478.17</f>
        <v>12808478.17</v>
      </c>
      <c r="Q20" s="3"/>
      <c r="R20" s="26"/>
      <c r="S20" s="3"/>
      <c r="T20" s="3"/>
      <c r="U20" s="3"/>
      <c r="V20" s="26"/>
      <c r="W20" s="3"/>
      <c r="X20" s="3">
        <f t="shared" si="2"/>
        <v>12808478.17</v>
      </c>
      <c r="Y20" s="3"/>
      <c r="Z20" s="26">
        <f t="shared" si="3"/>
        <v>0</v>
      </c>
    </row>
    <row r="21" spans="1:26" s="70" customFormat="1" ht="15" hidden="1" customHeight="1" outlineLevel="1" x14ac:dyDescent="0.3">
      <c r="A21" s="48"/>
      <c r="B21" s="9" t="str">
        <f>CONCATENATE("          ","4153"," - ","NON-TAXABLE SALES-FOOD")</f>
        <v xml:space="preserve">          4153 - NON-TAXABLE SALES-FOOD</v>
      </c>
      <c r="C21" s="9"/>
      <c r="D21" s="3">
        <f>--1126.52</f>
        <v>1126.52</v>
      </c>
      <c r="E21" s="3"/>
      <c r="F21" s="26"/>
      <c r="G21" s="3"/>
      <c r="H21" s="3"/>
      <c r="I21" s="3"/>
      <c r="J21" s="26"/>
      <c r="K21" s="3"/>
      <c r="L21" s="3">
        <f t="shared" si="0"/>
        <v>1126.52</v>
      </c>
      <c r="M21" s="3"/>
      <c r="N21" s="26">
        <f t="shared" si="1"/>
        <v>0</v>
      </c>
      <c r="O21" s="9"/>
      <c r="P21" s="3">
        <f>--119241.51</f>
        <v>119241.51</v>
      </c>
      <c r="Q21" s="3"/>
      <c r="R21" s="26"/>
      <c r="S21" s="3"/>
      <c r="T21" s="3"/>
      <c r="U21" s="3"/>
      <c r="V21" s="26"/>
      <c r="W21" s="3"/>
      <c r="X21" s="3">
        <f t="shared" si="2"/>
        <v>119241.51</v>
      </c>
      <c r="Y21" s="3"/>
      <c r="Z21" s="26">
        <f t="shared" si="3"/>
        <v>0</v>
      </c>
    </row>
    <row r="22" spans="1:26" s="70" customFormat="1" ht="15" hidden="1" customHeight="1" outlineLevel="1" x14ac:dyDescent="0.3">
      <c r="A22" s="48"/>
      <c r="B22" s="9" t="str">
        <f>CONCATENATE("          ","4155"," - ","NON-TAXABLE SALES-FOOD")</f>
        <v xml:space="preserve">          4155 - NON-TAXABLE SALES-FOOD</v>
      </c>
      <c r="C22" s="9"/>
      <c r="D22" s="3">
        <f>0</f>
        <v>0</v>
      </c>
      <c r="E22" s="3"/>
      <c r="F22" s="26"/>
      <c r="G22" s="3"/>
      <c r="H22" s="3"/>
      <c r="I22" s="3"/>
      <c r="J22" s="26"/>
      <c r="K22" s="3"/>
      <c r="L22" s="3">
        <f t="shared" si="0"/>
        <v>0</v>
      </c>
      <c r="M22" s="3"/>
      <c r="N22" s="26">
        <f t="shared" si="1"/>
        <v>0</v>
      </c>
      <c r="O22" s="9"/>
      <c r="P22" s="3">
        <f>--4683.41</f>
        <v>4683.41</v>
      </c>
      <c r="Q22" s="3"/>
      <c r="R22" s="26"/>
      <c r="S22" s="3"/>
      <c r="T22" s="3"/>
      <c r="U22" s="3"/>
      <c r="V22" s="26"/>
      <c r="W22" s="3"/>
      <c r="X22" s="3">
        <f t="shared" si="2"/>
        <v>4683.41</v>
      </c>
      <c r="Y22" s="3"/>
      <c r="Z22" s="26">
        <f t="shared" si="3"/>
        <v>0</v>
      </c>
    </row>
    <row r="23" spans="1:26" s="70" customFormat="1" ht="15" hidden="1" customHeight="1" outlineLevel="1" x14ac:dyDescent="0.3">
      <c r="A23" s="48"/>
      <c r="B23" s="9" t="str">
        <f>CONCATENATE("          ","4200"," - ","TAXABLE RETURNS")</f>
        <v xml:space="preserve">          4200 - TAXABLE RETURNS</v>
      </c>
      <c r="C23" s="9"/>
      <c r="D23" s="3">
        <f>-235863.53</f>
        <v>-235863.53</v>
      </c>
      <c r="E23" s="3"/>
      <c r="F23" s="26"/>
      <c r="G23" s="3"/>
      <c r="H23" s="3"/>
      <c r="I23" s="3"/>
      <c r="J23" s="26"/>
      <c r="K23" s="3"/>
      <c r="L23" s="3">
        <f t="shared" si="0"/>
        <v>-235863.53</v>
      </c>
      <c r="M23" s="3"/>
      <c r="N23" s="26">
        <f t="shared" si="1"/>
        <v>0</v>
      </c>
      <c r="O23" s="9"/>
      <c r="P23" s="3">
        <f>-984039.13</f>
        <v>-984039.13</v>
      </c>
      <c r="Q23" s="3"/>
      <c r="R23" s="26"/>
      <c r="S23" s="3"/>
      <c r="T23" s="3"/>
      <c r="U23" s="3"/>
      <c r="V23" s="26"/>
      <c r="W23" s="3"/>
      <c r="X23" s="3">
        <f t="shared" si="2"/>
        <v>-984039.13</v>
      </c>
      <c r="Y23" s="3"/>
      <c r="Z23" s="26">
        <f t="shared" si="3"/>
        <v>0</v>
      </c>
    </row>
    <row r="24" spans="1:26" s="70" customFormat="1" ht="15" hidden="1" customHeight="1" outlineLevel="1" x14ac:dyDescent="0.3">
      <c r="A24" s="48"/>
      <c r="B24" s="9" t="str">
        <f>CONCATENATE("          ","4300"," - ","NON-TAX RETURNS")</f>
        <v xml:space="preserve">          4300 - NON-TAX RETURNS</v>
      </c>
      <c r="C24" s="9"/>
      <c r="D24" s="3">
        <f>-1514.12</f>
        <v>-1514.12</v>
      </c>
      <c r="E24" s="3"/>
      <c r="F24" s="26"/>
      <c r="G24" s="3"/>
      <c r="H24" s="3"/>
      <c r="I24" s="3"/>
      <c r="J24" s="26"/>
      <c r="K24" s="3"/>
      <c r="L24" s="3">
        <f t="shared" si="0"/>
        <v>-1514.12</v>
      </c>
      <c r="M24" s="3"/>
      <c r="N24" s="26">
        <f t="shared" si="1"/>
        <v>0</v>
      </c>
      <c r="O24" s="9"/>
      <c r="P24" s="3">
        <f>-44399.7</f>
        <v>-44399.7</v>
      </c>
      <c r="Q24" s="3"/>
      <c r="R24" s="26"/>
      <c r="S24" s="3"/>
      <c r="T24" s="3"/>
      <c r="U24" s="3"/>
      <c r="V24" s="26"/>
      <c r="W24" s="3"/>
      <c r="X24" s="3">
        <f t="shared" si="2"/>
        <v>-44399.7</v>
      </c>
      <c r="Y24" s="3"/>
      <c r="Z24" s="26">
        <f t="shared" si="3"/>
        <v>0</v>
      </c>
    </row>
    <row r="25" spans="1:26" s="70" customFormat="1" ht="15" hidden="1" customHeight="1" outlineLevel="1" x14ac:dyDescent="0.3">
      <c r="A25" s="48"/>
      <c r="B25" s="9" t="str">
        <f>CONCATENATE("          ","4500"," - ","SALES DISCOUNT")</f>
        <v xml:space="preserve">          4500 - SALES DISCOUNT</v>
      </c>
      <c r="C25" s="9"/>
      <c r="D25" s="3">
        <f>-7918.31</f>
        <v>-7918.31</v>
      </c>
      <c r="E25" s="3"/>
      <c r="F25" s="26"/>
      <c r="G25" s="3"/>
      <c r="H25" s="3"/>
      <c r="I25" s="3"/>
      <c r="J25" s="26"/>
      <c r="K25" s="3"/>
      <c r="L25" s="3">
        <f t="shared" si="0"/>
        <v>-7918.31</v>
      </c>
      <c r="M25" s="3"/>
      <c r="N25" s="26">
        <f t="shared" si="1"/>
        <v>0</v>
      </c>
      <c r="O25" s="9"/>
      <c r="P25" s="3">
        <f>-137275.4</f>
        <v>-137275.4</v>
      </c>
      <c r="Q25" s="3"/>
      <c r="R25" s="26"/>
      <c r="S25" s="3"/>
      <c r="T25" s="3"/>
      <c r="U25" s="3"/>
      <c r="V25" s="26"/>
      <c r="W25" s="3"/>
      <c r="X25" s="3">
        <f t="shared" si="2"/>
        <v>-137275.4</v>
      </c>
      <c r="Y25" s="3"/>
      <c r="Z25" s="26">
        <f t="shared" si="3"/>
        <v>0</v>
      </c>
    </row>
    <row r="26" spans="1:26" ht="15" customHeight="1" x14ac:dyDescent="0.3">
      <c r="A26" s="12"/>
      <c r="B26" s="13"/>
      <c r="C26" s="12"/>
      <c r="D26" s="4"/>
      <c r="E26" s="4"/>
      <c r="F26" s="10"/>
      <c r="G26" s="4"/>
      <c r="H26" s="4"/>
      <c r="I26" s="4"/>
      <c r="J26" s="10"/>
      <c r="K26" s="4"/>
      <c r="L26" s="4"/>
      <c r="M26" s="4"/>
      <c r="N26" s="10"/>
      <c r="P26" s="4"/>
      <c r="Q26" s="4"/>
      <c r="R26" s="10"/>
      <c r="S26" s="4"/>
      <c r="T26" s="4"/>
      <c r="U26" s="4"/>
      <c r="V26" s="10"/>
      <c r="W26" s="4"/>
      <c r="X26" s="4"/>
      <c r="Y26" s="4"/>
      <c r="Z26" s="10"/>
    </row>
    <row r="27" spans="1:26" s="63" customFormat="1" ht="15" customHeight="1" collapsed="1" x14ac:dyDescent="0.3">
      <c r="A27" s="13"/>
      <c r="B27" s="28" t="s">
        <v>288</v>
      </c>
      <c r="C27" s="13"/>
      <c r="D27" s="8">
        <f>SUM(OSRRefD16x_0)</f>
        <v>829072.44</v>
      </c>
      <c r="E27" s="8"/>
      <c r="F27" s="14">
        <f t="shared" ref="F27:F62" si="4">IF(D$12=0,0,D27/D$12)</f>
        <v>0.88039686564474229</v>
      </c>
      <c r="G27" s="8"/>
      <c r="H27" s="8">
        <f>SUM(OSRRefH16x_0)</f>
        <v>279546</v>
      </c>
      <c r="I27" s="8"/>
      <c r="J27" s="14">
        <f t="shared" ref="J27:J62" si="5">IF(H$12=0,0,H27/H$12)</f>
        <v>0.52926675956499347</v>
      </c>
      <c r="K27" s="8"/>
      <c r="L27" s="8">
        <f t="shared" ref="L27:L62" si="6">+D27-H27</f>
        <v>549526.43999999994</v>
      </c>
      <c r="M27" s="8"/>
      <c r="N27" s="14">
        <f t="shared" ref="N27:N62" si="7">IF(H27=0,0,L27/H27)</f>
        <v>1.9657818033525787</v>
      </c>
      <c r="O27" s="13"/>
      <c r="P27" s="8">
        <f>SUM(OSRRefP16x_0)</f>
        <v>10588767.67</v>
      </c>
      <c r="Q27" s="8"/>
      <c r="R27" s="14">
        <f t="shared" ref="R27:R62" si="8">IF(P$12=0,0,P27/P$12)</f>
        <v>0.42344473653650166</v>
      </c>
      <c r="S27" s="8"/>
      <c r="T27" s="8">
        <f>SUM(OSRRefT16x_0)</f>
        <v>10847100</v>
      </c>
      <c r="U27" s="8"/>
      <c r="V27" s="14">
        <f t="shared" ref="V27:V62" si="9">IF(T$12=0,0,T27/T$12)</f>
        <v>0.46584841242583674</v>
      </c>
      <c r="W27" s="8"/>
      <c r="X27" s="8">
        <f t="shared" ref="X27:X62" si="10">+P27-T27</f>
        <v>-258332.33000000007</v>
      </c>
      <c r="Y27" s="8"/>
      <c r="Z27" s="14">
        <f t="shared" ref="Z27:Z62" si="11">IF(T27=0,0,X27/T27)</f>
        <v>-2.381579684892737E-2</v>
      </c>
    </row>
    <row r="28" spans="1:26" s="70" customFormat="1" ht="15" hidden="1" customHeight="1" outlineLevel="1" x14ac:dyDescent="0.3">
      <c r="A28" s="48"/>
      <c r="B28" s="9" t="str">
        <f>CONCATENATE("          ","5000"," - ","PURCHASES @ COST")</f>
        <v xml:space="preserve">          5000 - PURCHASES @ COST</v>
      </c>
      <c r="C28" s="9"/>
      <c r="D28" s="3">
        <v>785276.08</v>
      </c>
      <c r="E28" s="3"/>
      <c r="F28" s="26">
        <f t="shared" si="4"/>
        <v>0.83388925519920776</v>
      </c>
      <c r="G28" s="3"/>
      <c r="H28" s="3">
        <v>279546</v>
      </c>
      <c r="I28" s="3"/>
      <c r="J28" s="26">
        <f t="shared" si="5"/>
        <v>0.52926675956499347</v>
      </c>
      <c r="K28" s="3"/>
      <c r="L28" s="3">
        <f t="shared" si="6"/>
        <v>505730.07999999996</v>
      </c>
      <c r="M28" s="3"/>
      <c r="N28" s="26">
        <f t="shared" si="7"/>
        <v>1.8091122033583023</v>
      </c>
      <c r="O28" s="9"/>
      <c r="P28" s="3">
        <v>7039186.1600000001</v>
      </c>
      <c r="Q28" s="3"/>
      <c r="R28" s="26">
        <f t="shared" si="8"/>
        <v>0.28149699963646374</v>
      </c>
      <c r="S28" s="3"/>
      <c r="T28" s="3">
        <v>10847100</v>
      </c>
      <c r="U28" s="3"/>
      <c r="V28" s="26">
        <f t="shared" si="9"/>
        <v>0.46584841242583674</v>
      </c>
      <c r="W28" s="3"/>
      <c r="X28" s="3">
        <f t="shared" si="10"/>
        <v>-3807913.84</v>
      </c>
      <c r="Y28" s="3"/>
      <c r="Z28" s="26">
        <f t="shared" si="11"/>
        <v>-0.35105363092439451</v>
      </c>
    </row>
    <row r="29" spans="1:26" s="70" customFormat="1" ht="15" hidden="1" customHeight="1" outlineLevel="1" x14ac:dyDescent="0.3">
      <c r="A29" s="48"/>
      <c r="B29" s="9" t="str">
        <f>CONCATENATE("          ","5001"," - ","PURCHASES @ COST-NEW TEXT")</f>
        <v xml:space="preserve">          5001 - PURCHASES @ COST-NEW TEXT</v>
      </c>
      <c r="C29" s="9"/>
      <c r="D29" s="3"/>
      <c r="E29" s="3"/>
      <c r="F29" s="26">
        <f t="shared" si="4"/>
        <v>0</v>
      </c>
      <c r="G29" s="3"/>
      <c r="H29" s="3"/>
      <c r="I29" s="3"/>
      <c r="J29" s="26">
        <f t="shared" si="5"/>
        <v>0</v>
      </c>
      <c r="K29" s="3"/>
      <c r="L29" s="3">
        <f t="shared" si="6"/>
        <v>0</v>
      </c>
      <c r="M29" s="3"/>
      <c r="N29" s="26">
        <f t="shared" si="7"/>
        <v>0</v>
      </c>
      <c r="O29" s="9"/>
      <c r="P29" s="3">
        <v>0</v>
      </c>
      <c r="Q29" s="3"/>
      <c r="R29" s="26">
        <f t="shared" si="8"/>
        <v>0</v>
      </c>
      <c r="S29" s="3"/>
      <c r="T29" s="3"/>
      <c r="U29" s="3"/>
      <c r="V29" s="26">
        <f t="shared" si="9"/>
        <v>0</v>
      </c>
      <c r="W29" s="3"/>
      <c r="X29" s="3">
        <f t="shared" si="10"/>
        <v>0</v>
      </c>
      <c r="Y29" s="3"/>
      <c r="Z29" s="26">
        <f t="shared" si="11"/>
        <v>0</v>
      </c>
    </row>
    <row r="30" spans="1:26" s="70" customFormat="1" ht="15" hidden="1" customHeight="1" outlineLevel="1" x14ac:dyDescent="0.3">
      <c r="A30" s="48"/>
      <c r="B30" s="9" t="str">
        <f>CONCATENATE("          ","5002"," - ","PURCHASES @ COST-USED TEXT")</f>
        <v xml:space="preserve">          5002 - PURCHASES @ COST-USED TEXT</v>
      </c>
      <c r="C30" s="9"/>
      <c r="D30" s="3"/>
      <c r="E30" s="3"/>
      <c r="F30" s="26">
        <f t="shared" si="4"/>
        <v>0</v>
      </c>
      <c r="G30" s="3"/>
      <c r="H30" s="3"/>
      <c r="I30" s="3"/>
      <c r="J30" s="26">
        <f t="shared" si="5"/>
        <v>0</v>
      </c>
      <c r="K30" s="3"/>
      <c r="L30" s="3">
        <f t="shared" si="6"/>
        <v>0</v>
      </c>
      <c r="M30" s="3"/>
      <c r="N30" s="26">
        <f t="shared" si="7"/>
        <v>0</v>
      </c>
      <c r="O30" s="9"/>
      <c r="P30" s="3">
        <v>0</v>
      </c>
      <c r="Q30" s="3"/>
      <c r="R30" s="26">
        <f t="shared" si="8"/>
        <v>0</v>
      </c>
      <c r="S30" s="3"/>
      <c r="T30" s="3"/>
      <c r="U30" s="3"/>
      <c r="V30" s="26">
        <f t="shared" si="9"/>
        <v>0</v>
      </c>
      <c r="W30" s="3"/>
      <c r="X30" s="3">
        <f t="shared" si="10"/>
        <v>0</v>
      </c>
      <c r="Y30" s="3"/>
      <c r="Z30" s="26">
        <f t="shared" si="11"/>
        <v>0</v>
      </c>
    </row>
    <row r="31" spans="1:26" s="70" customFormat="1" ht="15" hidden="1" customHeight="1" outlineLevel="1" x14ac:dyDescent="0.3">
      <c r="A31" s="48"/>
      <c r="B31" s="9" t="str">
        <f>CONCATENATE("          ","5004"," - ","PURCHASES @ COST-DIGITAL TEXT")</f>
        <v xml:space="preserve">          5004 - PURCHASES @ COST-DIGITAL TEXT</v>
      </c>
      <c r="C31" s="9"/>
      <c r="D31" s="3"/>
      <c r="E31" s="3"/>
      <c r="F31" s="26">
        <f t="shared" si="4"/>
        <v>0</v>
      </c>
      <c r="G31" s="3"/>
      <c r="H31" s="3"/>
      <c r="I31" s="3"/>
      <c r="J31" s="26">
        <f t="shared" si="5"/>
        <v>0</v>
      </c>
      <c r="K31" s="3"/>
      <c r="L31" s="3">
        <f t="shared" si="6"/>
        <v>0</v>
      </c>
      <c r="M31" s="3"/>
      <c r="N31" s="26">
        <f t="shared" si="7"/>
        <v>0</v>
      </c>
      <c r="O31" s="9"/>
      <c r="P31" s="3">
        <v>0</v>
      </c>
      <c r="Q31" s="3"/>
      <c r="R31" s="26">
        <f t="shared" si="8"/>
        <v>0</v>
      </c>
      <c r="S31" s="3"/>
      <c r="T31" s="3"/>
      <c r="U31" s="3"/>
      <c r="V31" s="26">
        <f t="shared" si="9"/>
        <v>0</v>
      </c>
      <c r="W31" s="3"/>
      <c r="X31" s="3">
        <f t="shared" si="10"/>
        <v>0</v>
      </c>
      <c r="Y31" s="3"/>
      <c r="Z31" s="26">
        <f t="shared" si="11"/>
        <v>0</v>
      </c>
    </row>
    <row r="32" spans="1:26" s="70" customFormat="1" ht="15" hidden="1" customHeight="1" outlineLevel="1" x14ac:dyDescent="0.3">
      <c r="A32" s="48"/>
      <c r="B32" s="9" t="str">
        <f>CONCATENATE("          ","5026"," - ","PURCHASES @ COST-WRITING INSTR")</f>
        <v xml:space="preserve">          5026 - PURCHASES @ COST-WRITING INSTR</v>
      </c>
      <c r="C32" s="9"/>
      <c r="D32" s="3"/>
      <c r="E32" s="3"/>
      <c r="F32" s="26">
        <f t="shared" si="4"/>
        <v>0</v>
      </c>
      <c r="G32" s="3"/>
      <c r="H32" s="3"/>
      <c r="I32" s="3"/>
      <c r="J32" s="26">
        <f t="shared" si="5"/>
        <v>0</v>
      </c>
      <c r="K32" s="3"/>
      <c r="L32" s="3">
        <f t="shared" si="6"/>
        <v>0</v>
      </c>
      <c r="M32" s="3"/>
      <c r="N32" s="26">
        <f t="shared" si="7"/>
        <v>0</v>
      </c>
      <c r="O32" s="9"/>
      <c r="P32" s="3">
        <v>0</v>
      </c>
      <c r="Q32" s="3"/>
      <c r="R32" s="26">
        <f t="shared" si="8"/>
        <v>0</v>
      </c>
      <c r="S32" s="3"/>
      <c r="T32" s="3"/>
      <c r="U32" s="3"/>
      <c r="V32" s="26">
        <f t="shared" si="9"/>
        <v>0</v>
      </c>
      <c r="W32" s="3"/>
      <c r="X32" s="3">
        <f t="shared" si="10"/>
        <v>0</v>
      </c>
      <c r="Y32" s="3"/>
      <c r="Z32" s="26">
        <f t="shared" si="11"/>
        <v>0</v>
      </c>
    </row>
    <row r="33" spans="1:26" s="70" customFormat="1" ht="15" hidden="1" customHeight="1" outlineLevel="1" x14ac:dyDescent="0.3">
      <c r="A33" s="48"/>
      <c r="B33" s="9" t="str">
        <f>CONCATENATE("          ","5027"," - ","PURCHASES @ COST-SCHOOL SUPPLI")</f>
        <v xml:space="preserve">          5027 - PURCHASES @ COST-SCHOOL SUPPLI</v>
      </c>
      <c r="C33" s="9"/>
      <c r="D33" s="3"/>
      <c r="E33" s="3"/>
      <c r="F33" s="26">
        <f t="shared" si="4"/>
        <v>0</v>
      </c>
      <c r="G33" s="3"/>
      <c r="H33" s="3"/>
      <c r="I33" s="3"/>
      <c r="J33" s="26">
        <f t="shared" si="5"/>
        <v>0</v>
      </c>
      <c r="K33" s="3"/>
      <c r="L33" s="3">
        <f t="shared" si="6"/>
        <v>0</v>
      </c>
      <c r="M33" s="3"/>
      <c r="N33" s="26">
        <f t="shared" si="7"/>
        <v>0</v>
      </c>
      <c r="O33" s="9"/>
      <c r="P33" s="3">
        <v>0</v>
      </c>
      <c r="Q33" s="3"/>
      <c r="R33" s="26">
        <f t="shared" si="8"/>
        <v>0</v>
      </c>
      <c r="S33" s="3"/>
      <c r="T33" s="3"/>
      <c r="U33" s="3"/>
      <c r="V33" s="26">
        <f t="shared" si="9"/>
        <v>0</v>
      </c>
      <c r="W33" s="3"/>
      <c r="X33" s="3">
        <f t="shared" si="10"/>
        <v>0</v>
      </c>
      <c r="Y33" s="3"/>
      <c r="Z33" s="26">
        <f t="shared" si="11"/>
        <v>0</v>
      </c>
    </row>
    <row r="34" spans="1:26" s="70" customFormat="1" ht="15" hidden="1" customHeight="1" outlineLevel="1" x14ac:dyDescent="0.3">
      <c r="A34" s="48"/>
      <c r="B34" s="9" t="str">
        <f>CONCATENATE("          ","5028"," - ","PURCHASES @ COST-ART/TECH")</f>
        <v xml:space="preserve">          5028 - PURCHASES @ COST-ART/TECH</v>
      </c>
      <c r="C34" s="9"/>
      <c r="D34" s="3"/>
      <c r="E34" s="3"/>
      <c r="F34" s="26">
        <f t="shared" si="4"/>
        <v>0</v>
      </c>
      <c r="G34" s="3"/>
      <c r="H34" s="3"/>
      <c r="I34" s="3"/>
      <c r="J34" s="26">
        <f t="shared" si="5"/>
        <v>0</v>
      </c>
      <c r="K34" s="3"/>
      <c r="L34" s="3">
        <f t="shared" si="6"/>
        <v>0</v>
      </c>
      <c r="M34" s="3"/>
      <c r="N34" s="26">
        <f t="shared" si="7"/>
        <v>0</v>
      </c>
      <c r="O34" s="9"/>
      <c r="P34" s="3">
        <v>0</v>
      </c>
      <c r="Q34" s="3"/>
      <c r="R34" s="26">
        <f t="shared" si="8"/>
        <v>0</v>
      </c>
      <c r="S34" s="3"/>
      <c r="T34" s="3"/>
      <c r="U34" s="3"/>
      <c r="V34" s="26">
        <f t="shared" si="9"/>
        <v>0</v>
      </c>
      <c r="W34" s="3"/>
      <c r="X34" s="3">
        <f t="shared" si="10"/>
        <v>0</v>
      </c>
      <c r="Y34" s="3"/>
      <c r="Z34" s="26">
        <f t="shared" si="11"/>
        <v>0</v>
      </c>
    </row>
    <row r="35" spans="1:26" s="70" customFormat="1" ht="15" hidden="1" customHeight="1" outlineLevel="1" x14ac:dyDescent="0.3">
      <c r="A35" s="48"/>
      <c r="B35" s="9" t="str">
        <f>CONCATENATE("          ","5031"," - ","PURCHASES @ COST-FOOD")</f>
        <v xml:space="preserve">          5031 - PURCHASES @ COST-FOOD</v>
      </c>
      <c r="C35" s="9"/>
      <c r="D35" s="3"/>
      <c r="E35" s="3"/>
      <c r="F35" s="26">
        <f t="shared" si="4"/>
        <v>0</v>
      </c>
      <c r="G35" s="3"/>
      <c r="H35" s="3"/>
      <c r="I35" s="3"/>
      <c r="J35" s="26">
        <f t="shared" si="5"/>
        <v>0</v>
      </c>
      <c r="K35" s="3"/>
      <c r="L35" s="3">
        <f t="shared" si="6"/>
        <v>0</v>
      </c>
      <c r="M35" s="3"/>
      <c r="N35" s="26">
        <f t="shared" si="7"/>
        <v>0</v>
      </c>
      <c r="O35" s="9"/>
      <c r="P35" s="3">
        <v>0</v>
      </c>
      <c r="Q35" s="3"/>
      <c r="R35" s="26">
        <f t="shared" si="8"/>
        <v>0</v>
      </c>
      <c r="S35" s="3"/>
      <c r="T35" s="3"/>
      <c r="U35" s="3"/>
      <c r="V35" s="26">
        <f t="shared" si="9"/>
        <v>0</v>
      </c>
      <c r="W35" s="3"/>
      <c r="X35" s="3">
        <f t="shared" si="10"/>
        <v>0</v>
      </c>
      <c r="Y35" s="3"/>
      <c r="Z35" s="26">
        <f t="shared" si="11"/>
        <v>0</v>
      </c>
    </row>
    <row r="36" spans="1:26" s="70" customFormat="1" ht="15" hidden="1" customHeight="1" outlineLevel="1" x14ac:dyDescent="0.3">
      <c r="A36" s="48"/>
      <c r="B36" s="9" t="str">
        <f>CONCATENATE("          ","5040"," - ","PURCHASES @ COST-LOGO CLOTHING")</f>
        <v xml:space="preserve">          5040 - PURCHASES @ COST-LOGO CLOTHING</v>
      </c>
      <c r="C36" s="9"/>
      <c r="D36" s="3"/>
      <c r="E36" s="3"/>
      <c r="F36" s="26">
        <f t="shared" si="4"/>
        <v>0</v>
      </c>
      <c r="G36" s="3"/>
      <c r="H36" s="3"/>
      <c r="I36" s="3"/>
      <c r="J36" s="26">
        <f t="shared" si="5"/>
        <v>0</v>
      </c>
      <c r="K36" s="3"/>
      <c r="L36" s="3">
        <f t="shared" si="6"/>
        <v>0</v>
      </c>
      <c r="M36" s="3"/>
      <c r="N36" s="26">
        <f t="shared" si="7"/>
        <v>0</v>
      </c>
      <c r="O36" s="9"/>
      <c r="P36" s="3">
        <v>0</v>
      </c>
      <c r="Q36" s="3"/>
      <c r="R36" s="26">
        <f t="shared" si="8"/>
        <v>0</v>
      </c>
      <c r="S36" s="3"/>
      <c r="T36" s="3"/>
      <c r="U36" s="3"/>
      <c r="V36" s="26">
        <f t="shared" si="9"/>
        <v>0</v>
      </c>
      <c r="W36" s="3"/>
      <c r="X36" s="3">
        <f t="shared" si="10"/>
        <v>0</v>
      </c>
      <c r="Y36" s="3"/>
      <c r="Z36" s="26">
        <f t="shared" si="11"/>
        <v>0</v>
      </c>
    </row>
    <row r="37" spans="1:26" s="70" customFormat="1" ht="15" hidden="1" customHeight="1" outlineLevel="1" x14ac:dyDescent="0.3">
      <c r="A37" s="48"/>
      <c r="B37" s="9" t="str">
        <f>CONCATENATE("          ","5041"," - ","PURCHASES @ COST-LOGO GIFTS")</f>
        <v xml:space="preserve">          5041 - PURCHASES @ COST-LOGO GIFTS</v>
      </c>
      <c r="C37" s="9"/>
      <c r="D37" s="3"/>
      <c r="E37" s="3"/>
      <c r="F37" s="26">
        <f t="shared" si="4"/>
        <v>0</v>
      </c>
      <c r="G37" s="3"/>
      <c r="H37" s="3"/>
      <c r="I37" s="3"/>
      <c r="J37" s="26">
        <f t="shared" si="5"/>
        <v>0</v>
      </c>
      <c r="K37" s="3"/>
      <c r="L37" s="3">
        <f t="shared" si="6"/>
        <v>0</v>
      </c>
      <c r="M37" s="3"/>
      <c r="N37" s="26">
        <f t="shared" si="7"/>
        <v>0</v>
      </c>
      <c r="O37" s="9"/>
      <c r="P37" s="3">
        <v>0</v>
      </c>
      <c r="Q37" s="3"/>
      <c r="R37" s="26">
        <f t="shared" si="8"/>
        <v>0</v>
      </c>
      <c r="S37" s="3"/>
      <c r="T37" s="3"/>
      <c r="U37" s="3"/>
      <c r="V37" s="26">
        <f t="shared" si="9"/>
        <v>0</v>
      </c>
      <c r="W37" s="3"/>
      <c r="X37" s="3">
        <f t="shared" si="10"/>
        <v>0</v>
      </c>
      <c r="Y37" s="3"/>
      <c r="Z37" s="26">
        <f t="shared" si="11"/>
        <v>0</v>
      </c>
    </row>
    <row r="38" spans="1:26" s="70" customFormat="1" ht="15" hidden="1" customHeight="1" outlineLevel="1" x14ac:dyDescent="0.3">
      <c r="A38" s="48"/>
      <c r="B38" s="9" t="str">
        <f>CONCATENATE("          ","5042"," - ","PURCHASES @ COST-EVERYDAY GIFT")</f>
        <v xml:space="preserve">          5042 - PURCHASES @ COST-EVERYDAY GIFT</v>
      </c>
      <c r="C38" s="9"/>
      <c r="D38" s="3"/>
      <c r="E38" s="3"/>
      <c r="F38" s="26">
        <f t="shared" si="4"/>
        <v>0</v>
      </c>
      <c r="G38" s="3"/>
      <c r="H38" s="3"/>
      <c r="I38" s="3"/>
      <c r="J38" s="26">
        <f t="shared" si="5"/>
        <v>0</v>
      </c>
      <c r="K38" s="3"/>
      <c r="L38" s="3">
        <f t="shared" si="6"/>
        <v>0</v>
      </c>
      <c r="M38" s="3"/>
      <c r="N38" s="26">
        <f t="shared" si="7"/>
        <v>0</v>
      </c>
      <c r="O38" s="9"/>
      <c r="P38" s="3">
        <v>0</v>
      </c>
      <c r="Q38" s="3"/>
      <c r="R38" s="26">
        <f t="shared" si="8"/>
        <v>0</v>
      </c>
      <c r="S38" s="3"/>
      <c r="T38" s="3"/>
      <c r="U38" s="3"/>
      <c r="V38" s="26">
        <f t="shared" si="9"/>
        <v>0</v>
      </c>
      <c r="W38" s="3"/>
      <c r="X38" s="3">
        <f t="shared" si="10"/>
        <v>0</v>
      </c>
      <c r="Y38" s="3"/>
      <c r="Z38" s="26">
        <f t="shared" si="11"/>
        <v>0</v>
      </c>
    </row>
    <row r="39" spans="1:26" s="70" customFormat="1" ht="15" hidden="1" customHeight="1" outlineLevel="1" x14ac:dyDescent="0.3">
      <c r="A39" s="48"/>
      <c r="B39" s="9" t="str">
        <f>CONCATENATE("          ","5043"," - ","PURCHASES @ COST-CARDS")</f>
        <v xml:space="preserve">          5043 - PURCHASES @ COST-CARDS</v>
      </c>
      <c r="C39" s="9"/>
      <c r="D39" s="3"/>
      <c r="E39" s="3"/>
      <c r="F39" s="26">
        <f t="shared" si="4"/>
        <v>0</v>
      </c>
      <c r="G39" s="3"/>
      <c r="H39" s="3"/>
      <c r="I39" s="3"/>
      <c r="J39" s="26">
        <f t="shared" si="5"/>
        <v>0</v>
      </c>
      <c r="K39" s="3"/>
      <c r="L39" s="3">
        <f t="shared" si="6"/>
        <v>0</v>
      </c>
      <c r="M39" s="3"/>
      <c r="N39" s="26">
        <f t="shared" si="7"/>
        <v>0</v>
      </c>
      <c r="O39" s="9"/>
      <c r="P39" s="3">
        <v>0</v>
      </c>
      <c r="Q39" s="3"/>
      <c r="R39" s="26">
        <f t="shared" si="8"/>
        <v>0</v>
      </c>
      <c r="S39" s="3"/>
      <c r="T39" s="3"/>
      <c r="U39" s="3"/>
      <c r="V39" s="26">
        <f t="shared" si="9"/>
        <v>0</v>
      </c>
      <c r="W39" s="3"/>
      <c r="X39" s="3">
        <f t="shared" si="10"/>
        <v>0</v>
      </c>
      <c r="Y39" s="3"/>
      <c r="Z39" s="26">
        <f t="shared" si="11"/>
        <v>0</v>
      </c>
    </row>
    <row r="40" spans="1:26" s="70" customFormat="1" ht="15" hidden="1" customHeight="1" outlineLevel="1" x14ac:dyDescent="0.3">
      <c r="A40" s="48"/>
      <c r="B40" s="9" t="str">
        <f>CONCATENATE("          ","5044"," - ","PURCHASES @ COST-ACCESSORIES")</f>
        <v xml:space="preserve">          5044 - PURCHASES @ COST-ACCESSORIES</v>
      </c>
      <c r="C40" s="9"/>
      <c r="D40" s="3"/>
      <c r="E40" s="3"/>
      <c r="F40" s="26">
        <f t="shared" si="4"/>
        <v>0</v>
      </c>
      <c r="G40" s="3"/>
      <c r="H40" s="3"/>
      <c r="I40" s="3"/>
      <c r="J40" s="26">
        <f t="shared" si="5"/>
        <v>0</v>
      </c>
      <c r="K40" s="3"/>
      <c r="L40" s="3">
        <f t="shared" si="6"/>
        <v>0</v>
      </c>
      <c r="M40" s="3"/>
      <c r="N40" s="26">
        <f t="shared" si="7"/>
        <v>0</v>
      </c>
      <c r="O40" s="9"/>
      <c r="P40" s="3">
        <v>0</v>
      </c>
      <c r="Q40" s="3"/>
      <c r="R40" s="26">
        <f t="shared" si="8"/>
        <v>0</v>
      </c>
      <c r="S40" s="3"/>
      <c r="T40" s="3"/>
      <c r="U40" s="3"/>
      <c r="V40" s="26">
        <f t="shared" si="9"/>
        <v>0</v>
      </c>
      <c r="W40" s="3"/>
      <c r="X40" s="3">
        <f t="shared" si="10"/>
        <v>0</v>
      </c>
      <c r="Y40" s="3"/>
      <c r="Z40" s="26">
        <f t="shared" si="11"/>
        <v>0</v>
      </c>
    </row>
    <row r="41" spans="1:26" s="70" customFormat="1" ht="15" hidden="1" customHeight="1" outlineLevel="1" x14ac:dyDescent="0.3">
      <c r="A41" s="48"/>
      <c r="B41" s="9" t="str">
        <f>CONCATENATE("          ","5045"," - ","PURCHASES @ COST-SPECIAL ORDER")</f>
        <v xml:space="preserve">          5045 - PURCHASES @ COST-SPECIAL ORDER</v>
      </c>
      <c r="C41" s="9"/>
      <c r="D41" s="3"/>
      <c r="E41" s="3"/>
      <c r="F41" s="26">
        <f t="shared" si="4"/>
        <v>0</v>
      </c>
      <c r="G41" s="3"/>
      <c r="H41" s="3"/>
      <c r="I41" s="3"/>
      <c r="J41" s="26">
        <f t="shared" si="5"/>
        <v>0</v>
      </c>
      <c r="K41" s="3"/>
      <c r="L41" s="3">
        <f t="shared" si="6"/>
        <v>0</v>
      </c>
      <c r="M41" s="3"/>
      <c r="N41" s="26">
        <f t="shared" si="7"/>
        <v>0</v>
      </c>
      <c r="O41" s="9"/>
      <c r="P41" s="3">
        <v>0</v>
      </c>
      <c r="Q41" s="3"/>
      <c r="R41" s="26">
        <f t="shared" si="8"/>
        <v>0</v>
      </c>
      <c r="S41" s="3"/>
      <c r="T41" s="3"/>
      <c r="U41" s="3"/>
      <c r="V41" s="26">
        <f t="shared" si="9"/>
        <v>0</v>
      </c>
      <c r="W41" s="3"/>
      <c r="X41" s="3">
        <f t="shared" si="10"/>
        <v>0</v>
      </c>
      <c r="Y41" s="3"/>
      <c r="Z41" s="26">
        <f t="shared" si="11"/>
        <v>0</v>
      </c>
    </row>
    <row r="42" spans="1:26" s="70" customFormat="1" ht="15" hidden="1" customHeight="1" outlineLevel="1" x14ac:dyDescent="0.3">
      <c r="A42" s="48"/>
      <c r="B42" s="9" t="str">
        <f>CONCATENATE("          ","5053"," - ","PURCHASES @ COST-FOOD")</f>
        <v xml:space="preserve">          5053 - PURCHASES @ COST-FOOD</v>
      </c>
      <c r="C42" s="9"/>
      <c r="D42" s="3">
        <v>87026.34</v>
      </c>
      <c r="E42" s="3"/>
      <c r="F42" s="26">
        <f t="shared" si="4"/>
        <v>9.2413778661528861E-2</v>
      </c>
      <c r="G42" s="3"/>
      <c r="H42" s="3"/>
      <c r="I42" s="3"/>
      <c r="J42" s="26">
        <f t="shared" si="5"/>
        <v>0</v>
      </c>
      <c r="K42" s="3"/>
      <c r="L42" s="3">
        <f t="shared" si="6"/>
        <v>87026.34</v>
      </c>
      <c r="M42" s="3"/>
      <c r="N42" s="26">
        <f t="shared" si="7"/>
        <v>0</v>
      </c>
      <c r="O42" s="9"/>
      <c r="P42" s="3">
        <v>3417019.48</v>
      </c>
      <c r="Q42" s="3"/>
      <c r="R42" s="26">
        <f t="shared" si="8"/>
        <v>0.13664658235425178</v>
      </c>
      <c r="S42" s="3"/>
      <c r="T42" s="3"/>
      <c r="U42" s="3"/>
      <c r="V42" s="26">
        <f t="shared" si="9"/>
        <v>0</v>
      </c>
      <c r="W42" s="3"/>
      <c r="X42" s="3">
        <f t="shared" si="10"/>
        <v>3417019.48</v>
      </c>
      <c r="Y42" s="3"/>
      <c r="Z42" s="26">
        <f t="shared" si="11"/>
        <v>0</v>
      </c>
    </row>
    <row r="43" spans="1:26" s="70" customFormat="1" ht="15" hidden="1" customHeight="1" outlineLevel="1" x14ac:dyDescent="0.3">
      <c r="A43" s="48"/>
      <c r="B43" s="9" t="str">
        <f>CONCATENATE("          ","5059"," - ","PURCHASES @ COST-FOOD")</f>
        <v xml:space="preserve">          5059 - PURCHASES @ COST-FOOD</v>
      </c>
      <c r="C43" s="9"/>
      <c r="D43" s="3">
        <v>23083.84</v>
      </c>
      <c r="E43" s="3"/>
      <c r="F43" s="26">
        <f t="shared" si="4"/>
        <v>2.4512864500772367E-2</v>
      </c>
      <c r="G43" s="3"/>
      <c r="H43" s="3"/>
      <c r="I43" s="3"/>
      <c r="J43" s="26">
        <f t="shared" si="5"/>
        <v>0</v>
      </c>
      <c r="K43" s="3"/>
      <c r="L43" s="3">
        <f t="shared" si="6"/>
        <v>23083.84</v>
      </c>
      <c r="M43" s="3"/>
      <c r="N43" s="26">
        <f t="shared" si="7"/>
        <v>0</v>
      </c>
      <c r="O43" s="9"/>
      <c r="P43" s="3">
        <v>277819.13</v>
      </c>
      <c r="Q43" s="3"/>
      <c r="R43" s="26">
        <f t="shared" si="8"/>
        <v>1.1109984841857438E-2</v>
      </c>
      <c r="S43" s="3"/>
      <c r="T43" s="3"/>
      <c r="U43" s="3"/>
      <c r="V43" s="26">
        <f t="shared" si="9"/>
        <v>0</v>
      </c>
      <c r="W43" s="3"/>
      <c r="X43" s="3">
        <f t="shared" si="10"/>
        <v>277819.13</v>
      </c>
      <c r="Y43" s="3"/>
      <c r="Z43" s="26">
        <f t="shared" si="11"/>
        <v>0</v>
      </c>
    </row>
    <row r="44" spans="1:26" s="70" customFormat="1" ht="15" hidden="1" customHeight="1" outlineLevel="1" x14ac:dyDescent="0.3">
      <c r="A44" s="48"/>
      <c r="B44" s="9" t="str">
        <f>CONCATENATE("          ","5081"," - ","PURCHASES @ COST-ELECTRONICS")</f>
        <v xml:space="preserve">          5081 - PURCHASES @ COST-ELECTRONICS</v>
      </c>
      <c r="C44" s="9"/>
      <c r="D44" s="3"/>
      <c r="E44" s="3"/>
      <c r="F44" s="26">
        <f t="shared" si="4"/>
        <v>0</v>
      </c>
      <c r="G44" s="3"/>
      <c r="H44" s="3"/>
      <c r="I44" s="3"/>
      <c r="J44" s="26">
        <f t="shared" si="5"/>
        <v>0</v>
      </c>
      <c r="K44" s="3"/>
      <c r="L44" s="3">
        <f t="shared" si="6"/>
        <v>0</v>
      </c>
      <c r="M44" s="3"/>
      <c r="N44" s="26">
        <f t="shared" si="7"/>
        <v>0</v>
      </c>
      <c r="O44" s="9"/>
      <c r="P44" s="3">
        <v>0</v>
      </c>
      <c r="Q44" s="3"/>
      <c r="R44" s="26">
        <f t="shared" si="8"/>
        <v>0</v>
      </c>
      <c r="S44" s="3"/>
      <c r="T44" s="3"/>
      <c r="U44" s="3"/>
      <c r="V44" s="26">
        <f t="shared" si="9"/>
        <v>0</v>
      </c>
      <c r="W44" s="3"/>
      <c r="X44" s="3">
        <f t="shared" si="10"/>
        <v>0</v>
      </c>
      <c r="Y44" s="3"/>
      <c r="Z44" s="26">
        <f t="shared" si="11"/>
        <v>0</v>
      </c>
    </row>
    <row r="45" spans="1:26" s="70" customFormat="1" ht="15" hidden="1" customHeight="1" outlineLevel="1" x14ac:dyDescent="0.3">
      <c r="A45" s="48"/>
      <c r="B45" s="9" t="str">
        <f>CONCATENATE("          ","5082"," - ","PURCHASES @ COST-COMPUTER HARD")</f>
        <v xml:space="preserve">          5082 - PURCHASES @ COST-COMPUTER HARD</v>
      </c>
      <c r="C45" s="9"/>
      <c r="D45" s="3">
        <v>-29693.58</v>
      </c>
      <c r="E45" s="3"/>
      <c r="F45" s="26">
        <f t="shared" si="4"/>
        <v>-3.1531786006264315E-2</v>
      </c>
      <c r="G45" s="3"/>
      <c r="H45" s="3"/>
      <c r="I45" s="3"/>
      <c r="J45" s="26">
        <f t="shared" si="5"/>
        <v>0</v>
      </c>
      <c r="K45" s="3"/>
      <c r="L45" s="3">
        <f t="shared" si="6"/>
        <v>-29693.58</v>
      </c>
      <c r="M45" s="3"/>
      <c r="N45" s="26">
        <f t="shared" si="7"/>
        <v>0</v>
      </c>
      <c r="O45" s="9"/>
      <c r="P45" s="3">
        <v>-150076.54999999999</v>
      </c>
      <c r="Q45" s="3"/>
      <c r="R45" s="26">
        <f t="shared" si="8"/>
        <v>-6.0015600639821299E-3</v>
      </c>
      <c r="S45" s="3"/>
      <c r="T45" s="3"/>
      <c r="U45" s="3"/>
      <c r="V45" s="26">
        <f t="shared" si="9"/>
        <v>0</v>
      </c>
      <c r="W45" s="3"/>
      <c r="X45" s="3">
        <f t="shared" si="10"/>
        <v>-150076.54999999999</v>
      </c>
      <c r="Y45" s="3"/>
      <c r="Z45" s="26">
        <f t="shared" si="11"/>
        <v>0</v>
      </c>
    </row>
    <row r="46" spans="1:26" s="70" customFormat="1" ht="15" hidden="1" customHeight="1" outlineLevel="1" x14ac:dyDescent="0.3">
      <c r="A46" s="48"/>
      <c r="B46" s="9" t="str">
        <f>CONCATENATE("          ","5083"," - ","PURCHASES @ COST-COMPUTER EQUI")</f>
        <v xml:space="preserve">          5083 - PURCHASES @ COST-COMPUTER EQUI</v>
      </c>
      <c r="C46" s="9"/>
      <c r="D46" s="3"/>
      <c r="E46" s="3"/>
      <c r="F46" s="26">
        <f t="shared" si="4"/>
        <v>0</v>
      </c>
      <c r="G46" s="3"/>
      <c r="H46" s="3"/>
      <c r="I46" s="3"/>
      <c r="J46" s="26">
        <f t="shared" si="5"/>
        <v>0</v>
      </c>
      <c r="K46" s="3"/>
      <c r="L46" s="3">
        <f t="shared" si="6"/>
        <v>0</v>
      </c>
      <c r="M46" s="3"/>
      <c r="N46" s="26">
        <f t="shared" si="7"/>
        <v>0</v>
      </c>
      <c r="O46" s="9"/>
      <c r="P46" s="3">
        <v>0</v>
      </c>
      <c r="Q46" s="3"/>
      <c r="R46" s="26">
        <f t="shared" si="8"/>
        <v>0</v>
      </c>
      <c r="S46" s="3"/>
      <c r="T46" s="3"/>
      <c r="U46" s="3"/>
      <c r="V46" s="26">
        <f t="shared" si="9"/>
        <v>0</v>
      </c>
      <c r="W46" s="3"/>
      <c r="X46" s="3">
        <f t="shared" si="10"/>
        <v>0</v>
      </c>
      <c r="Y46" s="3"/>
      <c r="Z46" s="26">
        <f t="shared" si="11"/>
        <v>0</v>
      </c>
    </row>
    <row r="47" spans="1:26" s="70" customFormat="1" ht="15" hidden="1" customHeight="1" outlineLevel="1" x14ac:dyDescent="0.3">
      <c r="A47" s="48"/>
      <c r="B47" s="9" t="str">
        <f>CONCATENATE("          ","5085"," - ","PURCHASES @ COST-SOFTWARE")</f>
        <v xml:space="preserve">          5085 - PURCHASES @ COST-SOFTWARE</v>
      </c>
      <c r="C47" s="9"/>
      <c r="D47" s="3"/>
      <c r="E47" s="3"/>
      <c r="F47" s="26">
        <f t="shared" si="4"/>
        <v>0</v>
      </c>
      <c r="G47" s="3"/>
      <c r="H47" s="3"/>
      <c r="I47" s="3"/>
      <c r="J47" s="26">
        <f t="shared" si="5"/>
        <v>0</v>
      </c>
      <c r="K47" s="3"/>
      <c r="L47" s="3">
        <f t="shared" si="6"/>
        <v>0</v>
      </c>
      <c r="M47" s="3"/>
      <c r="N47" s="26">
        <f t="shared" si="7"/>
        <v>0</v>
      </c>
      <c r="O47" s="9"/>
      <c r="P47" s="3">
        <v>0</v>
      </c>
      <c r="Q47" s="3"/>
      <c r="R47" s="26">
        <f t="shared" si="8"/>
        <v>0</v>
      </c>
      <c r="S47" s="3"/>
      <c r="T47" s="3"/>
      <c r="U47" s="3"/>
      <c r="V47" s="26">
        <f t="shared" si="9"/>
        <v>0</v>
      </c>
      <c r="W47" s="3"/>
      <c r="X47" s="3">
        <f t="shared" si="10"/>
        <v>0</v>
      </c>
      <c r="Y47" s="3"/>
      <c r="Z47" s="26">
        <f t="shared" si="11"/>
        <v>0</v>
      </c>
    </row>
    <row r="48" spans="1:26" s="70" customFormat="1" ht="15" hidden="1" customHeight="1" outlineLevel="1" x14ac:dyDescent="0.3">
      <c r="A48" s="48"/>
      <c r="B48" s="9" t="str">
        <f>CONCATENATE("          ","5086"," - ","PURCHASES @ COST-COMPUTER SUPP")</f>
        <v xml:space="preserve">          5086 - PURCHASES @ COST-COMPUTER SUPP</v>
      </c>
      <c r="C48" s="9"/>
      <c r="D48" s="3"/>
      <c r="E48" s="3"/>
      <c r="F48" s="26">
        <f t="shared" si="4"/>
        <v>0</v>
      </c>
      <c r="G48" s="3"/>
      <c r="H48" s="3"/>
      <c r="I48" s="3"/>
      <c r="J48" s="26">
        <f t="shared" si="5"/>
        <v>0</v>
      </c>
      <c r="K48" s="3"/>
      <c r="L48" s="3">
        <f t="shared" si="6"/>
        <v>0</v>
      </c>
      <c r="M48" s="3"/>
      <c r="N48" s="26">
        <f t="shared" si="7"/>
        <v>0</v>
      </c>
      <c r="O48" s="9"/>
      <c r="P48" s="3">
        <v>0</v>
      </c>
      <c r="Q48" s="3"/>
      <c r="R48" s="26">
        <f t="shared" si="8"/>
        <v>0</v>
      </c>
      <c r="S48" s="3"/>
      <c r="T48" s="3"/>
      <c r="U48" s="3"/>
      <c r="V48" s="26">
        <f t="shared" si="9"/>
        <v>0</v>
      </c>
      <c r="W48" s="3"/>
      <c r="X48" s="3">
        <f t="shared" si="10"/>
        <v>0</v>
      </c>
      <c r="Y48" s="3"/>
      <c r="Z48" s="26">
        <f t="shared" si="11"/>
        <v>0</v>
      </c>
    </row>
    <row r="49" spans="1:26" s="70" customFormat="1" ht="15" hidden="1" customHeight="1" outlineLevel="1" x14ac:dyDescent="0.3">
      <c r="A49" s="48"/>
      <c r="B49" s="9" t="str">
        <f>CONCATENATE("          ","5200"," - ","PURCHASES OFFSET")</f>
        <v xml:space="preserve">          5200 - PURCHASES OFFSET</v>
      </c>
      <c r="C49" s="9"/>
      <c r="D49" s="3">
        <v>-576187.54</v>
      </c>
      <c r="E49" s="3"/>
      <c r="F49" s="26">
        <f t="shared" si="4"/>
        <v>-0.61185691354009386</v>
      </c>
      <c r="G49" s="3"/>
      <c r="H49" s="3"/>
      <c r="I49" s="3"/>
      <c r="J49" s="26">
        <f t="shared" si="5"/>
        <v>0</v>
      </c>
      <c r="K49" s="3"/>
      <c r="L49" s="3">
        <f t="shared" si="6"/>
        <v>-576187.54</v>
      </c>
      <c r="M49" s="3"/>
      <c r="N49" s="26">
        <f t="shared" si="7"/>
        <v>0</v>
      </c>
      <c r="O49" s="9"/>
      <c r="P49" s="3">
        <v>-6731645.8200000003</v>
      </c>
      <c r="Q49" s="3"/>
      <c r="R49" s="26">
        <f t="shared" si="8"/>
        <v>-0.26919846383851603</v>
      </c>
      <c r="S49" s="3"/>
      <c r="T49" s="3"/>
      <c r="U49" s="3"/>
      <c r="V49" s="26">
        <f t="shared" si="9"/>
        <v>0</v>
      </c>
      <c r="W49" s="3"/>
      <c r="X49" s="3">
        <f t="shared" si="10"/>
        <v>-6731645.8200000003</v>
      </c>
      <c r="Y49" s="3"/>
      <c r="Z49" s="26">
        <f t="shared" si="11"/>
        <v>0</v>
      </c>
    </row>
    <row r="50" spans="1:26" s="70" customFormat="1" ht="15" hidden="1" customHeight="1" outlineLevel="1" x14ac:dyDescent="0.3">
      <c r="A50" s="48"/>
      <c r="B50" s="9" t="str">
        <f>CONCATENATE("          ","5300"," - ","COG$ OFFSET")</f>
        <v xml:space="preserve">          5300 - COG$ OFFSET</v>
      </c>
      <c r="C50" s="9"/>
      <c r="D50" s="3">
        <v>530332.74</v>
      </c>
      <c r="E50" s="3"/>
      <c r="F50" s="26">
        <f t="shared" si="4"/>
        <v>0.56316343363770249</v>
      </c>
      <c r="G50" s="3"/>
      <c r="H50" s="3"/>
      <c r="I50" s="3"/>
      <c r="J50" s="26">
        <f t="shared" si="5"/>
        <v>0</v>
      </c>
      <c r="K50" s="3"/>
      <c r="L50" s="3">
        <f t="shared" si="6"/>
        <v>530332.74</v>
      </c>
      <c r="M50" s="3"/>
      <c r="N50" s="26">
        <f t="shared" si="7"/>
        <v>0</v>
      </c>
      <c r="O50" s="9"/>
      <c r="P50" s="3">
        <v>6531852.4299999997</v>
      </c>
      <c r="Q50" s="3"/>
      <c r="R50" s="26">
        <f t="shared" si="8"/>
        <v>0.26120872773069898</v>
      </c>
      <c r="S50" s="3"/>
      <c r="T50" s="3"/>
      <c r="U50" s="3"/>
      <c r="V50" s="26">
        <f t="shared" si="9"/>
        <v>0</v>
      </c>
      <c r="W50" s="3"/>
      <c r="X50" s="3">
        <f t="shared" si="10"/>
        <v>6531852.4299999997</v>
      </c>
      <c r="Y50" s="3"/>
      <c r="Z50" s="26">
        <f t="shared" si="11"/>
        <v>0</v>
      </c>
    </row>
    <row r="51" spans="1:26" s="70" customFormat="1" ht="15" hidden="1" customHeight="1" outlineLevel="1" x14ac:dyDescent="0.3">
      <c r="A51" s="48"/>
      <c r="B51" s="9" t="str">
        <f>CONCATENATE("          ","5500"," - ","FREIGHT-IN")</f>
        <v xml:space="preserve">          5500 - FREIGHT-IN</v>
      </c>
      <c r="C51" s="9"/>
      <c r="D51" s="3">
        <v>9234.56</v>
      </c>
      <c r="E51" s="3"/>
      <c r="F51" s="26">
        <f t="shared" si="4"/>
        <v>9.8062331918888912E-3</v>
      </c>
      <c r="G51" s="3"/>
      <c r="H51" s="3"/>
      <c r="I51" s="3"/>
      <c r="J51" s="26">
        <f t="shared" si="5"/>
        <v>0</v>
      </c>
      <c r="K51" s="3"/>
      <c r="L51" s="3">
        <f t="shared" si="6"/>
        <v>9234.56</v>
      </c>
      <c r="M51" s="3"/>
      <c r="N51" s="26">
        <f t="shared" si="7"/>
        <v>0</v>
      </c>
      <c r="O51" s="9"/>
      <c r="P51" s="3">
        <v>204612.84</v>
      </c>
      <c r="Q51" s="3"/>
      <c r="R51" s="26">
        <f t="shared" si="8"/>
        <v>8.1824658757278564E-3</v>
      </c>
      <c r="S51" s="3"/>
      <c r="T51" s="3"/>
      <c r="U51" s="3"/>
      <c r="V51" s="26">
        <f t="shared" si="9"/>
        <v>0</v>
      </c>
      <c r="W51" s="3"/>
      <c r="X51" s="3">
        <f t="shared" si="10"/>
        <v>204612.84</v>
      </c>
      <c r="Y51" s="3"/>
      <c r="Z51" s="26">
        <f t="shared" si="11"/>
        <v>0</v>
      </c>
    </row>
    <row r="52" spans="1:26" s="70" customFormat="1" ht="15" hidden="1" customHeight="1" outlineLevel="1" x14ac:dyDescent="0.3">
      <c r="A52" s="48"/>
      <c r="B52" s="9" t="str">
        <f>CONCATENATE("          ","5501"," - ","FREIGHT-IN-NEW TEXT")</f>
        <v xml:space="preserve">          5501 - FREIGHT-IN-NEW TEXT</v>
      </c>
      <c r="C52" s="9"/>
      <c r="D52" s="3"/>
      <c r="E52" s="3"/>
      <c r="F52" s="26">
        <f t="shared" si="4"/>
        <v>0</v>
      </c>
      <c r="G52" s="3"/>
      <c r="H52" s="3"/>
      <c r="I52" s="3"/>
      <c r="J52" s="26">
        <f t="shared" si="5"/>
        <v>0</v>
      </c>
      <c r="K52" s="3"/>
      <c r="L52" s="3">
        <f t="shared" si="6"/>
        <v>0</v>
      </c>
      <c r="M52" s="3"/>
      <c r="N52" s="26">
        <f t="shared" si="7"/>
        <v>0</v>
      </c>
      <c r="O52" s="9"/>
      <c r="P52" s="3">
        <v>0</v>
      </c>
      <c r="Q52" s="3"/>
      <c r="R52" s="26">
        <f t="shared" si="8"/>
        <v>0</v>
      </c>
      <c r="S52" s="3"/>
      <c r="T52" s="3"/>
      <c r="U52" s="3"/>
      <c r="V52" s="26">
        <f t="shared" si="9"/>
        <v>0</v>
      </c>
      <c r="W52" s="3"/>
      <c r="X52" s="3">
        <f t="shared" si="10"/>
        <v>0</v>
      </c>
      <c r="Y52" s="3"/>
      <c r="Z52" s="26">
        <f t="shared" si="11"/>
        <v>0</v>
      </c>
    </row>
    <row r="53" spans="1:26" s="70" customFormat="1" ht="15" hidden="1" customHeight="1" outlineLevel="1" x14ac:dyDescent="0.3">
      <c r="A53" s="48"/>
      <c r="B53" s="9" t="str">
        <f>CONCATENATE("          ","5502"," - ","FREIGHT-IN-USED TEXT")</f>
        <v xml:space="preserve">          5502 - FREIGHT-IN-USED TEXT</v>
      </c>
      <c r="C53" s="9"/>
      <c r="D53" s="3"/>
      <c r="E53" s="3"/>
      <c r="F53" s="26">
        <f t="shared" si="4"/>
        <v>0</v>
      </c>
      <c r="G53" s="3"/>
      <c r="H53" s="3"/>
      <c r="I53" s="3"/>
      <c r="J53" s="26">
        <f t="shared" si="5"/>
        <v>0</v>
      </c>
      <c r="K53" s="3"/>
      <c r="L53" s="3">
        <f t="shared" si="6"/>
        <v>0</v>
      </c>
      <c r="M53" s="3"/>
      <c r="N53" s="26">
        <f t="shared" si="7"/>
        <v>0</v>
      </c>
      <c r="O53" s="9"/>
      <c r="P53" s="3">
        <v>0</v>
      </c>
      <c r="Q53" s="3"/>
      <c r="R53" s="26">
        <f t="shared" si="8"/>
        <v>0</v>
      </c>
      <c r="S53" s="3"/>
      <c r="T53" s="3"/>
      <c r="U53" s="3"/>
      <c r="V53" s="26">
        <f t="shared" si="9"/>
        <v>0</v>
      </c>
      <c r="W53" s="3"/>
      <c r="X53" s="3">
        <f t="shared" si="10"/>
        <v>0</v>
      </c>
      <c r="Y53" s="3"/>
      <c r="Z53" s="26">
        <f t="shared" si="11"/>
        <v>0</v>
      </c>
    </row>
    <row r="54" spans="1:26" s="70" customFormat="1" ht="15" hidden="1" customHeight="1" outlineLevel="1" x14ac:dyDescent="0.3">
      <c r="A54" s="48"/>
      <c r="B54" s="9" t="str">
        <f>CONCATENATE("          ","5518"," - ","FREIGHT-IN-STUDY GUIDES")</f>
        <v xml:space="preserve">          5518 - FREIGHT-IN-STUDY GUIDES</v>
      </c>
      <c r="C54" s="9"/>
      <c r="D54" s="3"/>
      <c r="E54" s="3"/>
      <c r="F54" s="26">
        <f t="shared" si="4"/>
        <v>0</v>
      </c>
      <c r="G54" s="3"/>
      <c r="H54" s="3"/>
      <c r="I54" s="3"/>
      <c r="J54" s="26">
        <f t="shared" si="5"/>
        <v>0</v>
      </c>
      <c r="K54" s="3"/>
      <c r="L54" s="3">
        <f t="shared" si="6"/>
        <v>0</v>
      </c>
      <c r="M54" s="3"/>
      <c r="N54" s="26">
        <f t="shared" si="7"/>
        <v>0</v>
      </c>
      <c r="O54" s="9"/>
      <c r="P54" s="3">
        <v>0</v>
      </c>
      <c r="Q54" s="3"/>
      <c r="R54" s="26">
        <f t="shared" si="8"/>
        <v>0</v>
      </c>
      <c r="S54" s="3"/>
      <c r="T54" s="3"/>
      <c r="U54" s="3"/>
      <c r="V54" s="26">
        <f t="shared" si="9"/>
        <v>0</v>
      </c>
      <c r="W54" s="3"/>
      <c r="X54" s="3">
        <f t="shared" si="10"/>
        <v>0</v>
      </c>
      <c r="Y54" s="3"/>
      <c r="Z54" s="26">
        <f t="shared" si="11"/>
        <v>0</v>
      </c>
    </row>
    <row r="55" spans="1:26" s="70" customFormat="1" ht="15" hidden="1" customHeight="1" outlineLevel="1" x14ac:dyDescent="0.3">
      <c r="A55" s="48"/>
      <c r="B55" s="9" t="str">
        <f>CONCATENATE("          ","5527"," - ","FREIGHT-IN-SCHOOL SUPPLIES")</f>
        <v xml:space="preserve">          5527 - FREIGHT-IN-SCHOOL SUPPLIES</v>
      </c>
      <c r="C55" s="9"/>
      <c r="D55" s="3"/>
      <c r="E55" s="3"/>
      <c r="F55" s="26">
        <f t="shared" si="4"/>
        <v>0</v>
      </c>
      <c r="G55" s="3"/>
      <c r="H55" s="3"/>
      <c r="I55" s="3"/>
      <c r="J55" s="26">
        <f t="shared" si="5"/>
        <v>0</v>
      </c>
      <c r="K55" s="3"/>
      <c r="L55" s="3">
        <f t="shared" si="6"/>
        <v>0</v>
      </c>
      <c r="M55" s="3"/>
      <c r="N55" s="26">
        <f t="shared" si="7"/>
        <v>0</v>
      </c>
      <c r="O55" s="9"/>
      <c r="P55" s="3">
        <v>0</v>
      </c>
      <c r="Q55" s="3"/>
      <c r="R55" s="26">
        <f t="shared" si="8"/>
        <v>0</v>
      </c>
      <c r="S55" s="3"/>
      <c r="T55" s="3"/>
      <c r="U55" s="3"/>
      <c r="V55" s="26">
        <f t="shared" si="9"/>
        <v>0</v>
      </c>
      <c r="W55" s="3"/>
      <c r="X55" s="3">
        <f t="shared" si="10"/>
        <v>0</v>
      </c>
      <c r="Y55" s="3"/>
      <c r="Z55" s="26">
        <f t="shared" si="11"/>
        <v>0</v>
      </c>
    </row>
    <row r="56" spans="1:26" s="70" customFormat="1" ht="15" hidden="1" customHeight="1" outlineLevel="1" x14ac:dyDescent="0.3">
      <c r="A56" s="48"/>
      <c r="B56" s="9" t="str">
        <f>CONCATENATE("          ","5528"," - ","FREIGHT-IN-ART/TECH")</f>
        <v xml:space="preserve">          5528 - FREIGHT-IN-ART/TECH</v>
      </c>
      <c r="C56" s="9"/>
      <c r="D56" s="3"/>
      <c r="E56" s="3"/>
      <c r="F56" s="26">
        <f t="shared" si="4"/>
        <v>0</v>
      </c>
      <c r="G56" s="3"/>
      <c r="H56" s="3"/>
      <c r="I56" s="3"/>
      <c r="J56" s="26">
        <f t="shared" si="5"/>
        <v>0</v>
      </c>
      <c r="K56" s="3"/>
      <c r="L56" s="3">
        <f t="shared" si="6"/>
        <v>0</v>
      </c>
      <c r="M56" s="3"/>
      <c r="N56" s="26">
        <f t="shared" si="7"/>
        <v>0</v>
      </c>
      <c r="O56" s="9"/>
      <c r="P56" s="3">
        <v>0</v>
      </c>
      <c r="Q56" s="3"/>
      <c r="R56" s="26">
        <f t="shared" si="8"/>
        <v>0</v>
      </c>
      <c r="S56" s="3"/>
      <c r="T56" s="3"/>
      <c r="U56" s="3"/>
      <c r="V56" s="26">
        <f t="shared" si="9"/>
        <v>0</v>
      </c>
      <c r="W56" s="3"/>
      <c r="X56" s="3">
        <f t="shared" si="10"/>
        <v>0</v>
      </c>
      <c r="Y56" s="3"/>
      <c r="Z56" s="26">
        <f t="shared" si="11"/>
        <v>0</v>
      </c>
    </row>
    <row r="57" spans="1:26" s="70" customFormat="1" ht="15" hidden="1" customHeight="1" outlineLevel="1" x14ac:dyDescent="0.3">
      <c r="A57" s="48"/>
      <c r="B57" s="9" t="str">
        <f>CONCATENATE("          ","5540"," - ","FREIGHT-IN-LOGO CLOTHING")</f>
        <v xml:space="preserve">          5540 - FREIGHT-IN-LOGO CLOTHING</v>
      </c>
      <c r="C57" s="9"/>
      <c r="D57" s="3"/>
      <c r="E57" s="3"/>
      <c r="F57" s="26">
        <f t="shared" si="4"/>
        <v>0</v>
      </c>
      <c r="G57" s="3"/>
      <c r="H57" s="3"/>
      <c r="I57" s="3"/>
      <c r="J57" s="26">
        <f t="shared" si="5"/>
        <v>0</v>
      </c>
      <c r="K57" s="3"/>
      <c r="L57" s="3">
        <f t="shared" si="6"/>
        <v>0</v>
      </c>
      <c r="M57" s="3"/>
      <c r="N57" s="26">
        <f t="shared" si="7"/>
        <v>0</v>
      </c>
      <c r="O57" s="9"/>
      <c r="P57" s="3">
        <v>0</v>
      </c>
      <c r="Q57" s="3"/>
      <c r="R57" s="26">
        <f t="shared" si="8"/>
        <v>0</v>
      </c>
      <c r="S57" s="3"/>
      <c r="T57" s="3"/>
      <c r="U57" s="3"/>
      <c r="V57" s="26">
        <f t="shared" si="9"/>
        <v>0</v>
      </c>
      <c r="W57" s="3"/>
      <c r="X57" s="3">
        <f t="shared" si="10"/>
        <v>0</v>
      </c>
      <c r="Y57" s="3"/>
      <c r="Z57" s="26">
        <f t="shared" si="11"/>
        <v>0</v>
      </c>
    </row>
    <row r="58" spans="1:26" s="70" customFormat="1" ht="15" hidden="1" customHeight="1" outlineLevel="1" x14ac:dyDescent="0.3">
      <c r="A58" s="48"/>
      <c r="B58" s="9" t="str">
        <f>CONCATENATE("          ","5541"," - ","FREIGHT-IN-LOGO GIFTS")</f>
        <v xml:space="preserve">          5541 - FREIGHT-IN-LOGO GIFTS</v>
      </c>
      <c r="C58" s="9"/>
      <c r="D58" s="3"/>
      <c r="E58" s="3"/>
      <c r="F58" s="26">
        <f t="shared" si="4"/>
        <v>0</v>
      </c>
      <c r="G58" s="3"/>
      <c r="H58" s="3"/>
      <c r="I58" s="3"/>
      <c r="J58" s="26">
        <f t="shared" si="5"/>
        <v>0</v>
      </c>
      <c r="K58" s="3"/>
      <c r="L58" s="3">
        <f t="shared" si="6"/>
        <v>0</v>
      </c>
      <c r="M58" s="3"/>
      <c r="N58" s="26">
        <f t="shared" si="7"/>
        <v>0</v>
      </c>
      <c r="O58" s="9"/>
      <c r="P58" s="3">
        <v>0</v>
      </c>
      <c r="Q58" s="3"/>
      <c r="R58" s="26">
        <f t="shared" si="8"/>
        <v>0</v>
      </c>
      <c r="S58" s="3"/>
      <c r="T58" s="3"/>
      <c r="U58" s="3"/>
      <c r="V58" s="26">
        <f t="shared" si="9"/>
        <v>0</v>
      </c>
      <c r="W58" s="3"/>
      <c r="X58" s="3">
        <f t="shared" si="10"/>
        <v>0</v>
      </c>
      <c r="Y58" s="3"/>
      <c r="Z58" s="26">
        <f t="shared" si="11"/>
        <v>0</v>
      </c>
    </row>
    <row r="59" spans="1:26" s="70" customFormat="1" ht="15" hidden="1" customHeight="1" outlineLevel="1" x14ac:dyDescent="0.3">
      <c r="A59" s="48"/>
      <c r="B59" s="9" t="str">
        <f>CONCATENATE("          ","5542"," - ","FREIGHT-IN-EVERYDAY GIFTS")</f>
        <v xml:space="preserve">          5542 - FREIGHT-IN-EVERYDAY GIFTS</v>
      </c>
      <c r="C59" s="9"/>
      <c r="D59" s="3"/>
      <c r="E59" s="3"/>
      <c r="F59" s="26">
        <f t="shared" si="4"/>
        <v>0</v>
      </c>
      <c r="G59" s="3"/>
      <c r="H59" s="3"/>
      <c r="I59" s="3"/>
      <c r="J59" s="26">
        <f t="shared" si="5"/>
        <v>0</v>
      </c>
      <c r="K59" s="3"/>
      <c r="L59" s="3">
        <f t="shared" si="6"/>
        <v>0</v>
      </c>
      <c r="M59" s="3"/>
      <c r="N59" s="26">
        <f t="shared" si="7"/>
        <v>0</v>
      </c>
      <c r="O59" s="9"/>
      <c r="P59" s="3">
        <v>0</v>
      </c>
      <c r="Q59" s="3"/>
      <c r="R59" s="26">
        <f t="shared" si="8"/>
        <v>0</v>
      </c>
      <c r="S59" s="3"/>
      <c r="T59" s="3"/>
      <c r="U59" s="3"/>
      <c r="V59" s="26">
        <f t="shared" si="9"/>
        <v>0</v>
      </c>
      <c r="W59" s="3"/>
      <c r="X59" s="3">
        <f t="shared" si="10"/>
        <v>0</v>
      </c>
      <c r="Y59" s="3"/>
      <c r="Z59" s="26">
        <f t="shared" si="11"/>
        <v>0</v>
      </c>
    </row>
    <row r="60" spans="1:26" s="70" customFormat="1" ht="15" hidden="1" customHeight="1" outlineLevel="1" x14ac:dyDescent="0.3">
      <c r="A60" s="48"/>
      <c r="B60" s="9" t="str">
        <f>CONCATENATE("          ","5544"," - ","FREIGHT-IN-ACCESSORIES")</f>
        <v xml:space="preserve">          5544 - FREIGHT-IN-ACCESSORIES</v>
      </c>
      <c r="C60" s="9"/>
      <c r="D60" s="3"/>
      <c r="E60" s="3"/>
      <c r="F60" s="26">
        <f t="shared" si="4"/>
        <v>0</v>
      </c>
      <c r="G60" s="3"/>
      <c r="H60" s="3"/>
      <c r="I60" s="3"/>
      <c r="J60" s="26">
        <f t="shared" si="5"/>
        <v>0</v>
      </c>
      <c r="K60" s="3"/>
      <c r="L60" s="3">
        <f t="shared" si="6"/>
        <v>0</v>
      </c>
      <c r="M60" s="3"/>
      <c r="N60" s="26">
        <f t="shared" si="7"/>
        <v>0</v>
      </c>
      <c r="O60" s="9"/>
      <c r="P60" s="3">
        <v>0</v>
      </c>
      <c r="Q60" s="3"/>
      <c r="R60" s="26">
        <f t="shared" si="8"/>
        <v>0</v>
      </c>
      <c r="S60" s="3"/>
      <c r="T60" s="3"/>
      <c r="U60" s="3"/>
      <c r="V60" s="26">
        <f t="shared" si="9"/>
        <v>0</v>
      </c>
      <c r="W60" s="3"/>
      <c r="X60" s="3">
        <f t="shared" si="10"/>
        <v>0</v>
      </c>
      <c r="Y60" s="3"/>
      <c r="Z60" s="26">
        <f t="shared" si="11"/>
        <v>0</v>
      </c>
    </row>
    <row r="61" spans="1:26" s="70" customFormat="1" ht="15" hidden="1" customHeight="1" outlineLevel="1" x14ac:dyDescent="0.3">
      <c r="A61" s="48"/>
      <c r="B61" s="9" t="str">
        <f>CONCATENATE("          ","5545"," - ","FREIGHT-IN-SPECIAL ORDERS")</f>
        <v xml:space="preserve">          5545 - FREIGHT-IN-SPECIAL ORDERS</v>
      </c>
      <c r="C61" s="9"/>
      <c r="D61" s="3"/>
      <c r="E61" s="3"/>
      <c r="F61" s="26">
        <f t="shared" si="4"/>
        <v>0</v>
      </c>
      <c r="G61" s="3"/>
      <c r="H61" s="3"/>
      <c r="I61" s="3"/>
      <c r="J61" s="26">
        <f t="shared" si="5"/>
        <v>0</v>
      </c>
      <c r="K61" s="3"/>
      <c r="L61" s="3">
        <f t="shared" si="6"/>
        <v>0</v>
      </c>
      <c r="M61" s="3"/>
      <c r="N61" s="26">
        <f t="shared" si="7"/>
        <v>0</v>
      </c>
      <c r="O61" s="9"/>
      <c r="P61" s="3">
        <v>0</v>
      </c>
      <c r="Q61" s="3"/>
      <c r="R61" s="26">
        <f t="shared" si="8"/>
        <v>0</v>
      </c>
      <c r="S61" s="3"/>
      <c r="T61" s="3"/>
      <c r="U61" s="3"/>
      <c r="V61" s="26">
        <f t="shared" si="9"/>
        <v>0</v>
      </c>
      <c r="W61" s="3"/>
      <c r="X61" s="3">
        <f t="shared" si="10"/>
        <v>0</v>
      </c>
      <c r="Y61" s="3"/>
      <c r="Z61" s="26">
        <f t="shared" si="11"/>
        <v>0</v>
      </c>
    </row>
    <row r="62" spans="1:26" s="70" customFormat="1" ht="15" hidden="1" customHeight="1" outlineLevel="1" x14ac:dyDescent="0.3">
      <c r="A62" s="48"/>
      <c r="B62" s="9" t="str">
        <f>CONCATENATE("          ","5583"," - ","FREIGHT-IN-COMPUTER EQUIPMENT")</f>
        <v xml:space="preserve">          5583 - FREIGHT-IN-COMPUTER EQUIPMENT</v>
      </c>
      <c r="C62" s="9"/>
      <c r="D62" s="3"/>
      <c r="E62" s="3"/>
      <c r="F62" s="26">
        <f t="shared" si="4"/>
        <v>0</v>
      </c>
      <c r="G62" s="3"/>
      <c r="H62" s="3"/>
      <c r="I62" s="3"/>
      <c r="J62" s="26">
        <f t="shared" si="5"/>
        <v>0</v>
      </c>
      <c r="K62" s="3"/>
      <c r="L62" s="3">
        <f t="shared" si="6"/>
        <v>0</v>
      </c>
      <c r="M62" s="3"/>
      <c r="N62" s="26">
        <f t="shared" si="7"/>
        <v>0</v>
      </c>
      <c r="O62" s="9"/>
      <c r="P62" s="3">
        <v>0</v>
      </c>
      <c r="Q62" s="3"/>
      <c r="R62" s="26">
        <f t="shared" si="8"/>
        <v>0</v>
      </c>
      <c r="S62" s="3"/>
      <c r="T62" s="3"/>
      <c r="U62" s="3"/>
      <c r="V62" s="26">
        <f t="shared" si="9"/>
        <v>0</v>
      </c>
      <c r="W62" s="3"/>
      <c r="X62" s="3">
        <f t="shared" si="10"/>
        <v>0</v>
      </c>
      <c r="Y62" s="3"/>
      <c r="Z62" s="26">
        <f t="shared" si="11"/>
        <v>0</v>
      </c>
    </row>
    <row r="63" spans="1:26" ht="15" customHeight="1" x14ac:dyDescent="0.3">
      <c r="A63" s="12"/>
      <c r="B63" s="13"/>
      <c r="C63" s="13"/>
      <c r="D63" s="4"/>
      <c r="E63" s="4"/>
      <c r="F63" s="10"/>
      <c r="G63" s="4"/>
      <c r="H63" s="4"/>
      <c r="I63" s="4"/>
      <c r="J63" s="10"/>
      <c r="K63" s="4"/>
      <c r="L63" s="4"/>
      <c r="M63" s="4"/>
      <c r="N63" s="10"/>
      <c r="O63" s="13"/>
      <c r="P63" s="4"/>
      <c r="Q63" s="4"/>
      <c r="R63" s="10"/>
      <c r="S63" s="4"/>
      <c r="T63" s="4"/>
      <c r="U63" s="4"/>
      <c r="V63" s="10"/>
      <c r="W63" s="4"/>
      <c r="X63" s="4"/>
      <c r="Y63" s="4"/>
      <c r="Z63" s="10"/>
    </row>
    <row r="64" spans="1:26" s="63" customFormat="1" ht="15" customHeight="1" x14ac:dyDescent="0.3">
      <c r="A64" s="13"/>
      <c r="B64" s="27" t="s">
        <v>289</v>
      </c>
      <c r="C64" s="27"/>
      <c r="D64" s="23">
        <f>D12-D27</f>
        <v>112630.64000000001</v>
      </c>
      <c r="E64" s="15"/>
      <c r="F64" s="22">
        <f>IF(D$12=0,0,D64/D$12)</f>
        <v>0.11960313435525773</v>
      </c>
      <c r="G64" s="15"/>
      <c r="H64" s="23">
        <f>H12-H27</f>
        <v>248630</v>
      </c>
      <c r="I64" s="15"/>
      <c r="J64" s="22">
        <f>IF(H$12=0,0,H64/H$12)</f>
        <v>0.47073324043500653</v>
      </c>
      <c r="K64" s="17"/>
      <c r="L64" s="23">
        <f>+D64-H64</f>
        <v>-135999.35999999999</v>
      </c>
      <c r="M64" s="17"/>
      <c r="N64" s="22">
        <f>IF(H64=0,0,L64/H64)</f>
        <v>-0.54699497244902062</v>
      </c>
      <c r="O64" s="28"/>
      <c r="P64" s="23">
        <f>P12-P27</f>
        <v>14417488.770000005</v>
      </c>
      <c r="Q64" s="15"/>
      <c r="R64" s="22">
        <f>IF(P$12=0,0,P64/P$12)</f>
        <v>0.57655526346349839</v>
      </c>
      <c r="S64" s="15"/>
      <c r="T64" s="23">
        <f>T12-T27</f>
        <v>12437513</v>
      </c>
      <c r="U64" s="15"/>
      <c r="V64" s="22">
        <f>IF(T$12=0,0,T64/T$12)</f>
        <v>0.53415158757416326</v>
      </c>
      <c r="W64" s="17"/>
      <c r="X64" s="23">
        <f>+P64-T64</f>
        <v>1979975.7700000051</v>
      </c>
      <c r="Y64" s="17"/>
      <c r="Z64" s="22">
        <f>IF(T64=0,0,X64/T64)</f>
        <v>0.15919386536520647</v>
      </c>
    </row>
    <row r="65" spans="1:26" ht="15" customHeight="1" x14ac:dyDescent="0.3">
      <c r="A65" s="12"/>
      <c r="B65" s="13"/>
      <c r="C65" s="12"/>
      <c r="D65" s="2"/>
      <c r="E65" s="2"/>
      <c r="F65" s="5"/>
      <c r="G65" s="2"/>
      <c r="H65" s="2"/>
      <c r="I65" s="2"/>
      <c r="J65" s="5"/>
      <c r="K65" s="2"/>
      <c r="L65" s="2"/>
      <c r="M65" s="2"/>
      <c r="N65" s="5"/>
      <c r="O65" s="36"/>
      <c r="P65" s="2"/>
      <c r="Q65" s="2"/>
      <c r="R65" s="5"/>
      <c r="S65" s="2"/>
      <c r="T65" s="2"/>
      <c r="U65" s="2"/>
      <c r="V65" s="5"/>
      <c r="W65" s="2"/>
      <c r="X65" s="2"/>
      <c r="Y65" s="2"/>
      <c r="Z65" s="5"/>
    </row>
    <row r="66" spans="1:26" s="63" customFormat="1" ht="15" customHeight="1" x14ac:dyDescent="0.3">
      <c r="A66" s="13"/>
      <c r="B66" s="28" t="s">
        <v>290</v>
      </c>
      <c r="C66" s="13"/>
      <c r="D66" s="24" cm="1">
        <f t="array" ref="D66">SUM(OSRRefD22x_0)</f>
        <v>686728.85000000021</v>
      </c>
      <c r="E66" s="24"/>
      <c r="F66" s="34">
        <f t="shared" ref="F66:F97" si="12">IF(D$12=0,0,D66/D$12)</f>
        <v>0.72924137616710383</v>
      </c>
      <c r="G66" s="24"/>
      <c r="H66" s="24" cm="1">
        <f t="array" ref="H66">SUM(OSRRefH22x_0)</f>
        <v>793229.76545218984</v>
      </c>
      <c r="I66" s="24"/>
      <c r="J66" s="34">
        <f t="shared" ref="J66:J97" si="13">IF(H$12=0,0,H66/H$12)</f>
        <v>1.5018284917379621</v>
      </c>
      <c r="K66" s="8"/>
      <c r="L66" s="24">
        <f t="shared" ref="L66:L97" si="14">+D66-H66</f>
        <v>-106500.91545218963</v>
      </c>
      <c r="M66" s="8"/>
      <c r="N66" s="34">
        <f t="shared" ref="N66:N97" si="15">IF(H66=0,0,L66/H66)</f>
        <v>-0.13426237906173066</v>
      </c>
      <c r="O66" s="13"/>
      <c r="P66" s="24" cm="1">
        <f t="array" ref="P66">SUM(OSRRefP22x_0)</f>
        <v>12429703.139999997</v>
      </c>
      <c r="Q66" s="24"/>
      <c r="R66" s="34">
        <f t="shared" ref="R66:R97" si="16">IF(P$12=0,0,P66/P$12)</f>
        <v>0.49706373162347661</v>
      </c>
      <c r="S66" s="24"/>
      <c r="T66" s="24" cm="1">
        <f t="array" ref="T66">SUM(OSRRefT22x_0)</f>
        <v>13322578.356462454</v>
      </c>
      <c r="U66" s="24"/>
      <c r="V66" s="34">
        <f t="shared" ref="V66:V97" si="17">IF(T$12=0,0,T66/T$12)</f>
        <v>0.57216232696083269</v>
      </c>
      <c r="W66" s="8"/>
      <c r="X66" s="24">
        <f t="shared" ref="X66:X97" si="18">+P66-T66</f>
        <v>-892875.21646245755</v>
      </c>
      <c r="Y66" s="8"/>
      <c r="Z66" s="34">
        <f t="shared" ref="Z66:Z97" si="19">IF(T66=0,0,X66/T66)</f>
        <v>-6.7019700884652395E-2</v>
      </c>
    </row>
    <row r="67" spans="1:26" s="69" customFormat="1" ht="15" customHeight="1" outlineLevel="1" collapsed="1" x14ac:dyDescent="0.3">
      <c r="A67" s="20"/>
      <c r="B67" s="11" t="str">
        <f>CONCATENATE("     ","*Benefits                                         ")</f>
        <v xml:space="preserve">     *Benefits                                         </v>
      </c>
      <c r="C67" s="11"/>
      <c r="D67" s="2">
        <f>SUM(OSRRefD22_0x_0)</f>
        <v>92041.57</v>
      </c>
      <c r="E67" s="2"/>
      <c r="F67" s="5">
        <f t="shared" si="12"/>
        <v>9.7739480686417649E-2</v>
      </c>
      <c r="G67" s="2"/>
      <c r="H67" s="2">
        <f>SUM(OSRRefH22_0x_0)</f>
        <v>178852.28590155178</v>
      </c>
      <c r="I67" s="2"/>
      <c r="J67" s="5">
        <f t="shared" si="13"/>
        <v>0.33862251579312913</v>
      </c>
      <c r="K67" s="2"/>
      <c r="L67" s="2">
        <f t="shared" si="14"/>
        <v>-86810.715901551768</v>
      </c>
      <c r="M67" s="2"/>
      <c r="N67" s="5">
        <f t="shared" si="15"/>
        <v>-0.48537660821028722</v>
      </c>
      <c r="O67" s="11"/>
      <c r="P67" s="2">
        <f>SUM(OSRRefP22_0x_0)</f>
        <v>2019516.4</v>
      </c>
      <c r="Q67" s="2"/>
      <c r="R67" s="5">
        <f t="shared" si="16"/>
        <v>8.0760445084838123E-2</v>
      </c>
      <c r="S67" s="2"/>
      <c r="T67" s="2">
        <f>SUM(OSRRefT22_0x_0)</f>
        <v>2397523.0599206937</v>
      </c>
      <c r="U67" s="2"/>
      <c r="V67" s="5">
        <f t="shared" si="17"/>
        <v>0.10296598272518825</v>
      </c>
      <c r="W67" s="2"/>
      <c r="X67" s="2">
        <f t="shared" si="18"/>
        <v>-378006.65992069384</v>
      </c>
      <c r="Y67" s="2"/>
      <c r="Z67" s="5">
        <f t="shared" si="19"/>
        <v>-0.15766549496011842</v>
      </c>
    </row>
    <row r="68" spans="1:26" s="70" customFormat="1" ht="15" hidden="1" customHeight="1" outlineLevel="2" x14ac:dyDescent="0.3">
      <c r="A68" s="21"/>
      <c r="B68" s="9" t="str">
        <f>CONCATENATE("          ","6111"," - ","F.I.C.A.")</f>
        <v xml:space="preserve">          6111 - F.I.C.A.</v>
      </c>
      <c r="C68" s="9"/>
      <c r="D68" s="6">
        <v>28059.99</v>
      </c>
      <c r="E68" s="3"/>
      <c r="F68" s="7">
        <f t="shared" si="12"/>
        <v>2.9797067245442167E-2</v>
      </c>
      <c r="G68" s="3"/>
      <c r="H68" s="6">
        <v>24882.741535965</v>
      </c>
      <c r="I68" s="3"/>
      <c r="J68" s="7">
        <f t="shared" si="13"/>
        <v>4.7110700857223728E-2</v>
      </c>
      <c r="K68" s="3"/>
      <c r="L68" s="6">
        <f t="shared" si="14"/>
        <v>3177.2484640350012</v>
      </c>
      <c r="M68" s="3"/>
      <c r="N68" s="7">
        <f t="shared" si="15"/>
        <v>0.12768884246306508</v>
      </c>
      <c r="O68" s="9"/>
      <c r="P68" s="6">
        <v>335959.03</v>
      </c>
      <c r="Q68" s="3"/>
      <c r="R68" s="7">
        <f t="shared" si="16"/>
        <v>1.343499898939691E-2</v>
      </c>
      <c r="S68" s="3"/>
      <c r="T68" s="6">
        <v>340662.09535431501</v>
      </c>
      <c r="U68" s="3"/>
      <c r="V68" s="7">
        <f t="shared" si="17"/>
        <v>1.4630352471579193E-2</v>
      </c>
      <c r="W68" s="3"/>
      <c r="X68" s="6">
        <f t="shared" si="18"/>
        <v>-4703.065354314982</v>
      </c>
      <c r="Y68" s="3"/>
      <c r="Z68" s="7">
        <f t="shared" si="19"/>
        <v>-1.38056608541183E-2</v>
      </c>
    </row>
    <row r="69" spans="1:26" s="70" customFormat="1" ht="15" hidden="1" customHeight="1" outlineLevel="2" x14ac:dyDescent="0.3">
      <c r="A69" s="21"/>
      <c r="B69" s="9" t="str">
        <f>CONCATENATE("          ","6112"," - ","COMPENSATION INSURANCE")</f>
        <v xml:space="preserve">          6112 - COMPENSATION INSURANCE</v>
      </c>
      <c r="C69" s="9"/>
      <c r="D69" s="6">
        <v>-60880.7</v>
      </c>
      <c r="E69" s="3"/>
      <c r="F69" s="7">
        <f t="shared" si="12"/>
        <v>-6.4649570860488212E-2</v>
      </c>
      <c r="G69" s="3"/>
      <c r="H69" s="6">
        <v>10602.281586113801</v>
      </c>
      <c r="I69" s="3"/>
      <c r="J69" s="7">
        <f t="shared" si="13"/>
        <v>2.0073387632368378E-2</v>
      </c>
      <c r="K69" s="3"/>
      <c r="L69" s="6">
        <f t="shared" si="14"/>
        <v>-71482.981586113805</v>
      </c>
      <c r="M69" s="3"/>
      <c r="N69" s="7">
        <f t="shared" si="15"/>
        <v>-6.7422262845515917</v>
      </c>
      <c r="O69" s="9"/>
      <c r="P69" s="6">
        <v>88584.2</v>
      </c>
      <c r="Q69" s="3"/>
      <c r="R69" s="7">
        <f t="shared" si="16"/>
        <v>3.5424814670900009E-3</v>
      </c>
      <c r="S69" s="3"/>
      <c r="T69" s="6">
        <v>200630.04046476999</v>
      </c>
      <c r="U69" s="3"/>
      <c r="V69" s="7">
        <f t="shared" si="17"/>
        <v>8.6164215168519232E-3</v>
      </c>
      <c r="W69" s="3"/>
      <c r="X69" s="6">
        <f t="shared" si="18"/>
        <v>-112045.84046476999</v>
      </c>
      <c r="Y69" s="3"/>
      <c r="Z69" s="7">
        <f t="shared" si="19"/>
        <v>-0.55846990911834504</v>
      </c>
    </row>
    <row r="70" spans="1:26" s="70" customFormat="1" ht="15" hidden="1" customHeight="1" outlineLevel="2" x14ac:dyDescent="0.3">
      <c r="A70" s="21"/>
      <c r="B70" s="9" t="str">
        <f>CONCATENATE("          ","6113"," - ","GROUP INSURANCE")</f>
        <v xml:space="preserve">          6113 - GROUP INSURANCE</v>
      </c>
      <c r="C70" s="9"/>
      <c r="D70" s="6">
        <v>72593.279999999999</v>
      </c>
      <c r="E70" s="3"/>
      <c r="F70" s="7">
        <f t="shared" si="12"/>
        <v>7.7087227961492921E-2</v>
      </c>
      <c r="G70" s="3"/>
      <c r="H70" s="6">
        <v>97043.6615384615</v>
      </c>
      <c r="I70" s="3"/>
      <c r="J70" s="7">
        <f t="shared" si="13"/>
        <v>0.18373356899681451</v>
      </c>
      <c r="K70" s="3"/>
      <c r="L70" s="6">
        <f t="shared" si="14"/>
        <v>-24450.381538461501</v>
      </c>
      <c r="M70" s="3"/>
      <c r="N70" s="7">
        <f t="shared" si="15"/>
        <v>-0.25195238051452784</v>
      </c>
      <c r="O70" s="9"/>
      <c r="P70" s="6">
        <v>888605.7</v>
      </c>
      <c r="Q70" s="3"/>
      <c r="R70" s="7">
        <f t="shared" si="16"/>
        <v>3.5535335012344606E-2</v>
      </c>
      <c r="S70" s="3"/>
      <c r="T70" s="6">
        <v>1203696.31153846</v>
      </c>
      <c r="U70" s="3"/>
      <c r="V70" s="7">
        <f t="shared" si="17"/>
        <v>5.1694924521118728E-2</v>
      </c>
      <c r="W70" s="3"/>
      <c r="X70" s="6">
        <f t="shared" si="18"/>
        <v>-315090.61153846001</v>
      </c>
      <c r="Y70" s="3"/>
      <c r="Z70" s="7">
        <f t="shared" si="19"/>
        <v>-0.26176919254304154</v>
      </c>
    </row>
    <row r="71" spans="1:26" s="70" customFormat="1" ht="15" hidden="1" customHeight="1" outlineLevel="2" x14ac:dyDescent="0.3">
      <c r="A71" s="21"/>
      <c r="B71" s="9" t="str">
        <f>CONCATENATE("          ","6114"," - ","STATE UNEMPLOYMENT INSURANCE")</f>
        <v xml:space="preserve">          6114 - STATE UNEMPLOYMENT INSURANCE</v>
      </c>
      <c r="C71" s="9"/>
      <c r="D71" s="6"/>
      <c r="E71" s="3"/>
      <c r="F71" s="7">
        <f t="shared" si="12"/>
        <v>0</v>
      </c>
      <c r="G71" s="3"/>
      <c r="H71" s="6">
        <v>799.28587304999996</v>
      </c>
      <c r="I71" s="3"/>
      <c r="J71" s="7">
        <f t="shared" si="13"/>
        <v>1.5132945704651479E-3</v>
      </c>
      <c r="K71" s="3"/>
      <c r="L71" s="6">
        <f t="shared" si="14"/>
        <v>-799.28587304999996</v>
      </c>
      <c r="M71" s="3"/>
      <c r="N71" s="7">
        <f t="shared" si="15"/>
        <v>-1</v>
      </c>
      <c r="O71" s="9"/>
      <c r="P71" s="6">
        <v>14853.24</v>
      </c>
      <c r="Q71" s="3"/>
      <c r="R71" s="7">
        <f t="shared" si="16"/>
        <v>5.939809517525686E-4</v>
      </c>
      <c r="S71" s="3"/>
      <c r="T71" s="6">
        <v>14222.731544263799</v>
      </c>
      <c r="U71" s="3"/>
      <c r="V71" s="7">
        <f t="shared" si="17"/>
        <v>6.1082104067023996E-4</v>
      </c>
      <c r="W71" s="3"/>
      <c r="X71" s="6">
        <f t="shared" si="18"/>
        <v>630.50845573620063</v>
      </c>
      <c r="Y71" s="3"/>
      <c r="Z71" s="7">
        <f t="shared" si="19"/>
        <v>4.4331038223841913E-2</v>
      </c>
    </row>
    <row r="72" spans="1:26" s="70" customFormat="1" ht="15" hidden="1" customHeight="1" outlineLevel="2" x14ac:dyDescent="0.3">
      <c r="A72" s="21"/>
      <c r="B72" s="9" t="str">
        <f>CONCATENATE("          ","6115"," - ","P.E.R.S.")</f>
        <v xml:space="preserve">          6115 - P.E.R.S.</v>
      </c>
      <c r="C72" s="9"/>
      <c r="D72" s="6">
        <v>12241.68</v>
      </c>
      <c r="E72" s="3"/>
      <c r="F72" s="7">
        <f t="shared" si="12"/>
        <v>1.2999511480837464E-2</v>
      </c>
      <c r="G72" s="3"/>
      <c r="H72" s="6">
        <v>12048.9513358</v>
      </c>
      <c r="I72" s="3"/>
      <c r="J72" s="7">
        <f t="shared" si="13"/>
        <v>2.2812379464042288E-2</v>
      </c>
      <c r="K72" s="3"/>
      <c r="L72" s="6">
        <f t="shared" si="14"/>
        <v>192.72866419999991</v>
      </c>
      <c r="M72" s="3"/>
      <c r="N72" s="7">
        <f t="shared" si="15"/>
        <v>1.5995472039741915E-2</v>
      </c>
      <c r="O72" s="9"/>
      <c r="P72" s="6">
        <v>179530.71</v>
      </c>
      <c r="Q72" s="3"/>
      <c r="R72" s="7">
        <f t="shared" si="16"/>
        <v>7.1794316926552301E-3</v>
      </c>
      <c r="S72" s="3"/>
      <c r="T72" s="6">
        <v>155362.94796693901</v>
      </c>
      <c r="U72" s="3"/>
      <c r="V72" s="7">
        <f t="shared" si="17"/>
        <v>6.6723440053282831E-3</v>
      </c>
      <c r="W72" s="3"/>
      <c r="X72" s="6">
        <f t="shared" si="18"/>
        <v>24167.762033060979</v>
      </c>
      <c r="Y72" s="3"/>
      <c r="Z72" s="7">
        <f t="shared" si="19"/>
        <v>0.15555679361982652</v>
      </c>
    </row>
    <row r="73" spans="1:26" s="70" customFormat="1" ht="15" hidden="1" customHeight="1" outlineLevel="2" x14ac:dyDescent="0.3">
      <c r="A73" s="21"/>
      <c r="B73" s="9" t="str">
        <f>CONCATENATE("          ","6116"," - ","EDUCATIONAL BENEFITS")</f>
        <v xml:space="preserve">          6116 - EDUCATIONAL BENEFITS</v>
      </c>
      <c r="C73" s="9"/>
      <c r="D73" s="6"/>
      <c r="E73" s="3"/>
      <c r="F73" s="7">
        <f t="shared" si="12"/>
        <v>0</v>
      </c>
      <c r="G73" s="3"/>
      <c r="H73" s="6">
        <v>0</v>
      </c>
      <c r="I73" s="3"/>
      <c r="J73" s="7">
        <f t="shared" si="13"/>
        <v>0</v>
      </c>
      <c r="K73" s="3"/>
      <c r="L73" s="6">
        <f t="shared" si="14"/>
        <v>0</v>
      </c>
      <c r="M73" s="3"/>
      <c r="N73" s="7">
        <f t="shared" si="15"/>
        <v>0</v>
      </c>
      <c r="O73" s="9"/>
      <c r="P73" s="6"/>
      <c r="Q73" s="3"/>
      <c r="R73" s="7">
        <f t="shared" si="16"/>
        <v>0</v>
      </c>
      <c r="S73" s="3"/>
      <c r="T73" s="6">
        <v>0</v>
      </c>
      <c r="U73" s="3"/>
      <c r="V73" s="7">
        <f t="shared" si="17"/>
        <v>0</v>
      </c>
      <c r="W73" s="3"/>
      <c r="X73" s="6">
        <f t="shared" si="18"/>
        <v>0</v>
      </c>
      <c r="Y73" s="3"/>
      <c r="Z73" s="7">
        <f t="shared" si="19"/>
        <v>0</v>
      </c>
    </row>
    <row r="74" spans="1:26" s="70" customFormat="1" ht="15" hidden="1" customHeight="1" outlineLevel="2" x14ac:dyDescent="0.3">
      <c r="A74" s="21"/>
      <c r="B74" s="9" t="str">
        <f>CONCATENATE("          ","6117"," - ","RETIREMENT STAFF HOURLY")</f>
        <v xml:space="preserve">          6117 - RETIREMENT STAFF HOURLY</v>
      </c>
      <c r="C74" s="9"/>
      <c r="D74" s="6">
        <v>2652.79</v>
      </c>
      <c r="E74" s="3"/>
      <c r="F74" s="7">
        <f t="shared" si="12"/>
        <v>2.8170131927358674E-3</v>
      </c>
      <c r="G74" s="3"/>
      <c r="H74" s="6"/>
      <c r="I74" s="3"/>
      <c r="J74" s="7">
        <f t="shared" si="13"/>
        <v>0</v>
      </c>
      <c r="K74" s="3"/>
      <c r="L74" s="6">
        <f t="shared" si="14"/>
        <v>2652.79</v>
      </c>
      <c r="M74" s="3"/>
      <c r="N74" s="7">
        <f t="shared" si="15"/>
        <v>0</v>
      </c>
      <c r="O74" s="9"/>
      <c r="P74" s="6">
        <v>30811.53</v>
      </c>
      <c r="Q74" s="3"/>
      <c r="R74" s="7">
        <f t="shared" si="16"/>
        <v>1.2321528443863304E-3</v>
      </c>
      <c r="S74" s="3"/>
      <c r="T74" s="6"/>
      <c r="U74" s="3"/>
      <c r="V74" s="7">
        <f t="shared" si="17"/>
        <v>0</v>
      </c>
      <c r="W74" s="3"/>
      <c r="X74" s="6">
        <f t="shared" si="18"/>
        <v>30811.53</v>
      </c>
      <c r="Y74" s="3"/>
      <c r="Z74" s="7">
        <f t="shared" si="19"/>
        <v>0</v>
      </c>
    </row>
    <row r="75" spans="1:26" s="70" customFormat="1" ht="15" hidden="1" customHeight="1" outlineLevel="2" x14ac:dyDescent="0.3">
      <c r="A75" s="21"/>
      <c r="B75" s="9" t="str">
        <f>CONCATENATE("          ","6118"," - ","VACATION")</f>
        <v xml:space="preserve">          6118 - VACATION</v>
      </c>
      <c r="C75" s="9"/>
      <c r="D75" s="6">
        <v>16540.11</v>
      </c>
      <c r="E75" s="3"/>
      <c r="F75" s="7">
        <f t="shared" si="12"/>
        <v>1.7564039399764947E-2</v>
      </c>
      <c r="G75" s="3"/>
      <c r="H75" s="6">
        <v>12589.631430207701</v>
      </c>
      <c r="I75" s="3"/>
      <c r="J75" s="7">
        <f t="shared" si="13"/>
        <v>2.3836053569658032E-2</v>
      </c>
      <c r="K75" s="3"/>
      <c r="L75" s="6">
        <f t="shared" si="14"/>
        <v>3950.4785697922998</v>
      </c>
      <c r="M75" s="3"/>
      <c r="N75" s="7">
        <f t="shared" si="15"/>
        <v>0.31378826232462037</v>
      </c>
      <c r="O75" s="9"/>
      <c r="P75" s="6">
        <v>226359.21</v>
      </c>
      <c r="Q75" s="3"/>
      <c r="R75" s="7">
        <f t="shared" si="16"/>
        <v>9.0521030424176498E-3</v>
      </c>
      <c r="S75" s="3"/>
      <c r="T75" s="6">
        <v>163626.91798993101</v>
      </c>
      <c r="U75" s="3"/>
      <c r="V75" s="7">
        <f t="shared" si="17"/>
        <v>7.0272552088338769E-3</v>
      </c>
      <c r="W75" s="3"/>
      <c r="X75" s="6">
        <f t="shared" si="18"/>
        <v>62732.292010068981</v>
      </c>
      <c r="Y75" s="3"/>
      <c r="Z75" s="7">
        <f t="shared" si="19"/>
        <v>0.38338613707757602</v>
      </c>
    </row>
    <row r="76" spans="1:26" s="70" customFormat="1" ht="15" hidden="1" customHeight="1" outlineLevel="2" x14ac:dyDescent="0.3">
      <c r="A76" s="21"/>
      <c r="B76" s="9" t="str">
        <f>CONCATENATE("          ","6119"," - ","SICK LEAVE")</f>
        <v xml:space="preserve">          6119 - SICK LEAVE</v>
      </c>
      <c r="C76" s="9"/>
      <c r="D76" s="6">
        <v>11899.94</v>
      </c>
      <c r="E76" s="3"/>
      <c r="F76" s="7">
        <f t="shared" si="12"/>
        <v>1.2636615779147714E-2</v>
      </c>
      <c r="G76" s="3"/>
      <c r="H76" s="6">
        <v>12115.7326019538</v>
      </c>
      <c r="I76" s="3"/>
      <c r="J76" s="7">
        <f t="shared" si="13"/>
        <v>2.2938816988946488E-2</v>
      </c>
      <c r="K76" s="3"/>
      <c r="L76" s="6">
        <f t="shared" si="14"/>
        <v>-215.79260195379902</v>
      </c>
      <c r="M76" s="3"/>
      <c r="N76" s="7">
        <f t="shared" si="15"/>
        <v>-1.7810941281338612E-2</v>
      </c>
      <c r="O76" s="9"/>
      <c r="P76" s="6">
        <v>153568.16</v>
      </c>
      <c r="Q76" s="3"/>
      <c r="R76" s="7">
        <f t="shared" si="16"/>
        <v>6.141189520649416E-3</v>
      </c>
      <c r="S76" s="3"/>
      <c r="T76" s="6">
        <v>211871.01506201501</v>
      </c>
      <c r="U76" s="3"/>
      <c r="V76" s="7">
        <f t="shared" si="17"/>
        <v>9.0991855892994661E-3</v>
      </c>
      <c r="W76" s="3"/>
      <c r="X76" s="6">
        <f t="shared" si="18"/>
        <v>-58302.855062015005</v>
      </c>
      <c r="Y76" s="3"/>
      <c r="Z76" s="7">
        <f t="shared" si="19"/>
        <v>-0.27518089269997437</v>
      </c>
    </row>
    <row r="77" spans="1:26" s="70" customFormat="1" ht="15" hidden="1" customHeight="1" outlineLevel="2" x14ac:dyDescent="0.3">
      <c r="A77" s="21"/>
      <c r="B77" s="9" t="str">
        <f>CONCATENATE("          ","6156"," - ","EMPLOYEE MEALS")</f>
        <v xml:space="preserve">          6156 - EMPLOYEE MEALS</v>
      </c>
      <c r="C77" s="9"/>
      <c r="D77" s="6">
        <v>8934.48</v>
      </c>
      <c r="E77" s="3"/>
      <c r="F77" s="7">
        <f t="shared" si="12"/>
        <v>9.487576487484781E-3</v>
      </c>
      <c r="G77" s="3"/>
      <c r="H77" s="6">
        <v>8770</v>
      </c>
      <c r="I77" s="3"/>
      <c r="J77" s="7">
        <f t="shared" si="13"/>
        <v>1.6604313713610614E-2</v>
      </c>
      <c r="K77" s="3"/>
      <c r="L77" s="6">
        <f t="shared" si="14"/>
        <v>164.47999999999956</v>
      </c>
      <c r="M77" s="3"/>
      <c r="N77" s="7">
        <f t="shared" si="15"/>
        <v>1.8754846066134499E-2</v>
      </c>
      <c r="O77" s="9"/>
      <c r="P77" s="6">
        <v>101244.62</v>
      </c>
      <c r="Q77" s="3"/>
      <c r="R77" s="7">
        <f t="shared" si="16"/>
        <v>4.048771564145408E-3</v>
      </c>
      <c r="S77" s="3"/>
      <c r="T77" s="6">
        <v>107451</v>
      </c>
      <c r="U77" s="3"/>
      <c r="V77" s="7">
        <f t="shared" si="17"/>
        <v>4.6146783715065396E-3</v>
      </c>
      <c r="W77" s="3"/>
      <c r="X77" s="6">
        <f t="shared" si="18"/>
        <v>-6206.3800000000047</v>
      </c>
      <c r="Y77" s="3"/>
      <c r="Z77" s="7">
        <f t="shared" si="19"/>
        <v>-5.7760095299252724E-2</v>
      </c>
    </row>
    <row r="78" spans="1:26" s="69" customFormat="1" ht="15" customHeight="1" outlineLevel="1" collapsed="1" x14ac:dyDescent="0.3">
      <c r="A78" s="20"/>
      <c r="B78" s="11" t="str">
        <f>CONCATENATE("     ","*Payroll                                          ")</f>
        <v xml:space="preserve">     *Payroll                                          </v>
      </c>
      <c r="C78" s="11"/>
      <c r="D78" s="2">
        <f>SUM(OSRRefD22_1x_0)</f>
        <v>315821.83999999997</v>
      </c>
      <c r="E78" s="2"/>
      <c r="F78" s="5">
        <f t="shared" si="12"/>
        <v>0.33537305622914598</v>
      </c>
      <c r="G78" s="2"/>
      <c r="H78" s="2">
        <f>SUM(OSRRefH22_1x_0)</f>
        <v>358700.97955063812</v>
      </c>
      <c r="I78" s="2"/>
      <c r="J78" s="5">
        <f t="shared" si="13"/>
        <v>0.67913153863605713</v>
      </c>
      <c r="K78" s="2"/>
      <c r="L78" s="2">
        <f t="shared" si="14"/>
        <v>-42879.139550638152</v>
      </c>
      <c r="M78" s="2"/>
      <c r="N78" s="5">
        <f t="shared" si="15"/>
        <v>-0.11954006817699495</v>
      </c>
      <c r="O78" s="11"/>
      <c r="P78" s="2">
        <f>SUM(OSRRefP22_1x_0)</f>
        <v>5958781.6000000006</v>
      </c>
      <c r="Q78" s="2"/>
      <c r="R78" s="5">
        <f t="shared" si="16"/>
        <v>0.23829162970864901</v>
      </c>
      <c r="S78" s="2"/>
      <c r="T78" s="2">
        <f>SUM(OSRRefT22_1x_0)</f>
        <v>6456376.0465417597</v>
      </c>
      <c r="U78" s="2"/>
      <c r="V78" s="5">
        <f t="shared" si="17"/>
        <v>0.27728079683101281</v>
      </c>
      <c r="W78" s="2"/>
      <c r="X78" s="2">
        <f t="shared" si="18"/>
        <v>-497594.44654175919</v>
      </c>
      <c r="Y78" s="2"/>
      <c r="Z78" s="5">
        <f t="shared" si="19"/>
        <v>-7.7070239241762664E-2</v>
      </c>
    </row>
    <row r="79" spans="1:26" s="70" customFormat="1" ht="15" hidden="1" customHeight="1" outlineLevel="2" x14ac:dyDescent="0.3">
      <c r="A79" s="21"/>
      <c r="B79" s="9" t="str">
        <f>CONCATENATE("          ","6001"," - ","ADMINISTRATIVE SALARIES")</f>
        <v xml:space="preserve">          6001 - ADMINISTRATIVE SALARIES</v>
      </c>
      <c r="C79" s="9"/>
      <c r="D79" s="6">
        <v>21595.57</v>
      </c>
      <c r="E79" s="3"/>
      <c r="F79" s="7">
        <f t="shared" si="12"/>
        <v>2.2932461896588468E-2</v>
      </c>
      <c r="G79" s="3"/>
      <c r="H79" s="6">
        <v>18547.9230769231</v>
      </c>
      <c r="I79" s="3"/>
      <c r="J79" s="7">
        <f t="shared" si="13"/>
        <v>3.5116936545627024E-2</v>
      </c>
      <c r="K79" s="3"/>
      <c r="L79" s="6">
        <f t="shared" si="14"/>
        <v>3047.6469230768998</v>
      </c>
      <c r="M79" s="3"/>
      <c r="N79" s="7">
        <f t="shared" si="15"/>
        <v>0.16431203161871596</v>
      </c>
      <c r="O79" s="9"/>
      <c r="P79" s="6">
        <v>351272.25</v>
      </c>
      <c r="Q79" s="3"/>
      <c r="R79" s="7">
        <f t="shared" si="16"/>
        <v>1.4047374537761876E-2</v>
      </c>
      <c r="S79" s="3"/>
      <c r="T79" s="6">
        <v>241123</v>
      </c>
      <c r="U79" s="3"/>
      <c r="V79" s="7">
        <f t="shared" si="17"/>
        <v>1.0355465216450022E-2</v>
      </c>
      <c r="W79" s="3"/>
      <c r="X79" s="6">
        <f t="shared" si="18"/>
        <v>110149.25</v>
      </c>
      <c r="Y79" s="3"/>
      <c r="Z79" s="7">
        <f t="shared" si="19"/>
        <v>0.45681768226175024</v>
      </c>
    </row>
    <row r="80" spans="1:26" s="70" customFormat="1" ht="15" hidden="1" customHeight="1" outlineLevel="2" x14ac:dyDescent="0.3">
      <c r="A80" s="21"/>
      <c r="B80" s="9" t="str">
        <f>CONCATENATE("          ","6002"," - ","STAFF SALARIES")</f>
        <v xml:space="preserve">          6002 - STAFF SALARIES</v>
      </c>
      <c r="C80" s="9"/>
      <c r="D80" s="6">
        <v>81279.45</v>
      </c>
      <c r="E80" s="3"/>
      <c r="F80" s="7">
        <f t="shared" si="12"/>
        <v>8.631112260989951E-2</v>
      </c>
      <c r="G80" s="3"/>
      <c r="H80" s="6">
        <v>110715.778115715</v>
      </c>
      <c r="I80" s="3"/>
      <c r="J80" s="7">
        <f t="shared" si="13"/>
        <v>0.20961910067044887</v>
      </c>
      <c r="K80" s="3"/>
      <c r="L80" s="6">
        <f t="shared" si="14"/>
        <v>-29436.328115715005</v>
      </c>
      <c r="M80" s="3"/>
      <c r="N80" s="7">
        <f t="shared" si="15"/>
        <v>-0.26587292811101881</v>
      </c>
      <c r="O80" s="9"/>
      <c r="P80" s="6">
        <v>1415060.75</v>
      </c>
      <c r="Q80" s="3"/>
      <c r="R80" s="7">
        <f t="shared" si="16"/>
        <v>5.6588268355773116E-2</v>
      </c>
      <c r="S80" s="3"/>
      <c r="T80" s="6">
        <v>1423124.79254276</v>
      </c>
      <c r="U80" s="3"/>
      <c r="V80" s="7">
        <f t="shared" si="17"/>
        <v>6.1118679212867316E-2</v>
      </c>
      <c r="W80" s="3"/>
      <c r="X80" s="6">
        <f t="shared" si="18"/>
        <v>-8064.0425427600276</v>
      </c>
      <c r="Y80" s="3"/>
      <c r="Z80" s="7">
        <f t="shared" si="19"/>
        <v>-5.666433881987008E-3</v>
      </c>
    </row>
    <row r="81" spans="1:26" s="70" customFormat="1" ht="15" hidden="1" customHeight="1" outlineLevel="2" x14ac:dyDescent="0.3">
      <c r="A81" s="21"/>
      <c r="B81" s="9" t="str">
        <f>CONCATENATE("          ","6003"," - ","STAFF HOURLY-9 MONTH")</f>
        <v xml:space="preserve">          6003 - STAFF HOURLY-9 MONTH</v>
      </c>
      <c r="C81" s="9"/>
      <c r="D81" s="6"/>
      <c r="E81" s="3"/>
      <c r="F81" s="7">
        <f t="shared" si="12"/>
        <v>0</v>
      </c>
      <c r="G81" s="3"/>
      <c r="H81" s="6">
        <v>0</v>
      </c>
      <c r="I81" s="3"/>
      <c r="J81" s="7">
        <f t="shared" si="13"/>
        <v>0</v>
      </c>
      <c r="K81" s="3"/>
      <c r="L81" s="6">
        <f t="shared" si="14"/>
        <v>0</v>
      </c>
      <c r="M81" s="3"/>
      <c r="N81" s="7">
        <f t="shared" si="15"/>
        <v>0</v>
      </c>
      <c r="O81" s="9"/>
      <c r="P81" s="6"/>
      <c r="Q81" s="3"/>
      <c r="R81" s="7">
        <f t="shared" si="16"/>
        <v>0</v>
      </c>
      <c r="S81" s="3"/>
      <c r="T81" s="6">
        <v>0</v>
      </c>
      <c r="U81" s="3"/>
      <c r="V81" s="7">
        <f t="shared" si="17"/>
        <v>0</v>
      </c>
      <c r="W81" s="3"/>
      <c r="X81" s="6">
        <f t="shared" si="18"/>
        <v>0</v>
      </c>
      <c r="Y81" s="3"/>
      <c r="Z81" s="7">
        <f t="shared" si="19"/>
        <v>0</v>
      </c>
    </row>
    <row r="82" spans="1:26" s="70" customFormat="1" ht="15" hidden="1" customHeight="1" outlineLevel="2" x14ac:dyDescent="0.3">
      <c r="A82" s="21"/>
      <c r="B82" s="9" t="str">
        <f>CONCATENATE("          ","6004"," - ","STAFF HOURLY")</f>
        <v xml:space="preserve">          6004 - STAFF HOURLY</v>
      </c>
      <c r="C82" s="9"/>
      <c r="D82" s="6">
        <v>100864.64</v>
      </c>
      <c r="E82" s="3"/>
      <c r="F82" s="7">
        <f t="shared" si="12"/>
        <v>0.10710875024429144</v>
      </c>
      <c r="G82" s="3"/>
      <c r="H82" s="6">
        <v>135592.91810800001</v>
      </c>
      <c r="I82" s="3"/>
      <c r="J82" s="7">
        <f t="shared" si="13"/>
        <v>0.2567191960785799</v>
      </c>
      <c r="K82" s="3"/>
      <c r="L82" s="6">
        <f t="shared" si="14"/>
        <v>-34728.278108000013</v>
      </c>
      <c r="M82" s="3"/>
      <c r="N82" s="7">
        <f t="shared" si="15"/>
        <v>-0.25612162192968568</v>
      </c>
      <c r="O82" s="9"/>
      <c r="P82" s="6">
        <v>1427131.03</v>
      </c>
      <c r="Q82" s="3"/>
      <c r="R82" s="7">
        <f t="shared" si="16"/>
        <v>5.7070958758831308E-2</v>
      </c>
      <c r="S82" s="3"/>
      <c r="T82" s="6">
        <v>1976154.914174</v>
      </c>
      <c r="U82" s="3"/>
      <c r="V82" s="7">
        <f t="shared" si="17"/>
        <v>8.4869562323153069E-2</v>
      </c>
      <c r="W82" s="3"/>
      <c r="X82" s="6">
        <f t="shared" si="18"/>
        <v>-549023.88417400001</v>
      </c>
      <c r="Y82" s="3"/>
      <c r="Z82" s="7">
        <f t="shared" si="19"/>
        <v>-0.27782431439768118</v>
      </c>
    </row>
    <row r="83" spans="1:26" s="70" customFormat="1" ht="15" hidden="1" customHeight="1" outlineLevel="2" x14ac:dyDescent="0.3">
      <c r="A83" s="21"/>
      <c r="B83" s="9" t="str">
        <f>CONCATENATE("          ","6005"," - ","TEMPORARY WAGES-HOURLY")</f>
        <v xml:space="preserve">          6005 - TEMPORARY WAGES-HOURLY</v>
      </c>
      <c r="C83" s="9"/>
      <c r="D83" s="6">
        <v>28770.5</v>
      </c>
      <c r="E83" s="3"/>
      <c r="F83" s="7">
        <f t="shared" si="12"/>
        <v>3.0551561963671182E-2</v>
      </c>
      <c r="G83" s="3"/>
      <c r="H83" s="6">
        <v>18529.9231</v>
      </c>
      <c r="I83" s="3"/>
      <c r="J83" s="7">
        <f t="shared" si="13"/>
        <v>3.5082857040077547E-2</v>
      </c>
      <c r="K83" s="3"/>
      <c r="L83" s="6">
        <f t="shared" si="14"/>
        <v>10240.5769</v>
      </c>
      <c r="M83" s="3"/>
      <c r="N83" s="7">
        <f t="shared" si="15"/>
        <v>0.55265080403922451</v>
      </c>
      <c r="O83" s="9"/>
      <c r="P83" s="6">
        <v>727156</v>
      </c>
      <c r="Q83" s="3"/>
      <c r="R83" s="7">
        <f t="shared" si="16"/>
        <v>2.9078962768567043E-2</v>
      </c>
      <c r="S83" s="3"/>
      <c r="T83" s="6">
        <v>390329.72950000002</v>
      </c>
      <c r="U83" s="3"/>
      <c r="V83" s="7">
        <f t="shared" si="17"/>
        <v>1.6763419237416574E-2</v>
      </c>
      <c r="W83" s="3"/>
      <c r="X83" s="6">
        <f t="shared" si="18"/>
        <v>336826.27049999998</v>
      </c>
      <c r="Y83" s="3"/>
      <c r="Z83" s="7">
        <f t="shared" si="19"/>
        <v>0.8629275329129138</v>
      </c>
    </row>
    <row r="84" spans="1:26" s="70" customFormat="1" ht="15" hidden="1" customHeight="1" outlineLevel="2" x14ac:dyDescent="0.3">
      <c r="A84" s="21"/>
      <c r="B84" s="9" t="str">
        <f>CONCATENATE("          ","6006"," - ","TEMPORARY PART TIME")</f>
        <v xml:space="preserve">          6006 - TEMPORARY PART TIME</v>
      </c>
      <c r="C84" s="9"/>
      <c r="D84" s="6">
        <v>4612.34</v>
      </c>
      <c r="E84" s="3"/>
      <c r="F84" s="7">
        <f t="shared" si="12"/>
        <v>4.8978707810958845E-3</v>
      </c>
      <c r="G84" s="3"/>
      <c r="H84" s="6">
        <v>0</v>
      </c>
      <c r="I84" s="3"/>
      <c r="J84" s="7">
        <f t="shared" si="13"/>
        <v>0</v>
      </c>
      <c r="K84" s="3"/>
      <c r="L84" s="6">
        <f t="shared" si="14"/>
        <v>4612.34</v>
      </c>
      <c r="M84" s="3"/>
      <c r="N84" s="7">
        <f t="shared" si="15"/>
        <v>0</v>
      </c>
      <c r="O84" s="9"/>
      <c r="P84" s="6">
        <v>39956.54</v>
      </c>
      <c r="Q84" s="3"/>
      <c r="R84" s="7">
        <f t="shared" si="16"/>
        <v>1.5978617229600799E-3</v>
      </c>
      <c r="S84" s="3"/>
      <c r="T84" s="6">
        <v>0</v>
      </c>
      <c r="U84" s="3"/>
      <c r="V84" s="7">
        <f t="shared" si="17"/>
        <v>0</v>
      </c>
      <c r="W84" s="3"/>
      <c r="X84" s="6">
        <f t="shared" si="18"/>
        <v>39956.54</v>
      </c>
      <c r="Y84" s="3"/>
      <c r="Z84" s="7">
        <f t="shared" si="19"/>
        <v>0</v>
      </c>
    </row>
    <row r="85" spans="1:26" s="70" customFormat="1" ht="15" hidden="1" customHeight="1" outlineLevel="2" x14ac:dyDescent="0.3">
      <c r="A85" s="21"/>
      <c r="B85" s="9" t="str">
        <f>CONCATENATE("          ","6007"," - ","STUDENT HOURLY")</f>
        <v xml:space="preserve">          6007 - STUDENT HOURLY</v>
      </c>
      <c r="C85" s="9"/>
      <c r="D85" s="6">
        <v>69386.44</v>
      </c>
      <c r="E85" s="3"/>
      <c r="F85" s="7">
        <f t="shared" si="12"/>
        <v>7.3681865838221533E-2</v>
      </c>
      <c r="G85" s="3"/>
      <c r="H85" s="6">
        <v>38999.771350000003</v>
      </c>
      <c r="I85" s="3"/>
      <c r="J85" s="7">
        <f t="shared" si="13"/>
        <v>7.3838590450910305E-2</v>
      </c>
      <c r="K85" s="3"/>
      <c r="L85" s="6">
        <f t="shared" si="14"/>
        <v>30386.66865</v>
      </c>
      <c r="M85" s="3"/>
      <c r="N85" s="7">
        <f t="shared" si="15"/>
        <v>0.77914991801612188</v>
      </c>
      <c r="O85" s="9"/>
      <c r="P85" s="6">
        <v>1606477.24</v>
      </c>
      <c r="Q85" s="3"/>
      <c r="R85" s="7">
        <f t="shared" si="16"/>
        <v>6.4243012297925534E-2</v>
      </c>
      <c r="S85" s="3"/>
      <c r="T85" s="6">
        <v>532575.83134999999</v>
      </c>
      <c r="U85" s="3"/>
      <c r="V85" s="7">
        <f t="shared" si="17"/>
        <v>2.2872436460507201E-2</v>
      </c>
      <c r="W85" s="3"/>
      <c r="X85" s="6">
        <f t="shared" si="18"/>
        <v>1073901.4086500001</v>
      </c>
      <c r="Y85" s="3"/>
      <c r="Z85" s="7">
        <f t="shared" si="19"/>
        <v>2.0164291081850649</v>
      </c>
    </row>
    <row r="86" spans="1:26" s="70" customFormat="1" ht="15" hidden="1" customHeight="1" outlineLevel="2" x14ac:dyDescent="0.3">
      <c r="A86" s="21"/>
      <c r="B86" s="9" t="str">
        <f>CONCATENATE("          ","6008"," - ","STUDENT HOURLY-FICA EXEMPT")</f>
        <v xml:space="preserve">          6008 - STUDENT HOURLY-FICA EXEMPT</v>
      </c>
      <c r="C86" s="9"/>
      <c r="D86" s="6">
        <v>9312.9</v>
      </c>
      <c r="E86" s="3"/>
      <c r="F86" s="7">
        <f t="shared" si="12"/>
        <v>9.8894228953780201E-3</v>
      </c>
      <c r="G86" s="3"/>
      <c r="H86" s="6">
        <v>36314.665800000002</v>
      </c>
      <c r="I86" s="3"/>
      <c r="J86" s="7">
        <f t="shared" si="13"/>
        <v>6.8754857850413506E-2</v>
      </c>
      <c r="K86" s="3"/>
      <c r="L86" s="6">
        <f t="shared" si="14"/>
        <v>-27001.765800000001</v>
      </c>
      <c r="M86" s="3"/>
      <c r="N86" s="7">
        <f t="shared" si="15"/>
        <v>-0.74354989107458613</v>
      </c>
      <c r="O86" s="9"/>
      <c r="P86" s="6">
        <v>391727.79</v>
      </c>
      <c r="Q86" s="3"/>
      <c r="R86" s="7">
        <f t="shared" si="16"/>
        <v>1.5665191266830018E-2</v>
      </c>
      <c r="S86" s="3"/>
      <c r="T86" s="6">
        <v>1893067.7789749999</v>
      </c>
      <c r="U86" s="3"/>
      <c r="V86" s="7">
        <f t="shared" si="17"/>
        <v>8.1301234380618648E-2</v>
      </c>
      <c r="W86" s="3"/>
      <c r="X86" s="6">
        <f t="shared" si="18"/>
        <v>-1501339.9889749999</v>
      </c>
      <c r="Y86" s="3"/>
      <c r="Z86" s="7">
        <f t="shared" si="19"/>
        <v>-0.79307249621453024</v>
      </c>
    </row>
    <row r="87" spans="1:26" s="70" customFormat="1" ht="15" hidden="1" customHeight="1" outlineLevel="2" x14ac:dyDescent="0.3">
      <c r="A87" s="21"/>
      <c r="B87" s="9" t="str">
        <f>CONCATENATE("          ","6009"," - ","TEMPORARY-SEASONAL")</f>
        <v xml:space="preserve">          6009 - TEMPORARY-SEASONAL</v>
      </c>
      <c r="C87" s="9"/>
      <c r="D87" s="6"/>
      <c r="E87" s="3"/>
      <c r="F87" s="7">
        <f t="shared" si="12"/>
        <v>0</v>
      </c>
      <c r="G87" s="3"/>
      <c r="H87" s="6">
        <v>0</v>
      </c>
      <c r="I87" s="3"/>
      <c r="J87" s="7">
        <f t="shared" si="13"/>
        <v>0</v>
      </c>
      <c r="K87" s="3"/>
      <c r="L87" s="6">
        <f t="shared" si="14"/>
        <v>0</v>
      </c>
      <c r="M87" s="3"/>
      <c r="N87" s="7">
        <f t="shared" si="15"/>
        <v>0</v>
      </c>
      <c r="O87" s="9"/>
      <c r="P87" s="6"/>
      <c r="Q87" s="3"/>
      <c r="R87" s="7">
        <f t="shared" si="16"/>
        <v>0</v>
      </c>
      <c r="S87" s="3"/>
      <c r="T87" s="6">
        <v>0</v>
      </c>
      <c r="U87" s="3"/>
      <c r="V87" s="7">
        <f t="shared" si="17"/>
        <v>0</v>
      </c>
      <c r="W87" s="3"/>
      <c r="X87" s="6">
        <f t="shared" si="18"/>
        <v>0</v>
      </c>
      <c r="Y87" s="3"/>
      <c r="Z87" s="7">
        <f t="shared" si="19"/>
        <v>0</v>
      </c>
    </row>
    <row r="88" spans="1:26" s="70" customFormat="1" ht="15" hidden="1" customHeight="1" outlineLevel="2" x14ac:dyDescent="0.3">
      <c r="A88" s="21"/>
      <c r="B88" s="9" t="str">
        <f>CONCATENATE("          ","6010"," - ","GRATUITY")</f>
        <v xml:space="preserve">          6010 - GRATUITY</v>
      </c>
      <c r="C88" s="9"/>
      <c r="D88" s="6"/>
      <c r="E88" s="3"/>
      <c r="F88" s="7">
        <f t="shared" si="12"/>
        <v>0</v>
      </c>
      <c r="G88" s="3"/>
      <c r="H88" s="6">
        <v>0</v>
      </c>
      <c r="I88" s="3"/>
      <c r="J88" s="7">
        <f t="shared" si="13"/>
        <v>0</v>
      </c>
      <c r="K88" s="3"/>
      <c r="L88" s="6">
        <f t="shared" si="14"/>
        <v>0</v>
      </c>
      <c r="M88" s="3"/>
      <c r="N88" s="7">
        <f t="shared" si="15"/>
        <v>0</v>
      </c>
      <c r="O88" s="9"/>
      <c r="P88" s="6"/>
      <c r="Q88" s="3"/>
      <c r="R88" s="7">
        <f t="shared" si="16"/>
        <v>0</v>
      </c>
      <c r="S88" s="3"/>
      <c r="T88" s="6">
        <v>0</v>
      </c>
      <c r="U88" s="3"/>
      <c r="V88" s="7">
        <f t="shared" si="17"/>
        <v>0</v>
      </c>
      <c r="W88" s="3"/>
      <c r="X88" s="6">
        <f t="shared" si="18"/>
        <v>0</v>
      </c>
      <c r="Y88" s="3"/>
      <c r="Z88" s="7">
        <f t="shared" si="19"/>
        <v>0</v>
      </c>
    </row>
    <row r="89" spans="1:26" s="69" customFormat="1" ht="15" customHeight="1" outlineLevel="1" collapsed="1" x14ac:dyDescent="0.3">
      <c r="A89" s="20"/>
      <c r="B89" s="11" t="str">
        <f>CONCATENATE("     ","Advertising/Promo                                 ")</f>
        <v xml:space="preserve">     Advertising/Promo                                 </v>
      </c>
      <c r="C89" s="11"/>
      <c r="D89" s="2">
        <f>SUM(OSRRefD22_2x_0)</f>
        <v>8258.06</v>
      </c>
      <c r="E89" s="2"/>
      <c r="F89" s="5">
        <f t="shared" si="12"/>
        <v>8.769282139334195E-3</v>
      </c>
      <c r="G89" s="2"/>
      <c r="H89" s="2">
        <f>SUM(OSRRefH22_2x_0)</f>
        <v>1569</v>
      </c>
      <c r="I89" s="2"/>
      <c r="J89" s="5">
        <f t="shared" si="13"/>
        <v>2.9706007088546242E-3</v>
      </c>
      <c r="K89" s="2"/>
      <c r="L89" s="2">
        <f t="shared" si="14"/>
        <v>6689.0599999999995</v>
      </c>
      <c r="M89" s="2"/>
      <c r="N89" s="5">
        <f t="shared" si="15"/>
        <v>4.2632632249840663</v>
      </c>
      <c r="O89" s="11"/>
      <c r="P89" s="2">
        <f>SUM(OSRRefP22_2x_0)</f>
        <v>30218.35</v>
      </c>
      <c r="Q89" s="2"/>
      <c r="R89" s="5">
        <f t="shared" si="16"/>
        <v>1.2084315808128213E-3</v>
      </c>
      <c r="S89" s="2"/>
      <c r="T89" s="2">
        <f>SUM(OSRRefT22_2x_0)</f>
        <v>26178</v>
      </c>
      <c r="U89" s="2"/>
      <c r="V89" s="5">
        <f t="shared" si="17"/>
        <v>1.1242617603307386E-3</v>
      </c>
      <c r="W89" s="2"/>
      <c r="X89" s="2">
        <f t="shared" si="18"/>
        <v>4040.3499999999985</v>
      </c>
      <c r="Y89" s="2"/>
      <c r="Z89" s="5">
        <f t="shared" si="19"/>
        <v>0.15434143173657264</v>
      </c>
    </row>
    <row r="90" spans="1:26" s="70" customFormat="1" ht="15" hidden="1" customHeight="1" outlineLevel="2" x14ac:dyDescent="0.3">
      <c r="A90" s="21"/>
      <c r="B90" s="9" t="str">
        <f>CONCATENATE("          ","6362"," - ","ADVERTISING EXPENSE")</f>
        <v xml:space="preserve">          6362 - ADVERTISING EXPENSE</v>
      </c>
      <c r="C90" s="9"/>
      <c r="D90" s="6">
        <v>8258.06</v>
      </c>
      <c r="E90" s="3"/>
      <c r="F90" s="7">
        <f t="shared" si="12"/>
        <v>8.769282139334195E-3</v>
      </c>
      <c r="G90" s="3"/>
      <c r="H90" s="6">
        <v>1569</v>
      </c>
      <c r="I90" s="3"/>
      <c r="J90" s="7">
        <f t="shared" si="13"/>
        <v>2.9706007088546242E-3</v>
      </c>
      <c r="K90" s="3"/>
      <c r="L90" s="6">
        <f t="shared" si="14"/>
        <v>6689.0599999999995</v>
      </c>
      <c r="M90" s="3"/>
      <c r="N90" s="7">
        <f t="shared" si="15"/>
        <v>4.2632632249840663</v>
      </c>
      <c r="O90" s="9"/>
      <c r="P90" s="6">
        <v>30218.35</v>
      </c>
      <c r="Q90" s="3"/>
      <c r="R90" s="7">
        <f t="shared" si="16"/>
        <v>1.2084315808128213E-3</v>
      </c>
      <c r="S90" s="3"/>
      <c r="T90" s="6">
        <v>26178</v>
      </c>
      <c r="U90" s="3"/>
      <c r="V90" s="7">
        <f t="shared" si="17"/>
        <v>1.1242617603307386E-3</v>
      </c>
      <c r="W90" s="3"/>
      <c r="X90" s="6">
        <f t="shared" si="18"/>
        <v>4040.3499999999985</v>
      </c>
      <c r="Y90" s="3"/>
      <c r="Z90" s="7">
        <f t="shared" si="19"/>
        <v>0.15434143173657264</v>
      </c>
    </row>
    <row r="91" spans="1:26" s="69" customFormat="1" ht="15" customHeight="1" outlineLevel="1" collapsed="1" x14ac:dyDescent="0.3">
      <c r="A91" s="20"/>
      <c r="B91" s="11" t="str">
        <f>CONCATENATE("     ","Bad Debts/Over/Short                              ")</f>
        <v xml:space="preserve">     Bad Debts/Over/Short                              </v>
      </c>
      <c r="C91" s="11"/>
      <c r="D91" s="2">
        <f>SUM(OSRRefD22_3x_0)</f>
        <v>-48.52</v>
      </c>
      <c r="E91" s="2"/>
      <c r="F91" s="5">
        <f t="shared" si="12"/>
        <v>-5.152367134659898E-5</v>
      </c>
      <c r="G91" s="2"/>
      <c r="H91" s="2">
        <f>SUM(OSRRefH22_3x_0)</f>
        <v>260</v>
      </c>
      <c r="I91" s="2"/>
      <c r="J91" s="5">
        <f t="shared" si="13"/>
        <v>4.9226015570567384E-4</v>
      </c>
      <c r="K91" s="2"/>
      <c r="L91" s="2">
        <f t="shared" si="14"/>
        <v>-308.52</v>
      </c>
      <c r="M91" s="2"/>
      <c r="N91" s="5">
        <f t="shared" si="15"/>
        <v>-1.1866153846153846</v>
      </c>
      <c r="O91" s="11"/>
      <c r="P91" s="2">
        <f>SUM(OSRRefP22_3x_0)</f>
        <v>-69.849999999999994</v>
      </c>
      <c r="Q91" s="2"/>
      <c r="R91" s="5">
        <f t="shared" si="16"/>
        <v>-2.7933009552068715E-6</v>
      </c>
      <c r="S91" s="2"/>
      <c r="T91" s="2">
        <f>SUM(OSRRefT22_3x_0)</f>
        <v>3260</v>
      </c>
      <c r="U91" s="2"/>
      <c r="V91" s="5">
        <f t="shared" si="17"/>
        <v>1.4000662154015615E-4</v>
      </c>
      <c r="W91" s="2"/>
      <c r="X91" s="2">
        <f t="shared" si="18"/>
        <v>-3329.85</v>
      </c>
      <c r="Y91" s="2"/>
      <c r="Z91" s="5">
        <f t="shared" si="19"/>
        <v>-1.0214263803680981</v>
      </c>
    </row>
    <row r="92" spans="1:26" s="70" customFormat="1" ht="15" hidden="1" customHeight="1" outlineLevel="2" x14ac:dyDescent="0.3">
      <c r="A92" s="21"/>
      <c r="B92" s="9" t="str">
        <f>CONCATENATE("          ","6272"," - ","CASH (OVER/SHORT)")</f>
        <v xml:space="preserve">          6272 - CASH (OVER/SHORT)</v>
      </c>
      <c r="C92" s="9"/>
      <c r="D92" s="6">
        <v>-48.52</v>
      </c>
      <c r="E92" s="3"/>
      <c r="F92" s="7">
        <f t="shared" si="12"/>
        <v>-5.152367134659898E-5</v>
      </c>
      <c r="G92" s="3"/>
      <c r="H92" s="6">
        <v>260</v>
      </c>
      <c r="I92" s="3"/>
      <c r="J92" s="7">
        <f t="shared" si="13"/>
        <v>4.9226015570567384E-4</v>
      </c>
      <c r="K92" s="3"/>
      <c r="L92" s="6">
        <f t="shared" si="14"/>
        <v>-308.52</v>
      </c>
      <c r="M92" s="3"/>
      <c r="N92" s="7">
        <f t="shared" si="15"/>
        <v>-1.1866153846153846</v>
      </c>
      <c r="O92" s="9"/>
      <c r="P92" s="6">
        <v>-69.849999999999994</v>
      </c>
      <c r="Q92" s="3"/>
      <c r="R92" s="7">
        <f t="shared" si="16"/>
        <v>-2.7933009552068715E-6</v>
      </c>
      <c r="S92" s="3"/>
      <c r="T92" s="6">
        <v>3260</v>
      </c>
      <c r="U92" s="3"/>
      <c r="V92" s="7">
        <f t="shared" si="17"/>
        <v>1.4000662154015615E-4</v>
      </c>
      <c r="W92" s="3"/>
      <c r="X92" s="6">
        <f t="shared" si="18"/>
        <v>-3329.85</v>
      </c>
      <c r="Y92" s="3"/>
      <c r="Z92" s="7">
        <f t="shared" si="19"/>
        <v>-1.0214263803680981</v>
      </c>
    </row>
    <row r="93" spans="1:26" s="69" customFormat="1" ht="15" customHeight="1" outlineLevel="1" collapsed="1" x14ac:dyDescent="0.3">
      <c r="A93" s="20"/>
      <c r="B93" s="11" t="str">
        <f>CONCATENATE("     ","Bank/card Fees                                    ")</f>
        <v xml:space="preserve">     Bank/card Fees                                    </v>
      </c>
      <c r="C93" s="11"/>
      <c r="D93" s="2">
        <f>SUM(OSRRefD22_4x_0)</f>
        <v>8727.18</v>
      </c>
      <c r="E93" s="2"/>
      <c r="F93" s="5">
        <f t="shared" si="12"/>
        <v>9.2674434068963658E-3</v>
      </c>
      <c r="G93" s="2"/>
      <c r="H93" s="2">
        <f>SUM(OSRRefH22_4x_0)</f>
        <v>13924.5</v>
      </c>
      <c r="I93" s="2"/>
      <c r="J93" s="5">
        <f t="shared" si="13"/>
        <v>2.6363371300475599E-2</v>
      </c>
      <c r="K93" s="2"/>
      <c r="L93" s="2">
        <f t="shared" si="14"/>
        <v>-5197.32</v>
      </c>
      <c r="M93" s="2"/>
      <c r="N93" s="5">
        <f t="shared" si="15"/>
        <v>-0.37325002693094905</v>
      </c>
      <c r="O93" s="11"/>
      <c r="P93" s="2">
        <f>SUM(OSRRefP22_4x_0)</f>
        <v>232554.98</v>
      </c>
      <c r="Q93" s="2"/>
      <c r="R93" s="5">
        <f t="shared" si="16"/>
        <v>9.2998718363939154E-3</v>
      </c>
      <c r="S93" s="2"/>
      <c r="T93" s="2">
        <f>SUM(OSRRefT22_4x_0)</f>
        <v>329914.25</v>
      </c>
      <c r="U93" s="2"/>
      <c r="V93" s="5">
        <f t="shared" si="17"/>
        <v>1.4168766730200755E-2</v>
      </c>
      <c r="W93" s="2"/>
      <c r="X93" s="2">
        <f t="shared" si="18"/>
        <v>-97359.26999999999</v>
      </c>
      <c r="Y93" s="2"/>
      <c r="Z93" s="5">
        <f t="shared" si="19"/>
        <v>-0.29510477343734015</v>
      </c>
    </row>
    <row r="94" spans="1:26" s="70" customFormat="1" ht="15" hidden="1" customHeight="1" outlineLevel="2" x14ac:dyDescent="0.3">
      <c r="A94" s="21"/>
      <c r="B94" s="9" t="str">
        <f>CONCATENATE("          ","6381"," - ","BANK/CREDIT CARD FEES")</f>
        <v xml:space="preserve">          6381 - BANK/CREDIT CARD FEES</v>
      </c>
      <c r="C94" s="9"/>
      <c r="D94" s="6">
        <v>8727.18</v>
      </c>
      <c r="E94" s="3"/>
      <c r="F94" s="7">
        <f t="shared" si="12"/>
        <v>9.2674434068963658E-3</v>
      </c>
      <c r="G94" s="3"/>
      <c r="H94" s="6">
        <v>13924.5</v>
      </c>
      <c r="I94" s="3"/>
      <c r="J94" s="7">
        <f t="shared" si="13"/>
        <v>2.6363371300475599E-2</v>
      </c>
      <c r="K94" s="3"/>
      <c r="L94" s="6">
        <f t="shared" si="14"/>
        <v>-5197.32</v>
      </c>
      <c r="M94" s="3"/>
      <c r="N94" s="7">
        <f t="shared" si="15"/>
        <v>-0.37325002693094905</v>
      </c>
      <c r="O94" s="9"/>
      <c r="P94" s="6">
        <v>232554.98</v>
      </c>
      <c r="Q94" s="3"/>
      <c r="R94" s="7">
        <f t="shared" si="16"/>
        <v>9.2998718363939154E-3</v>
      </c>
      <c r="S94" s="3"/>
      <c r="T94" s="6">
        <v>329914.25</v>
      </c>
      <c r="U94" s="3"/>
      <c r="V94" s="7">
        <f t="shared" si="17"/>
        <v>1.4168766730200755E-2</v>
      </c>
      <c r="W94" s="3"/>
      <c r="X94" s="6">
        <f t="shared" si="18"/>
        <v>-97359.26999999999</v>
      </c>
      <c r="Y94" s="3"/>
      <c r="Z94" s="7">
        <f t="shared" si="19"/>
        <v>-0.29510477343734015</v>
      </c>
    </row>
    <row r="95" spans="1:26" s="69" customFormat="1" ht="15" customHeight="1" outlineLevel="1" collapsed="1" x14ac:dyDescent="0.3">
      <c r="A95" s="20"/>
      <c r="B95" s="11" t="str">
        <f>CONCATENATE("     ","Depreciation                                      ")</f>
        <v xml:space="preserve">     Depreciation                                      </v>
      </c>
      <c r="C95" s="11"/>
      <c r="D95" s="2">
        <f>SUM(OSRRefD22_5x_0)</f>
        <v>60309.72</v>
      </c>
      <c r="E95" s="2"/>
      <c r="F95" s="5">
        <f t="shared" si="12"/>
        <v>6.4043243864085067E-2</v>
      </c>
      <c r="G95" s="2"/>
      <c r="H95" s="2">
        <f>SUM(OSRRefH22_5x_0)</f>
        <v>55119</v>
      </c>
      <c r="I95" s="2"/>
      <c r="J95" s="5">
        <f t="shared" si="13"/>
        <v>0.10435725970131168</v>
      </c>
      <c r="K95" s="2"/>
      <c r="L95" s="2">
        <f t="shared" si="14"/>
        <v>5190.7200000000012</v>
      </c>
      <c r="M95" s="2"/>
      <c r="N95" s="5">
        <f t="shared" si="15"/>
        <v>9.4172971207750519E-2</v>
      </c>
      <c r="O95" s="11"/>
      <c r="P95" s="2">
        <f>SUM(OSRRefP22_5x_0)</f>
        <v>811308.48</v>
      </c>
      <c r="Q95" s="2"/>
      <c r="R95" s="5">
        <f t="shared" si="16"/>
        <v>3.2444219787422117E-2</v>
      </c>
      <c r="S95" s="2"/>
      <c r="T95" s="2">
        <f>SUM(OSRRefT22_5x_0)</f>
        <v>790301</v>
      </c>
      <c r="U95" s="2"/>
      <c r="V95" s="5">
        <f t="shared" si="17"/>
        <v>3.3940911966198452E-2</v>
      </c>
      <c r="W95" s="2"/>
      <c r="X95" s="2">
        <f t="shared" si="18"/>
        <v>21007.479999999981</v>
      </c>
      <c r="Y95" s="2"/>
      <c r="Z95" s="5">
        <f t="shared" si="19"/>
        <v>2.6581618902165101E-2</v>
      </c>
    </row>
    <row r="96" spans="1:26" s="70" customFormat="1" ht="15" hidden="1" customHeight="1" outlineLevel="2" x14ac:dyDescent="0.3">
      <c r="A96" s="21"/>
      <c r="B96" s="9" t="str">
        <f>CONCATENATE("          ","6321"," - ","BUILDING DEPRECIATION")</f>
        <v xml:space="preserve">          6321 - BUILDING DEPRECIATION</v>
      </c>
      <c r="C96" s="9"/>
      <c r="D96" s="6">
        <v>41941.379999999997</v>
      </c>
      <c r="E96" s="3"/>
      <c r="F96" s="7">
        <f t="shared" si="12"/>
        <v>4.4537796350841284E-2</v>
      </c>
      <c r="G96" s="3"/>
      <c r="H96" s="6"/>
      <c r="I96" s="3"/>
      <c r="J96" s="7">
        <f t="shared" si="13"/>
        <v>0</v>
      </c>
      <c r="K96" s="3"/>
      <c r="L96" s="6">
        <f t="shared" si="14"/>
        <v>41941.379999999997</v>
      </c>
      <c r="M96" s="3"/>
      <c r="N96" s="7">
        <f t="shared" si="15"/>
        <v>0</v>
      </c>
      <c r="O96" s="9"/>
      <c r="P96" s="6">
        <v>522646.08</v>
      </c>
      <c r="Q96" s="3"/>
      <c r="R96" s="7">
        <f t="shared" si="16"/>
        <v>2.0900612662836465E-2</v>
      </c>
      <c r="S96" s="3"/>
      <c r="T96" s="6"/>
      <c r="U96" s="3"/>
      <c r="V96" s="7">
        <f t="shared" si="17"/>
        <v>0</v>
      </c>
      <c r="W96" s="3"/>
      <c r="X96" s="6">
        <f t="shared" si="18"/>
        <v>522646.08</v>
      </c>
      <c r="Y96" s="3"/>
      <c r="Z96" s="7">
        <f t="shared" si="19"/>
        <v>0</v>
      </c>
    </row>
    <row r="97" spans="1:26" s="70" customFormat="1" ht="15" hidden="1" customHeight="1" outlineLevel="2" x14ac:dyDescent="0.3">
      <c r="A97" s="21"/>
      <c r="B97" s="9" t="str">
        <f>CONCATENATE("          ","6322"," - ","EQUIPMENT DEPRECIATION EXPENSE")</f>
        <v xml:space="preserve">          6322 - EQUIPMENT DEPRECIATION EXPENSE</v>
      </c>
      <c r="C97" s="9"/>
      <c r="D97" s="6">
        <v>18368.34</v>
      </c>
      <c r="E97" s="3"/>
      <c r="F97" s="7">
        <f t="shared" si="12"/>
        <v>1.9505447513243773E-2</v>
      </c>
      <c r="G97" s="3"/>
      <c r="H97" s="6">
        <v>55119</v>
      </c>
      <c r="I97" s="3"/>
      <c r="J97" s="7">
        <f t="shared" si="13"/>
        <v>0.10435725970131168</v>
      </c>
      <c r="K97" s="3"/>
      <c r="L97" s="6">
        <f t="shared" si="14"/>
        <v>-36750.660000000003</v>
      </c>
      <c r="M97" s="3"/>
      <c r="N97" s="7">
        <f t="shared" si="15"/>
        <v>-0.66675121101616508</v>
      </c>
      <c r="O97" s="9"/>
      <c r="P97" s="6">
        <v>288662.40000000002</v>
      </c>
      <c r="Q97" s="3"/>
      <c r="R97" s="7">
        <f t="shared" si="16"/>
        <v>1.1543607124585657E-2</v>
      </c>
      <c r="S97" s="3"/>
      <c r="T97" s="6">
        <v>790301</v>
      </c>
      <c r="U97" s="3"/>
      <c r="V97" s="7">
        <f t="shared" si="17"/>
        <v>3.3940911966198452E-2</v>
      </c>
      <c r="W97" s="3"/>
      <c r="X97" s="6">
        <f t="shared" si="18"/>
        <v>-501638.6</v>
      </c>
      <c r="Y97" s="3"/>
      <c r="Z97" s="7">
        <f t="shared" si="19"/>
        <v>-0.63474372422659209</v>
      </c>
    </row>
    <row r="98" spans="1:26" s="69" customFormat="1" ht="15" customHeight="1" outlineLevel="1" collapsed="1" x14ac:dyDescent="0.3">
      <c r="A98" s="20"/>
      <c r="B98" s="11" t="str">
        <f>CONCATENATE("     ","Discounts and Markdowns                           ")</f>
        <v xml:space="preserve">     Discounts and Markdowns                           </v>
      </c>
      <c r="C98" s="11"/>
      <c r="D98" s="2">
        <f>SUM(OSRRefD22_6x_0)</f>
        <v>30.17</v>
      </c>
      <c r="E98" s="2"/>
      <c r="F98" s="5">
        <f t="shared" ref="F98:F129" si="20">IF(D$12=0,0,D98/D$12)</f>
        <v>3.2037699186456946E-5</v>
      </c>
      <c r="G98" s="2"/>
      <c r="H98" s="2">
        <f>SUM(OSRRefH22_6x_0)</f>
        <v>0</v>
      </c>
      <c r="I98" s="2"/>
      <c r="J98" s="5">
        <f t="shared" ref="J98:J129" si="21">IF(H$12=0,0,H98/H$12)</f>
        <v>0</v>
      </c>
      <c r="K98" s="2"/>
      <c r="L98" s="2">
        <f t="shared" ref="L98:L129" si="22">+D98-H98</f>
        <v>30.17</v>
      </c>
      <c r="M98" s="2"/>
      <c r="N98" s="5">
        <f t="shared" ref="N98:N129" si="23">IF(H98=0,0,L98/H98)</f>
        <v>0</v>
      </c>
      <c r="O98" s="11"/>
      <c r="P98" s="2">
        <f>SUM(OSRRefP22_6x_0)</f>
        <v>2019.25</v>
      </c>
      <c r="Q98" s="2"/>
      <c r="R98" s="5">
        <f t="shared" ref="R98:R129" si="24">IF(P$12=0,0,P98/P$12)</f>
        <v>8.0749791750915896E-5</v>
      </c>
      <c r="S98" s="2"/>
      <c r="T98" s="2">
        <f>SUM(OSRRefT22_6x_0)</f>
        <v>0</v>
      </c>
      <c r="U98" s="2"/>
      <c r="V98" s="5">
        <f t="shared" ref="V98:V129" si="25">IF(T$12=0,0,T98/T$12)</f>
        <v>0</v>
      </c>
      <c r="W98" s="2"/>
      <c r="X98" s="2">
        <f t="shared" ref="X98:X129" si="26">+P98-T98</f>
        <v>2019.25</v>
      </c>
      <c r="Y98" s="2"/>
      <c r="Z98" s="5">
        <f t="shared" ref="Z98:Z129" si="27">IF(T98=0,0,X98/T98)</f>
        <v>0</v>
      </c>
    </row>
    <row r="99" spans="1:26" s="70" customFormat="1" ht="15" hidden="1" customHeight="1" outlineLevel="2" x14ac:dyDescent="0.3">
      <c r="A99" s="21"/>
      <c r="B99" s="9" t="str">
        <f>CONCATENATE("          ","6382"," - ","DISCOUNTS/MARK DOWNS")</f>
        <v xml:space="preserve">          6382 - DISCOUNTS/MARK DOWNS</v>
      </c>
      <c r="C99" s="9"/>
      <c r="D99" s="6"/>
      <c r="E99" s="3"/>
      <c r="F99" s="7">
        <f t="shared" si="20"/>
        <v>0</v>
      </c>
      <c r="G99" s="3"/>
      <c r="H99" s="6"/>
      <c r="I99" s="3"/>
      <c r="J99" s="7">
        <f t="shared" si="21"/>
        <v>0</v>
      </c>
      <c r="K99" s="3"/>
      <c r="L99" s="6">
        <f t="shared" si="22"/>
        <v>0</v>
      </c>
      <c r="M99" s="3"/>
      <c r="N99" s="7">
        <f t="shared" si="23"/>
        <v>0</v>
      </c>
      <c r="O99" s="9"/>
      <c r="P99" s="6">
        <v>2171.35</v>
      </c>
      <c r="Q99" s="3"/>
      <c r="R99" s="7">
        <f t="shared" si="24"/>
        <v>8.6832269564616192E-5</v>
      </c>
      <c r="S99" s="3"/>
      <c r="T99" s="6">
        <v>0</v>
      </c>
      <c r="U99" s="3"/>
      <c r="V99" s="7">
        <f t="shared" si="25"/>
        <v>0</v>
      </c>
      <c r="W99" s="3"/>
      <c r="X99" s="6">
        <f t="shared" si="26"/>
        <v>2171.35</v>
      </c>
      <c r="Y99" s="3"/>
      <c r="Z99" s="7">
        <f t="shared" si="27"/>
        <v>0</v>
      </c>
    </row>
    <row r="100" spans="1:26" s="70" customFormat="1" ht="15" hidden="1" customHeight="1" outlineLevel="2" x14ac:dyDescent="0.3">
      <c r="A100" s="21"/>
      <c r="B100" s="9" t="str">
        <f>CONCATENATE("          ","9175"," - ","EARNED DISCOUNTS")</f>
        <v xml:space="preserve">          9175 - EARNED DISCOUNTS</v>
      </c>
      <c r="C100" s="9"/>
      <c r="D100" s="6">
        <v>30.17</v>
      </c>
      <c r="E100" s="3"/>
      <c r="F100" s="7">
        <f t="shared" si="20"/>
        <v>3.2037699186456946E-5</v>
      </c>
      <c r="G100" s="3"/>
      <c r="H100" s="6"/>
      <c r="I100" s="3"/>
      <c r="J100" s="7">
        <f t="shared" si="21"/>
        <v>0</v>
      </c>
      <c r="K100" s="3"/>
      <c r="L100" s="6">
        <f t="shared" si="22"/>
        <v>30.17</v>
      </c>
      <c r="M100" s="3"/>
      <c r="N100" s="7">
        <f t="shared" si="23"/>
        <v>0</v>
      </c>
      <c r="O100" s="9"/>
      <c r="P100" s="6">
        <v>-152.1</v>
      </c>
      <c r="Q100" s="3"/>
      <c r="R100" s="7">
        <f t="shared" si="24"/>
        <v>-6.0824778137002884E-6</v>
      </c>
      <c r="S100" s="3"/>
      <c r="T100" s="6"/>
      <c r="U100" s="3"/>
      <c r="V100" s="7">
        <f t="shared" si="25"/>
        <v>0</v>
      </c>
      <c r="W100" s="3"/>
      <c r="X100" s="6">
        <f t="shared" si="26"/>
        <v>-152.1</v>
      </c>
      <c r="Y100" s="3"/>
      <c r="Z100" s="7">
        <f t="shared" si="27"/>
        <v>0</v>
      </c>
    </row>
    <row r="101" spans="1:26" s="69" customFormat="1" ht="15" customHeight="1" outlineLevel="1" collapsed="1" x14ac:dyDescent="0.3">
      <c r="A101" s="20"/>
      <c r="B101" s="11" t="str">
        <f>CONCATENATE("     ","Donations                                         ")</f>
        <v xml:space="preserve">     Donations                                         </v>
      </c>
      <c r="C101" s="11"/>
      <c r="D101" s="2">
        <f>SUM(OSRRefD22_7x_0)</f>
        <v>2716.76</v>
      </c>
      <c r="E101" s="2"/>
      <c r="F101" s="5">
        <f t="shared" si="20"/>
        <v>2.8849433093072183E-3</v>
      </c>
      <c r="G101" s="2"/>
      <c r="H101" s="2">
        <f>SUM(OSRRefH22_7x_0)</f>
        <v>1250</v>
      </c>
      <c r="I101" s="2"/>
      <c r="J101" s="5">
        <f t="shared" si="21"/>
        <v>2.366635363969586E-3</v>
      </c>
      <c r="K101" s="2"/>
      <c r="L101" s="2">
        <f t="shared" si="22"/>
        <v>1466.7600000000002</v>
      </c>
      <c r="M101" s="2"/>
      <c r="N101" s="5">
        <f t="shared" si="23"/>
        <v>1.1734080000000002</v>
      </c>
      <c r="O101" s="11"/>
      <c r="P101" s="2">
        <f>SUM(OSRRefP22_7x_0)</f>
        <v>80709.36</v>
      </c>
      <c r="Q101" s="2"/>
      <c r="R101" s="5">
        <f t="shared" si="24"/>
        <v>3.2275666769095959E-3</v>
      </c>
      <c r="S101" s="2"/>
      <c r="T101" s="2">
        <f>SUM(OSRRefT22_7x_0)</f>
        <v>170000</v>
      </c>
      <c r="U101" s="2"/>
      <c r="V101" s="5">
        <f t="shared" si="25"/>
        <v>7.3009587919713329E-3</v>
      </c>
      <c r="W101" s="2"/>
      <c r="X101" s="2">
        <f t="shared" si="26"/>
        <v>-89290.64</v>
      </c>
      <c r="Y101" s="2"/>
      <c r="Z101" s="5">
        <f t="shared" si="27"/>
        <v>-0.52523905882352939</v>
      </c>
    </row>
    <row r="102" spans="1:26" s="70" customFormat="1" ht="15" hidden="1" customHeight="1" outlineLevel="2" x14ac:dyDescent="0.3">
      <c r="A102" s="21"/>
      <c r="B102" s="9" t="str">
        <f>CONCATENATE("          ","6399"," - ","DONATION-ON CAMPUS")</f>
        <v xml:space="preserve">          6399 - DONATION-ON CAMPUS</v>
      </c>
      <c r="C102" s="9"/>
      <c r="D102" s="6">
        <v>2716.76</v>
      </c>
      <c r="E102" s="3"/>
      <c r="F102" s="7">
        <f t="shared" si="20"/>
        <v>2.8849433093072183E-3</v>
      </c>
      <c r="G102" s="3"/>
      <c r="H102" s="6">
        <v>1250</v>
      </c>
      <c r="I102" s="3"/>
      <c r="J102" s="7">
        <f t="shared" si="21"/>
        <v>2.366635363969586E-3</v>
      </c>
      <c r="K102" s="3"/>
      <c r="L102" s="6">
        <f t="shared" si="22"/>
        <v>1466.7600000000002</v>
      </c>
      <c r="M102" s="3"/>
      <c r="N102" s="7">
        <f t="shared" si="23"/>
        <v>1.1734080000000002</v>
      </c>
      <c r="O102" s="9"/>
      <c r="P102" s="6">
        <v>80709.36</v>
      </c>
      <c r="Q102" s="3"/>
      <c r="R102" s="7">
        <f t="shared" si="24"/>
        <v>3.2275666769095959E-3</v>
      </c>
      <c r="S102" s="3"/>
      <c r="T102" s="6">
        <v>170000</v>
      </c>
      <c r="U102" s="3"/>
      <c r="V102" s="7">
        <f t="shared" si="25"/>
        <v>7.3009587919713329E-3</v>
      </c>
      <c r="W102" s="3"/>
      <c r="X102" s="6">
        <f t="shared" si="26"/>
        <v>-89290.64</v>
      </c>
      <c r="Y102" s="3"/>
      <c r="Z102" s="7">
        <f t="shared" si="27"/>
        <v>-0.52523905882352939</v>
      </c>
    </row>
    <row r="103" spans="1:26" s="69" customFormat="1" ht="15" customHeight="1" outlineLevel="1" collapsed="1" x14ac:dyDescent="0.3">
      <c r="A103" s="20"/>
      <c r="B103" s="11" t="str">
        <f>CONCATENATE("     ","Employees' Appreciation                           ")</f>
        <v xml:space="preserve">     Employees' Appreciation                           </v>
      </c>
      <c r="C103" s="11"/>
      <c r="D103" s="2">
        <f>SUM(OSRRefD22_8x_0)</f>
        <v>1840.15</v>
      </c>
      <c r="E103" s="2"/>
      <c r="F103" s="5">
        <f t="shared" si="20"/>
        <v>1.95406603108912E-3</v>
      </c>
      <c r="G103" s="2"/>
      <c r="H103" s="2">
        <f>SUM(OSRRefH22_8x_0)</f>
        <v>465</v>
      </c>
      <c r="I103" s="2"/>
      <c r="J103" s="5">
        <f t="shared" si="21"/>
        <v>8.80388355396686E-4</v>
      </c>
      <c r="K103" s="2"/>
      <c r="L103" s="2">
        <f t="shared" si="22"/>
        <v>1375.15</v>
      </c>
      <c r="M103" s="2"/>
      <c r="N103" s="5">
        <f t="shared" si="23"/>
        <v>2.9573118279569894</v>
      </c>
      <c r="O103" s="11"/>
      <c r="P103" s="2">
        <f>SUM(OSRRefP22_8x_0)</f>
        <v>6899.76</v>
      </c>
      <c r="Q103" s="2"/>
      <c r="R103" s="5">
        <f t="shared" si="24"/>
        <v>2.7592134858551418E-4</v>
      </c>
      <c r="S103" s="2"/>
      <c r="T103" s="2">
        <f>SUM(OSRRefT22_8x_0)</f>
        <v>6760</v>
      </c>
      <c r="U103" s="2"/>
      <c r="V103" s="5">
        <f t="shared" si="25"/>
        <v>2.9032047902191892E-4</v>
      </c>
      <c r="W103" s="2"/>
      <c r="X103" s="2">
        <f t="shared" si="26"/>
        <v>139.76000000000022</v>
      </c>
      <c r="Y103" s="2"/>
      <c r="Z103" s="5">
        <f t="shared" si="27"/>
        <v>2.0674556213017784E-2</v>
      </c>
    </row>
    <row r="104" spans="1:26" s="70" customFormat="1" ht="15" hidden="1" customHeight="1" outlineLevel="2" x14ac:dyDescent="0.3">
      <c r="A104" s="21"/>
      <c r="B104" s="9" t="str">
        <f>CONCATENATE("          ","6277"," - ","EMPLOYEE APPRECIATION")</f>
        <v xml:space="preserve">          6277 - EMPLOYEE APPRECIATION</v>
      </c>
      <c r="C104" s="9"/>
      <c r="D104" s="6">
        <v>1840.15</v>
      </c>
      <c r="E104" s="3"/>
      <c r="F104" s="7">
        <f t="shared" si="20"/>
        <v>1.95406603108912E-3</v>
      </c>
      <c r="G104" s="3"/>
      <c r="H104" s="6">
        <v>465</v>
      </c>
      <c r="I104" s="3"/>
      <c r="J104" s="7">
        <f t="shared" si="21"/>
        <v>8.80388355396686E-4</v>
      </c>
      <c r="K104" s="3"/>
      <c r="L104" s="6">
        <f t="shared" si="22"/>
        <v>1375.15</v>
      </c>
      <c r="M104" s="3"/>
      <c r="N104" s="7">
        <f t="shared" si="23"/>
        <v>2.9573118279569894</v>
      </c>
      <c r="O104" s="9"/>
      <c r="P104" s="6">
        <v>6899.76</v>
      </c>
      <c r="Q104" s="3"/>
      <c r="R104" s="7">
        <f t="shared" si="24"/>
        <v>2.7592134858551418E-4</v>
      </c>
      <c r="S104" s="3"/>
      <c r="T104" s="6">
        <v>6760</v>
      </c>
      <c r="U104" s="3"/>
      <c r="V104" s="7">
        <f t="shared" si="25"/>
        <v>2.9032047902191892E-4</v>
      </c>
      <c r="W104" s="3"/>
      <c r="X104" s="6">
        <f t="shared" si="26"/>
        <v>139.76000000000022</v>
      </c>
      <c r="Y104" s="3"/>
      <c r="Z104" s="7">
        <f t="shared" si="27"/>
        <v>2.0674556213017784E-2</v>
      </c>
    </row>
    <row r="105" spans="1:26" s="69" customFormat="1" ht="15" customHeight="1" outlineLevel="1" collapsed="1" x14ac:dyDescent="0.3">
      <c r="A105" s="20"/>
      <c r="B105" s="11" t="str">
        <f>CONCATENATE("     ","Equipment Rental                                  ")</f>
        <v xml:space="preserve">     Equipment Rental                                  </v>
      </c>
      <c r="C105" s="11"/>
      <c r="D105" s="2">
        <f>SUM(OSRRefD22_9x_0)</f>
        <v>4124.8</v>
      </c>
      <c r="E105" s="2"/>
      <c r="F105" s="5">
        <f t="shared" si="20"/>
        <v>4.3801492079647867E-3</v>
      </c>
      <c r="G105" s="2"/>
      <c r="H105" s="2">
        <f>SUM(OSRRefH22_9x_0)</f>
        <v>3446</v>
      </c>
      <c r="I105" s="2"/>
      <c r="J105" s="5">
        <f t="shared" si="21"/>
        <v>6.5243403713913543E-3</v>
      </c>
      <c r="K105" s="2"/>
      <c r="L105" s="2">
        <f t="shared" si="22"/>
        <v>678.80000000000018</v>
      </c>
      <c r="M105" s="2"/>
      <c r="N105" s="5">
        <f t="shared" si="23"/>
        <v>0.19698200812536279</v>
      </c>
      <c r="O105" s="11"/>
      <c r="P105" s="2">
        <f>SUM(OSRRefP22_9x_0)</f>
        <v>43858.47</v>
      </c>
      <c r="Q105" s="2"/>
      <c r="R105" s="5">
        <f t="shared" si="24"/>
        <v>1.7538998732270856E-3</v>
      </c>
      <c r="S105" s="2"/>
      <c r="T105" s="2">
        <f>SUM(OSRRefT22_9x_0)</f>
        <v>41152</v>
      </c>
      <c r="U105" s="2"/>
      <c r="V105" s="5">
        <f t="shared" si="25"/>
        <v>1.767347389454143E-3</v>
      </c>
      <c r="W105" s="2"/>
      <c r="X105" s="2">
        <f t="shared" si="26"/>
        <v>2706.4700000000012</v>
      </c>
      <c r="Y105" s="2"/>
      <c r="Z105" s="5">
        <f t="shared" si="27"/>
        <v>6.5767641912908265E-2</v>
      </c>
    </row>
    <row r="106" spans="1:26" s="70" customFormat="1" ht="15" hidden="1" customHeight="1" outlineLevel="2" x14ac:dyDescent="0.3">
      <c r="A106" s="21"/>
      <c r="B106" s="9" t="str">
        <f>CONCATENATE("          ","6351"," - ","EQUIPMENT RENTAL")</f>
        <v xml:space="preserve">          6351 - EQUIPMENT RENTAL</v>
      </c>
      <c r="C106" s="9"/>
      <c r="D106" s="6">
        <v>4124.8</v>
      </c>
      <c r="E106" s="3"/>
      <c r="F106" s="7">
        <f t="shared" si="20"/>
        <v>4.3801492079647867E-3</v>
      </c>
      <c r="G106" s="3"/>
      <c r="H106" s="6">
        <v>3446</v>
      </c>
      <c r="I106" s="3"/>
      <c r="J106" s="7">
        <f t="shared" si="21"/>
        <v>6.5243403713913543E-3</v>
      </c>
      <c r="K106" s="3"/>
      <c r="L106" s="6">
        <f t="shared" si="22"/>
        <v>678.80000000000018</v>
      </c>
      <c r="M106" s="3"/>
      <c r="N106" s="7">
        <f t="shared" si="23"/>
        <v>0.19698200812536279</v>
      </c>
      <c r="O106" s="9"/>
      <c r="P106" s="6">
        <v>43858.47</v>
      </c>
      <c r="Q106" s="3"/>
      <c r="R106" s="7">
        <f t="shared" si="24"/>
        <v>1.7538998732270856E-3</v>
      </c>
      <c r="S106" s="3"/>
      <c r="T106" s="6">
        <v>41152</v>
      </c>
      <c r="U106" s="3"/>
      <c r="V106" s="7">
        <f t="shared" si="25"/>
        <v>1.767347389454143E-3</v>
      </c>
      <c r="W106" s="3"/>
      <c r="X106" s="6">
        <f t="shared" si="26"/>
        <v>2706.4700000000012</v>
      </c>
      <c r="Y106" s="3"/>
      <c r="Z106" s="7">
        <f t="shared" si="27"/>
        <v>6.5767641912908265E-2</v>
      </c>
    </row>
    <row r="107" spans="1:26" s="69" customFormat="1" ht="15" customHeight="1" outlineLevel="1" collapsed="1" x14ac:dyDescent="0.3">
      <c r="A107" s="20"/>
      <c r="B107" s="11" t="str">
        <f>CONCATENATE("     ","Freight out/Postage                               ")</f>
        <v xml:space="preserve">     Freight out/Postage                               </v>
      </c>
      <c r="C107" s="11"/>
      <c r="D107" s="2">
        <f>SUM(OSRRefD22_10x_0)</f>
        <v>6549</v>
      </c>
      <c r="E107" s="2"/>
      <c r="F107" s="5">
        <f t="shared" si="20"/>
        <v>6.9544213447831141E-3</v>
      </c>
      <c r="G107" s="2"/>
      <c r="H107" s="2">
        <f>SUM(OSRRefH22_10x_0)</f>
        <v>-2325</v>
      </c>
      <c r="I107" s="2"/>
      <c r="J107" s="5">
        <f t="shared" si="21"/>
        <v>-4.4019417769834293E-3</v>
      </c>
      <c r="K107" s="2"/>
      <c r="L107" s="2">
        <f t="shared" si="22"/>
        <v>8874</v>
      </c>
      <c r="M107" s="2"/>
      <c r="N107" s="5">
        <f t="shared" si="23"/>
        <v>-3.8167741935483872</v>
      </c>
      <c r="O107" s="11"/>
      <c r="P107" s="2">
        <f>SUM(OSRRefP22_10x_0)</f>
        <v>-38546.899999999994</v>
      </c>
      <c r="Q107" s="2"/>
      <c r="R107" s="5">
        <f t="shared" si="24"/>
        <v>-1.5414902303545275E-3</v>
      </c>
      <c r="S107" s="2"/>
      <c r="T107" s="2">
        <f>SUM(OSRRefT22_10x_0)</f>
        <v>-16100</v>
      </c>
      <c r="U107" s="2"/>
      <c r="V107" s="5">
        <f t="shared" si="25"/>
        <v>-6.9144374441610864E-4</v>
      </c>
      <c r="W107" s="2"/>
      <c r="X107" s="2">
        <f t="shared" si="26"/>
        <v>-22446.899999999994</v>
      </c>
      <c r="Y107" s="2"/>
      <c r="Z107" s="5">
        <f t="shared" si="27"/>
        <v>1.3942173913043474</v>
      </c>
    </row>
    <row r="108" spans="1:26" s="70" customFormat="1" ht="15" hidden="1" customHeight="1" outlineLevel="2" x14ac:dyDescent="0.3">
      <c r="A108" s="21"/>
      <c r="B108" s="9" t="str">
        <f>CONCATENATE("          ","6305"," - ","FREIGHT OUT")</f>
        <v xml:space="preserve">          6305 - FREIGHT OUT</v>
      </c>
      <c r="C108" s="9"/>
      <c r="D108" s="6">
        <v>19990.48</v>
      </c>
      <c r="E108" s="3"/>
      <c r="F108" s="7">
        <f t="shared" si="20"/>
        <v>2.1228007452200326E-2</v>
      </c>
      <c r="G108" s="3"/>
      <c r="H108" s="6">
        <v>2065</v>
      </c>
      <c r="I108" s="3"/>
      <c r="J108" s="7">
        <f t="shared" si="21"/>
        <v>3.9096816212777557E-3</v>
      </c>
      <c r="K108" s="3"/>
      <c r="L108" s="6">
        <f t="shared" si="22"/>
        <v>17925.48</v>
      </c>
      <c r="M108" s="3"/>
      <c r="N108" s="7">
        <f t="shared" si="23"/>
        <v>8.6806198547215487</v>
      </c>
      <c r="O108" s="9"/>
      <c r="P108" s="6">
        <v>154533.35</v>
      </c>
      <c r="Q108" s="3"/>
      <c r="R108" s="7">
        <f t="shared" si="24"/>
        <v>6.1797874612214438E-3</v>
      </c>
      <c r="S108" s="3"/>
      <c r="T108" s="6">
        <v>157080</v>
      </c>
      <c r="U108" s="3"/>
      <c r="V108" s="7">
        <f t="shared" si="25"/>
        <v>6.746085923781512E-3</v>
      </c>
      <c r="W108" s="3"/>
      <c r="X108" s="6">
        <f t="shared" si="26"/>
        <v>-2546.6499999999942</v>
      </c>
      <c r="Y108" s="3"/>
      <c r="Z108" s="7">
        <f t="shared" si="27"/>
        <v>-1.6212439521263014E-2</v>
      </c>
    </row>
    <row r="109" spans="1:26" s="70" customFormat="1" ht="15" hidden="1" customHeight="1" outlineLevel="2" x14ac:dyDescent="0.3">
      <c r="A109" s="21"/>
      <c r="B109" s="9" t="str">
        <f>CONCATENATE("          ","6307"," - ","POSTAGE")</f>
        <v xml:space="preserve">          6307 - POSTAGE</v>
      </c>
      <c r="C109" s="9"/>
      <c r="D109" s="6">
        <v>-13441.48</v>
      </c>
      <c r="E109" s="3"/>
      <c r="F109" s="7">
        <f t="shared" si="20"/>
        <v>-1.4273586107417214E-2</v>
      </c>
      <c r="G109" s="3"/>
      <c r="H109" s="6">
        <v>-4390</v>
      </c>
      <c r="I109" s="3"/>
      <c r="J109" s="7">
        <f t="shared" si="21"/>
        <v>-8.3116233982611851E-3</v>
      </c>
      <c r="K109" s="3"/>
      <c r="L109" s="6">
        <f t="shared" si="22"/>
        <v>-9051.48</v>
      </c>
      <c r="M109" s="3"/>
      <c r="N109" s="7">
        <f t="shared" si="23"/>
        <v>2.0618405466970384</v>
      </c>
      <c r="O109" s="9"/>
      <c r="P109" s="6">
        <v>-193080.25</v>
      </c>
      <c r="Q109" s="3"/>
      <c r="R109" s="7">
        <f t="shared" si="24"/>
        <v>-7.7212776915759713E-3</v>
      </c>
      <c r="S109" s="3"/>
      <c r="T109" s="6">
        <v>-173180</v>
      </c>
      <c r="U109" s="3"/>
      <c r="V109" s="7">
        <f t="shared" si="25"/>
        <v>-7.4375296681976205E-3</v>
      </c>
      <c r="W109" s="3"/>
      <c r="X109" s="6">
        <f t="shared" si="26"/>
        <v>-19900.25</v>
      </c>
      <c r="Y109" s="3"/>
      <c r="Z109" s="7">
        <f t="shared" si="27"/>
        <v>0.11491078646494976</v>
      </c>
    </row>
    <row r="110" spans="1:26" s="69" customFormat="1" ht="15" customHeight="1" outlineLevel="1" collapsed="1" x14ac:dyDescent="0.3">
      <c r="A110" s="20"/>
      <c r="B110" s="11" t="str">
        <f>CONCATENATE("     ","General                                           ")</f>
        <v xml:space="preserve">     General                                           </v>
      </c>
      <c r="C110" s="11"/>
      <c r="D110" s="2">
        <f>SUM(OSRRefD22_11x_0)</f>
        <v>5971.12</v>
      </c>
      <c r="E110" s="2"/>
      <c r="F110" s="5">
        <f t="shared" si="20"/>
        <v>6.3407671980854098E-3</v>
      </c>
      <c r="G110" s="2"/>
      <c r="H110" s="2">
        <f>SUM(OSRRefH22_11x_0)</f>
        <v>1820</v>
      </c>
      <c r="I110" s="2"/>
      <c r="J110" s="5">
        <f t="shared" si="21"/>
        <v>3.4458210899397171E-3</v>
      </c>
      <c r="K110" s="2"/>
      <c r="L110" s="2">
        <f t="shared" si="22"/>
        <v>4151.12</v>
      </c>
      <c r="M110" s="2"/>
      <c r="N110" s="5">
        <f t="shared" si="23"/>
        <v>2.2808351648351648</v>
      </c>
      <c r="O110" s="11"/>
      <c r="P110" s="2">
        <f>SUM(OSRRefP22_11x_0)</f>
        <v>83261.320000000007</v>
      </c>
      <c r="Q110" s="2"/>
      <c r="R110" s="5">
        <f t="shared" si="24"/>
        <v>3.3296195374056554E-3</v>
      </c>
      <c r="S110" s="2"/>
      <c r="T110" s="2">
        <f>SUM(OSRRefT22_11x_0)</f>
        <v>27210</v>
      </c>
      <c r="U110" s="2"/>
      <c r="V110" s="5">
        <f t="shared" si="25"/>
        <v>1.1685828748796469E-3</v>
      </c>
      <c r="W110" s="2"/>
      <c r="X110" s="2">
        <f t="shared" si="26"/>
        <v>56051.320000000007</v>
      </c>
      <c r="Y110" s="2"/>
      <c r="Z110" s="5">
        <f t="shared" si="27"/>
        <v>2.0599529584711505</v>
      </c>
    </row>
    <row r="111" spans="1:26" s="70" customFormat="1" ht="15" hidden="1" customHeight="1" outlineLevel="2" x14ac:dyDescent="0.3">
      <c r="A111" s="21"/>
      <c r="B111" s="9" t="str">
        <f>CONCATENATE("          ","6269"," - ","ENTERTAINMENT")</f>
        <v xml:space="preserve">          6269 - ENTERTAINMENT</v>
      </c>
      <c r="C111" s="9"/>
      <c r="D111" s="6"/>
      <c r="E111" s="3"/>
      <c r="F111" s="7">
        <f t="shared" si="20"/>
        <v>0</v>
      </c>
      <c r="G111" s="3"/>
      <c r="H111" s="6"/>
      <c r="I111" s="3"/>
      <c r="J111" s="7">
        <f t="shared" si="21"/>
        <v>0</v>
      </c>
      <c r="K111" s="3"/>
      <c r="L111" s="6">
        <f t="shared" si="22"/>
        <v>0</v>
      </c>
      <c r="M111" s="3"/>
      <c r="N111" s="7">
        <f t="shared" si="23"/>
        <v>0</v>
      </c>
      <c r="O111" s="9"/>
      <c r="P111" s="6"/>
      <c r="Q111" s="3"/>
      <c r="R111" s="7">
        <f t="shared" si="24"/>
        <v>0</v>
      </c>
      <c r="S111" s="3"/>
      <c r="T111" s="6">
        <v>500</v>
      </c>
      <c r="U111" s="3"/>
      <c r="V111" s="7">
        <f t="shared" si="25"/>
        <v>2.1473408211680393E-5</v>
      </c>
      <c r="W111" s="3"/>
      <c r="X111" s="6">
        <f t="shared" si="26"/>
        <v>-500</v>
      </c>
      <c r="Y111" s="3"/>
      <c r="Z111" s="7">
        <f t="shared" si="27"/>
        <v>-1</v>
      </c>
    </row>
    <row r="112" spans="1:26" s="70" customFormat="1" ht="15" hidden="1" customHeight="1" outlineLevel="2" x14ac:dyDescent="0.3">
      <c r="A112" s="21"/>
      <c r="B112" s="9" t="str">
        <f>CONCATENATE("          ","6276"," - ","PROPERTY TAX")</f>
        <v xml:space="preserve">          6276 - PROPERTY TAX</v>
      </c>
      <c r="C112" s="9"/>
      <c r="D112" s="6"/>
      <c r="E112" s="3"/>
      <c r="F112" s="7">
        <f t="shared" si="20"/>
        <v>0</v>
      </c>
      <c r="G112" s="3"/>
      <c r="H112" s="6"/>
      <c r="I112" s="3"/>
      <c r="J112" s="7">
        <f t="shared" si="21"/>
        <v>0</v>
      </c>
      <c r="K112" s="3"/>
      <c r="L112" s="6">
        <f t="shared" si="22"/>
        <v>0</v>
      </c>
      <c r="M112" s="3"/>
      <c r="N112" s="7">
        <f t="shared" si="23"/>
        <v>0</v>
      </c>
      <c r="O112" s="9"/>
      <c r="P112" s="6"/>
      <c r="Q112" s="3"/>
      <c r="R112" s="7">
        <f t="shared" si="24"/>
        <v>0</v>
      </c>
      <c r="S112" s="3"/>
      <c r="T112" s="6">
        <v>1250</v>
      </c>
      <c r="U112" s="3"/>
      <c r="V112" s="7">
        <f t="shared" si="25"/>
        <v>5.3683520529200981E-5</v>
      </c>
      <c r="W112" s="3"/>
      <c r="X112" s="6">
        <f t="shared" si="26"/>
        <v>-1250</v>
      </c>
      <c r="Y112" s="3"/>
      <c r="Z112" s="7">
        <f t="shared" si="27"/>
        <v>-1</v>
      </c>
    </row>
    <row r="113" spans="1:26" s="70" customFormat="1" ht="15" hidden="1" customHeight="1" outlineLevel="2" x14ac:dyDescent="0.3">
      <c r="A113" s="21"/>
      <c r="B113" s="9" t="str">
        <f>CONCATENATE("          ","6279"," - ","GENERAL EXPENSE")</f>
        <v xml:space="preserve">          6279 - GENERAL EXPENSE</v>
      </c>
      <c r="C113" s="9"/>
      <c r="D113" s="6">
        <v>5971.12</v>
      </c>
      <c r="E113" s="3"/>
      <c r="F113" s="7">
        <f t="shared" si="20"/>
        <v>6.3407671980854098E-3</v>
      </c>
      <c r="G113" s="3"/>
      <c r="H113" s="6">
        <v>1820</v>
      </c>
      <c r="I113" s="3"/>
      <c r="J113" s="7">
        <f t="shared" si="21"/>
        <v>3.4458210899397171E-3</v>
      </c>
      <c r="K113" s="3"/>
      <c r="L113" s="6">
        <f t="shared" si="22"/>
        <v>4151.12</v>
      </c>
      <c r="M113" s="3"/>
      <c r="N113" s="7">
        <f t="shared" si="23"/>
        <v>2.2808351648351648</v>
      </c>
      <c r="O113" s="9"/>
      <c r="P113" s="6">
        <v>83261.320000000007</v>
      </c>
      <c r="Q113" s="3"/>
      <c r="R113" s="7">
        <f t="shared" si="24"/>
        <v>3.3296195374056554E-3</v>
      </c>
      <c r="S113" s="3"/>
      <c r="T113" s="6">
        <v>25460</v>
      </c>
      <c r="U113" s="3"/>
      <c r="V113" s="7">
        <f t="shared" si="25"/>
        <v>1.0934259461387655E-3</v>
      </c>
      <c r="W113" s="3"/>
      <c r="X113" s="6">
        <f t="shared" si="26"/>
        <v>57801.320000000007</v>
      </c>
      <c r="Y113" s="3"/>
      <c r="Z113" s="7">
        <f t="shared" si="27"/>
        <v>2.2702796543597805</v>
      </c>
    </row>
    <row r="114" spans="1:26" s="69" customFormat="1" ht="15" customHeight="1" outlineLevel="1" collapsed="1" x14ac:dyDescent="0.3">
      <c r="A114" s="20"/>
      <c r="B114" s="11" t="str">
        <f>CONCATENATE("     ","Insurance                                         ")</f>
        <v xml:space="preserve">     Insurance                                         </v>
      </c>
      <c r="C114" s="11"/>
      <c r="D114" s="2">
        <f>SUM(OSRRefD22_12x_0)</f>
        <v>-3580.22</v>
      </c>
      <c r="E114" s="2"/>
      <c r="F114" s="5">
        <f t="shared" si="20"/>
        <v>-3.8018565257320809E-3</v>
      </c>
      <c r="G114" s="2"/>
      <c r="H114" s="2">
        <f>SUM(OSRRefH22_12x_0)</f>
        <v>11425</v>
      </c>
      <c r="I114" s="2"/>
      <c r="J114" s="5">
        <f t="shared" si="21"/>
        <v>2.1631047226682014E-2</v>
      </c>
      <c r="K114" s="2"/>
      <c r="L114" s="2">
        <f t="shared" si="22"/>
        <v>-15005.22</v>
      </c>
      <c r="M114" s="2"/>
      <c r="N114" s="5">
        <f t="shared" si="23"/>
        <v>-1.3133671772428883</v>
      </c>
      <c r="O114" s="11"/>
      <c r="P114" s="2">
        <f>SUM(OSRRefP22_12x_0)</f>
        <v>131193.51999999999</v>
      </c>
      <c r="Q114" s="2"/>
      <c r="R114" s="5">
        <f t="shared" si="24"/>
        <v>5.2464278415597964E-3</v>
      </c>
      <c r="S114" s="2"/>
      <c r="T114" s="2">
        <f>SUM(OSRRefT22_12x_0)</f>
        <v>137100</v>
      </c>
      <c r="U114" s="2"/>
      <c r="V114" s="5">
        <f t="shared" si="25"/>
        <v>5.8880085316427638E-3</v>
      </c>
      <c r="W114" s="2"/>
      <c r="X114" s="2">
        <f t="shared" si="26"/>
        <v>-5906.4800000000105</v>
      </c>
      <c r="Y114" s="2"/>
      <c r="Z114" s="5">
        <f t="shared" si="27"/>
        <v>-4.3081546316557334E-2</v>
      </c>
    </row>
    <row r="115" spans="1:26" s="70" customFormat="1" ht="15" hidden="1" customHeight="1" outlineLevel="2" x14ac:dyDescent="0.3">
      <c r="A115" s="21"/>
      <c r="B115" s="9" t="str">
        <f>CONCATENATE("          ","6314"," - ","LIABILITY INSURANCE")</f>
        <v xml:space="preserve">          6314 - LIABILITY INSURANCE</v>
      </c>
      <c r="C115" s="9"/>
      <c r="D115" s="6">
        <v>-3580.22</v>
      </c>
      <c r="E115" s="3"/>
      <c r="F115" s="7">
        <f t="shared" si="20"/>
        <v>-3.8018565257320809E-3</v>
      </c>
      <c r="G115" s="3"/>
      <c r="H115" s="6">
        <v>11425</v>
      </c>
      <c r="I115" s="3"/>
      <c r="J115" s="7">
        <f t="shared" si="21"/>
        <v>2.1631047226682014E-2</v>
      </c>
      <c r="K115" s="3"/>
      <c r="L115" s="6">
        <f t="shared" si="22"/>
        <v>-15005.22</v>
      </c>
      <c r="M115" s="3"/>
      <c r="N115" s="7">
        <f t="shared" si="23"/>
        <v>-1.3133671772428883</v>
      </c>
      <c r="O115" s="9"/>
      <c r="P115" s="6">
        <v>131193.51999999999</v>
      </c>
      <c r="Q115" s="3"/>
      <c r="R115" s="7">
        <f t="shared" si="24"/>
        <v>5.2464278415597964E-3</v>
      </c>
      <c r="S115" s="3"/>
      <c r="T115" s="6">
        <v>137100</v>
      </c>
      <c r="U115" s="3"/>
      <c r="V115" s="7">
        <f t="shared" si="25"/>
        <v>5.8880085316427638E-3</v>
      </c>
      <c r="W115" s="3"/>
      <c r="X115" s="6">
        <f t="shared" si="26"/>
        <v>-5906.4800000000105</v>
      </c>
      <c r="Y115" s="3"/>
      <c r="Z115" s="7">
        <f t="shared" si="27"/>
        <v>-4.3081546316557334E-2</v>
      </c>
    </row>
    <row r="116" spans="1:26" s="69" customFormat="1" ht="15" customHeight="1" outlineLevel="1" collapsed="1" x14ac:dyDescent="0.3">
      <c r="A116" s="20"/>
      <c r="B116" s="11" t="str">
        <f>CONCATENATE("     ","Interest                                          ")</f>
        <v xml:space="preserve">     Interest                                          </v>
      </c>
      <c r="C116" s="11"/>
      <c r="D116" s="2">
        <f>SUM(OSRRefD22_13x_0)</f>
        <v>11158</v>
      </c>
      <c r="E116" s="2"/>
      <c r="F116" s="5">
        <f t="shared" si="20"/>
        <v>1.1848745360374101E-2</v>
      </c>
      <c r="G116" s="2"/>
      <c r="H116" s="2">
        <f>SUM(OSRRefH22_13x_0)</f>
        <v>10742</v>
      </c>
      <c r="I116" s="2"/>
      <c r="J116" s="5">
        <f t="shared" si="21"/>
        <v>2.0337917663809033E-2</v>
      </c>
      <c r="K116" s="2"/>
      <c r="L116" s="2">
        <f t="shared" si="22"/>
        <v>416</v>
      </c>
      <c r="M116" s="2"/>
      <c r="N116" s="5">
        <f t="shared" si="23"/>
        <v>3.8726494135170361E-2</v>
      </c>
      <c r="O116" s="11"/>
      <c r="P116" s="2">
        <f>SUM(OSRRefP22_13x_0)</f>
        <v>130608</v>
      </c>
      <c r="Q116" s="2"/>
      <c r="R116" s="5">
        <f t="shared" si="24"/>
        <v>5.2230129013265437E-3</v>
      </c>
      <c r="S116" s="2"/>
      <c r="T116" s="2">
        <f>SUM(OSRRefT22_13x_0)</f>
        <v>133064</v>
      </c>
      <c r="U116" s="2"/>
      <c r="V116" s="5">
        <f t="shared" si="25"/>
        <v>5.7146751805580796E-3</v>
      </c>
      <c r="W116" s="2"/>
      <c r="X116" s="2">
        <f t="shared" si="26"/>
        <v>-2456</v>
      </c>
      <c r="Y116" s="2"/>
      <c r="Z116" s="5">
        <f t="shared" si="27"/>
        <v>-1.8457283713100462E-2</v>
      </c>
    </row>
    <row r="117" spans="1:26" s="70" customFormat="1" ht="15" hidden="1" customHeight="1" outlineLevel="2" x14ac:dyDescent="0.3">
      <c r="A117" s="21"/>
      <c r="B117" s="9" t="str">
        <f>CONCATENATE("          ","6401"," - ","INTEREST EXPENSE")</f>
        <v xml:space="preserve">          6401 - INTEREST EXPENSE</v>
      </c>
      <c r="C117" s="9"/>
      <c r="D117" s="6">
        <v>11158</v>
      </c>
      <c r="E117" s="3"/>
      <c r="F117" s="7">
        <f t="shared" si="20"/>
        <v>1.1848745360374101E-2</v>
      </c>
      <c r="G117" s="3"/>
      <c r="H117" s="6">
        <v>10742</v>
      </c>
      <c r="I117" s="3"/>
      <c r="J117" s="7">
        <f t="shared" si="21"/>
        <v>2.0337917663809033E-2</v>
      </c>
      <c r="K117" s="3"/>
      <c r="L117" s="6">
        <f t="shared" si="22"/>
        <v>416</v>
      </c>
      <c r="M117" s="3"/>
      <c r="N117" s="7">
        <f t="shared" si="23"/>
        <v>3.8726494135170361E-2</v>
      </c>
      <c r="O117" s="9"/>
      <c r="P117" s="6">
        <v>130608</v>
      </c>
      <c r="Q117" s="3"/>
      <c r="R117" s="7">
        <f t="shared" si="24"/>
        <v>5.2230129013265437E-3</v>
      </c>
      <c r="S117" s="3"/>
      <c r="T117" s="6">
        <v>133064</v>
      </c>
      <c r="U117" s="3"/>
      <c r="V117" s="7">
        <f t="shared" si="25"/>
        <v>5.7146751805580796E-3</v>
      </c>
      <c r="W117" s="3"/>
      <c r="X117" s="6">
        <f t="shared" si="26"/>
        <v>-2456</v>
      </c>
      <c r="Y117" s="3"/>
      <c r="Z117" s="7">
        <f t="shared" si="27"/>
        <v>-1.8457283713100462E-2</v>
      </c>
    </row>
    <row r="118" spans="1:26" s="69" customFormat="1" ht="15" customHeight="1" outlineLevel="1" collapsed="1" x14ac:dyDescent="0.3">
      <c r="A118" s="20"/>
      <c r="B118" s="11" t="str">
        <f>CONCATENATE("     ","Inventory Adjustment                              ")</f>
        <v xml:space="preserve">     Inventory Adjustment                              </v>
      </c>
      <c r="C118" s="11"/>
      <c r="D118" s="2">
        <f>SUM(OSRRefD22_14x_0)</f>
        <v>-70840</v>
      </c>
      <c r="E118" s="2"/>
      <c r="F118" s="5">
        <f t="shared" si="20"/>
        <v>-7.5225409690706332E-2</v>
      </c>
      <c r="G118" s="2"/>
      <c r="H118" s="2">
        <f>SUM(OSRRefH22_14x_0)</f>
        <v>19650</v>
      </c>
      <c r="I118" s="2"/>
      <c r="J118" s="5">
        <f t="shared" si="21"/>
        <v>3.7203507921601889E-2</v>
      </c>
      <c r="K118" s="2"/>
      <c r="L118" s="2">
        <f t="shared" si="22"/>
        <v>-90490</v>
      </c>
      <c r="M118" s="2"/>
      <c r="N118" s="5">
        <f t="shared" si="23"/>
        <v>-4.6050890585241726</v>
      </c>
      <c r="O118" s="11"/>
      <c r="P118" s="2">
        <f>SUM(OSRRefP22_14x_0)</f>
        <v>0</v>
      </c>
      <c r="Q118" s="2"/>
      <c r="R118" s="5">
        <f t="shared" si="24"/>
        <v>0</v>
      </c>
      <c r="S118" s="2"/>
      <c r="T118" s="2">
        <f>SUM(OSRRefT22_14x_0)</f>
        <v>91200</v>
      </c>
      <c r="U118" s="2"/>
      <c r="V118" s="5">
        <f t="shared" si="25"/>
        <v>3.9167496578105037E-3</v>
      </c>
      <c r="W118" s="2"/>
      <c r="X118" s="2">
        <f t="shared" si="26"/>
        <v>-91200</v>
      </c>
      <c r="Y118" s="2"/>
      <c r="Z118" s="5">
        <f t="shared" si="27"/>
        <v>-1</v>
      </c>
    </row>
    <row r="119" spans="1:26" s="70" customFormat="1" ht="15" hidden="1" customHeight="1" outlineLevel="2" x14ac:dyDescent="0.3">
      <c r="A119" s="21"/>
      <c r="B119" s="9" t="str">
        <f>CONCATENATE("          ","6408"," - ","INVENTORY ADJUSTMENT")</f>
        <v xml:space="preserve">          6408 - INVENTORY ADJUSTMENT</v>
      </c>
      <c r="C119" s="9"/>
      <c r="D119" s="6">
        <v>-70840</v>
      </c>
      <c r="E119" s="3"/>
      <c r="F119" s="7">
        <f t="shared" si="20"/>
        <v>-7.5225409690706332E-2</v>
      </c>
      <c r="G119" s="3"/>
      <c r="H119" s="6">
        <v>19650</v>
      </c>
      <c r="I119" s="3"/>
      <c r="J119" s="7">
        <f t="shared" si="21"/>
        <v>3.7203507921601889E-2</v>
      </c>
      <c r="K119" s="3"/>
      <c r="L119" s="6">
        <f t="shared" si="22"/>
        <v>-90490</v>
      </c>
      <c r="M119" s="3"/>
      <c r="N119" s="7">
        <f t="shared" si="23"/>
        <v>-4.6050890585241726</v>
      </c>
      <c r="O119" s="9"/>
      <c r="P119" s="6">
        <v>0</v>
      </c>
      <c r="Q119" s="3"/>
      <c r="R119" s="7">
        <f t="shared" si="24"/>
        <v>0</v>
      </c>
      <c r="S119" s="3"/>
      <c r="T119" s="6">
        <v>91200</v>
      </c>
      <c r="U119" s="3"/>
      <c r="V119" s="7">
        <f t="shared" si="25"/>
        <v>3.9167496578105037E-3</v>
      </c>
      <c r="W119" s="3"/>
      <c r="X119" s="6">
        <f t="shared" si="26"/>
        <v>-91200</v>
      </c>
      <c r="Y119" s="3"/>
      <c r="Z119" s="7">
        <f t="shared" si="27"/>
        <v>-1</v>
      </c>
    </row>
    <row r="120" spans="1:26" s="69" customFormat="1" ht="15" customHeight="1" outlineLevel="1" collapsed="1" x14ac:dyDescent="0.3">
      <c r="A120" s="20"/>
      <c r="B120" s="11" t="str">
        <f>CONCATENATE("     ","Professional Services                             ")</f>
        <v xml:space="preserve">     Professional Services                             </v>
      </c>
      <c r="C120" s="11"/>
      <c r="D120" s="2">
        <f>SUM(OSRRefD22_15x_0)</f>
        <v>1551.33</v>
      </c>
      <c r="E120" s="2"/>
      <c r="F120" s="5">
        <f t="shared" si="20"/>
        <v>1.6473663864410425E-3</v>
      </c>
      <c r="G120" s="2"/>
      <c r="H120" s="2">
        <f>SUM(OSRRefH22_15x_0)</f>
        <v>0</v>
      </c>
      <c r="I120" s="2"/>
      <c r="J120" s="5">
        <f t="shared" si="21"/>
        <v>0</v>
      </c>
      <c r="K120" s="2"/>
      <c r="L120" s="2">
        <f t="shared" si="22"/>
        <v>1551.33</v>
      </c>
      <c r="M120" s="2"/>
      <c r="N120" s="5">
        <f t="shared" si="23"/>
        <v>0</v>
      </c>
      <c r="O120" s="11"/>
      <c r="P120" s="2">
        <f>SUM(OSRRefP22_15x_0)</f>
        <v>11689.44</v>
      </c>
      <c r="Q120" s="2"/>
      <c r="R120" s="5">
        <f t="shared" si="24"/>
        <v>4.6746061442853854E-4</v>
      </c>
      <c r="S120" s="2"/>
      <c r="T120" s="2">
        <f>SUM(OSRRefT22_15x_0)</f>
        <v>1750</v>
      </c>
      <c r="U120" s="2"/>
      <c r="V120" s="5">
        <f t="shared" si="25"/>
        <v>7.5156928740881371E-5</v>
      </c>
      <c r="W120" s="2"/>
      <c r="X120" s="2">
        <f t="shared" si="26"/>
        <v>9939.44</v>
      </c>
      <c r="Y120" s="2"/>
      <c r="Z120" s="5">
        <f t="shared" si="27"/>
        <v>5.6796800000000003</v>
      </c>
    </row>
    <row r="121" spans="1:26" s="70" customFormat="1" ht="15" hidden="1" customHeight="1" outlineLevel="2" x14ac:dyDescent="0.3">
      <c r="A121" s="21"/>
      <c r="B121" s="9" t="str">
        <f>CONCATENATE("          ","6336"," - ","PROFESSIONAL SERVICES")</f>
        <v xml:space="preserve">          6336 - PROFESSIONAL SERVICES</v>
      </c>
      <c r="C121" s="9"/>
      <c r="D121" s="6">
        <v>1551.33</v>
      </c>
      <c r="E121" s="3"/>
      <c r="F121" s="7">
        <f t="shared" si="20"/>
        <v>1.6473663864410425E-3</v>
      </c>
      <c r="G121" s="3"/>
      <c r="H121" s="6">
        <v>0</v>
      </c>
      <c r="I121" s="3"/>
      <c r="J121" s="7">
        <f t="shared" si="21"/>
        <v>0</v>
      </c>
      <c r="K121" s="3"/>
      <c r="L121" s="6">
        <f t="shared" si="22"/>
        <v>1551.33</v>
      </c>
      <c r="M121" s="3"/>
      <c r="N121" s="7">
        <f t="shared" si="23"/>
        <v>0</v>
      </c>
      <c r="O121" s="9"/>
      <c r="P121" s="6">
        <v>11689.44</v>
      </c>
      <c r="Q121" s="3"/>
      <c r="R121" s="7">
        <f t="shared" si="24"/>
        <v>4.6746061442853854E-4</v>
      </c>
      <c r="S121" s="3"/>
      <c r="T121" s="6">
        <v>1750</v>
      </c>
      <c r="U121" s="3"/>
      <c r="V121" s="7">
        <f t="shared" si="25"/>
        <v>7.5156928740881371E-5</v>
      </c>
      <c r="W121" s="3"/>
      <c r="X121" s="6">
        <f t="shared" si="26"/>
        <v>9939.44</v>
      </c>
      <c r="Y121" s="3"/>
      <c r="Z121" s="7">
        <f t="shared" si="27"/>
        <v>5.6796800000000003</v>
      </c>
    </row>
    <row r="122" spans="1:26" s="69" customFormat="1" ht="15" customHeight="1" outlineLevel="1" collapsed="1" x14ac:dyDescent="0.3">
      <c r="A122" s="20"/>
      <c r="B122" s="11" t="str">
        <f>CONCATENATE("     ","R/H Commissions                                   ")</f>
        <v xml:space="preserve">     R/H Commissions                                   </v>
      </c>
      <c r="C122" s="11"/>
      <c r="D122" s="2">
        <f>SUM(OSRRefD22_16x_0)</f>
        <v>12924.29</v>
      </c>
      <c r="E122" s="2"/>
      <c r="F122" s="5">
        <f t="shared" si="20"/>
        <v>1.372437902613635E-2</v>
      </c>
      <c r="G122" s="2"/>
      <c r="H122" s="2">
        <f>SUM(OSRRefH22_16x_0)</f>
        <v>0</v>
      </c>
      <c r="I122" s="2"/>
      <c r="J122" s="5">
        <f t="shared" si="21"/>
        <v>0</v>
      </c>
      <c r="K122" s="2"/>
      <c r="L122" s="2">
        <f t="shared" si="22"/>
        <v>12924.29</v>
      </c>
      <c r="M122" s="2"/>
      <c r="N122" s="5">
        <f t="shared" si="23"/>
        <v>0</v>
      </c>
      <c r="O122" s="11"/>
      <c r="P122" s="2">
        <f>SUM(OSRRefP22_16x_0)</f>
        <v>925163.37</v>
      </c>
      <c r="Q122" s="2"/>
      <c r="R122" s="5">
        <f t="shared" si="24"/>
        <v>3.699727595051408E-2</v>
      </c>
      <c r="S122" s="2"/>
      <c r="T122" s="2">
        <f>SUM(OSRRefT22_16x_0)</f>
        <v>703152</v>
      </c>
      <c r="U122" s="2"/>
      <c r="V122" s="5">
        <f t="shared" si="25"/>
        <v>3.0198139861718983E-2</v>
      </c>
      <c r="W122" s="2"/>
      <c r="X122" s="2">
        <f t="shared" si="26"/>
        <v>222011.37</v>
      </c>
      <c r="Y122" s="2"/>
      <c r="Z122" s="5">
        <f t="shared" si="27"/>
        <v>0.31573737968462012</v>
      </c>
    </row>
    <row r="123" spans="1:26" s="70" customFormat="1" ht="15" hidden="1" customHeight="1" outlineLevel="2" x14ac:dyDescent="0.3">
      <c r="A123" s="21"/>
      <c r="B123" s="9" t="str">
        <f>CONCATENATE("          ","6387"," - ","COMMISSION DUE HOUSING")</f>
        <v xml:space="preserve">          6387 - COMMISSION DUE HOUSING</v>
      </c>
      <c r="C123" s="9"/>
      <c r="D123" s="6">
        <v>12924.29</v>
      </c>
      <c r="E123" s="3"/>
      <c r="F123" s="7">
        <f t="shared" si="20"/>
        <v>1.372437902613635E-2</v>
      </c>
      <c r="G123" s="3"/>
      <c r="H123" s="6"/>
      <c r="I123" s="3"/>
      <c r="J123" s="7">
        <f t="shared" si="21"/>
        <v>0</v>
      </c>
      <c r="K123" s="3"/>
      <c r="L123" s="6">
        <f t="shared" si="22"/>
        <v>12924.29</v>
      </c>
      <c r="M123" s="3"/>
      <c r="N123" s="7">
        <f t="shared" si="23"/>
        <v>0</v>
      </c>
      <c r="O123" s="9"/>
      <c r="P123" s="6">
        <v>925163.37</v>
      </c>
      <c r="Q123" s="3"/>
      <c r="R123" s="7">
        <f t="shared" si="24"/>
        <v>3.699727595051408E-2</v>
      </c>
      <c r="S123" s="3"/>
      <c r="T123" s="6">
        <v>703152</v>
      </c>
      <c r="U123" s="3"/>
      <c r="V123" s="7">
        <f t="shared" si="25"/>
        <v>3.0198139861718983E-2</v>
      </c>
      <c r="W123" s="3"/>
      <c r="X123" s="6">
        <f t="shared" si="26"/>
        <v>222011.37</v>
      </c>
      <c r="Y123" s="3"/>
      <c r="Z123" s="7">
        <f t="shared" si="27"/>
        <v>0.31573737968462012</v>
      </c>
    </row>
    <row r="124" spans="1:26" s="69" customFormat="1" ht="15" customHeight="1" outlineLevel="1" collapsed="1" x14ac:dyDescent="0.3">
      <c r="A124" s="20"/>
      <c r="B124" s="11" t="str">
        <f>CONCATENATE("     ","Rent                                              ")</f>
        <v xml:space="preserve">     Rent                                              </v>
      </c>
      <c r="C124" s="11"/>
      <c r="D124" s="2">
        <f>SUM(OSRRefD22_17x_0)</f>
        <v>8750</v>
      </c>
      <c r="E124" s="2"/>
      <c r="F124" s="5">
        <f t="shared" si="20"/>
        <v>9.2916760981603674E-3</v>
      </c>
      <c r="G124" s="2"/>
      <c r="H124" s="2">
        <f>SUM(OSRRefH22_17x_0)</f>
        <v>8750</v>
      </c>
      <c r="I124" s="2"/>
      <c r="J124" s="5">
        <f t="shared" si="21"/>
        <v>1.6566447547787102E-2</v>
      </c>
      <c r="K124" s="2"/>
      <c r="L124" s="2">
        <f t="shared" si="22"/>
        <v>0</v>
      </c>
      <c r="M124" s="2"/>
      <c r="N124" s="5">
        <f t="shared" si="23"/>
        <v>0</v>
      </c>
      <c r="O124" s="11"/>
      <c r="P124" s="2">
        <f>SUM(OSRRefP22_17x_0)</f>
        <v>105000</v>
      </c>
      <c r="Q124" s="2"/>
      <c r="R124" s="5">
        <f t="shared" si="24"/>
        <v>4.1989491810554263E-3</v>
      </c>
      <c r="S124" s="2"/>
      <c r="T124" s="2">
        <f>SUM(OSRRefT22_17x_0)</f>
        <v>105000</v>
      </c>
      <c r="U124" s="2"/>
      <c r="V124" s="5">
        <f t="shared" si="25"/>
        <v>4.5094157244528824E-3</v>
      </c>
      <c r="W124" s="2"/>
      <c r="X124" s="2">
        <f t="shared" si="26"/>
        <v>0</v>
      </c>
      <c r="Y124" s="2"/>
      <c r="Z124" s="5">
        <f t="shared" si="27"/>
        <v>0</v>
      </c>
    </row>
    <row r="125" spans="1:26" s="70" customFormat="1" ht="15" hidden="1" customHeight="1" outlineLevel="2" x14ac:dyDescent="0.3">
      <c r="A125" s="21"/>
      <c r="B125" s="9" t="str">
        <f>CONCATENATE("          ","6273"," - ","RENT")</f>
        <v xml:space="preserve">          6273 - RENT</v>
      </c>
      <c r="C125" s="9"/>
      <c r="D125" s="6">
        <v>8750</v>
      </c>
      <c r="E125" s="3"/>
      <c r="F125" s="7">
        <f t="shared" si="20"/>
        <v>9.2916760981603674E-3</v>
      </c>
      <c r="G125" s="3"/>
      <c r="H125" s="6">
        <v>8750</v>
      </c>
      <c r="I125" s="3"/>
      <c r="J125" s="7">
        <f t="shared" si="21"/>
        <v>1.6566447547787102E-2</v>
      </c>
      <c r="K125" s="3"/>
      <c r="L125" s="6">
        <f t="shared" si="22"/>
        <v>0</v>
      </c>
      <c r="M125" s="3"/>
      <c r="N125" s="7">
        <f t="shared" si="23"/>
        <v>0</v>
      </c>
      <c r="O125" s="9"/>
      <c r="P125" s="6">
        <v>105000</v>
      </c>
      <c r="Q125" s="3"/>
      <c r="R125" s="7">
        <f t="shared" si="24"/>
        <v>4.1989491810554263E-3</v>
      </c>
      <c r="S125" s="3"/>
      <c r="T125" s="6">
        <v>105000</v>
      </c>
      <c r="U125" s="3"/>
      <c r="V125" s="7">
        <f t="shared" si="25"/>
        <v>4.5094157244528824E-3</v>
      </c>
      <c r="W125" s="3"/>
      <c r="X125" s="6">
        <f t="shared" si="26"/>
        <v>0</v>
      </c>
      <c r="Y125" s="3"/>
      <c r="Z125" s="7">
        <f t="shared" si="27"/>
        <v>0</v>
      </c>
    </row>
    <row r="126" spans="1:26" s="69" customFormat="1" ht="15" customHeight="1" outlineLevel="1" collapsed="1" x14ac:dyDescent="0.3">
      <c r="A126" s="20"/>
      <c r="B126" s="11" t="str">
        <f>CONCATENATE("     ","Repair and Maintenance                            ")</f>
        <v xml:space="preserve">     Repair and Maintenance                            </v>
      </c>
      <c r="C126" s="11"/>
      <c r="D126" s="2">
        <f>SUM(OSRRefD22_18x_0)</f>
        <v>76305.45</v>
      </c>
      <c r="E126" s="2"/>
      <c r="F126" s="5">
        <f t="shared" si="20"/>
        <v>8.1029202962785249E-2</v>
      </c>
      <c r="G126" s="2"/>
      <c r="H126" s="2">
        <f>SUM(OSRRefH22_18x_0)</f>
        <v>19865</v>
      </c>
      <c r="I126" s="2"/>
      <c r="J126" s="5">
        <f t="shared" si="21"/>
        <v>3.7610569204204657E-2</v>
      </c>
      <c r="K126" s="2"/>
      <c r="L126" s="2">
        <f t="shared" si="22"/>
        <v>56440.45</v>
      </c>
      <c r="M126" s="2"/>
      <c r="N126" s="5">
        <f t="shared" si="23"/>
        <v>2.8412006040775233</v>
      </c>
      <c r="O126" s="11"/>
      <c r="P126" s="2">
        <f>SUM(OSRRefP22_18x_0)</f>
        <v>501488.75</v>
      </c>
      <c r="Q126" s="2"/>
      <c r="R126" s="5">
        <f t="shared" si="24"/>
        <v>2.005453120115247E-2</v>
      </c>
      <c r="S126" s="2"/>
      <c r="T126" s="2">
        <f>SUM(OSRRefT22_18x_0)</f>
        <v>470289</v>
      </c>
      <c r="U126" s="2"/>
      <c r="V126" s="5">
        <f t="shared" si="25"/>
        <v>2.0197415348925919E-2</v>
      </c>
      <c r="W126" s="2"/>
      <c r="X126" s="2">
        <f t="shared" si="26"/>
        <v>31199.75</v>
      </c>
      <c r="Y126" s="2"/>
      <c r="Z126" s="5">
        <f t="shared" si="27"/>
        <v>6.6341653749077689E-2</v>
      </c>
    </row>
    <row r="127" spans="1:26" s="70" customFormat="1" ht="15" hidden="1" customHeight="1" outlineLevel="2" x14ac:dyDescent="0.3">
      <c r="A127" s="21"/>
      <c r="B127" s="9" t="str">
        <f>CONCATENATE("          ","6371"," - ","COMPUTER SOFTWARE MAINTENANCE")</f>
        <v xml:space="preserve">          6371 - COMPUTER SOFTWARE MAINTENANCE</v>
      </c>
      <c r="C127" s="9"/>
      <c r="D127" s="6">
        <v>33821</v>
      </c>
      <c r="E127" s="3"/>
      <c r="F127" s="7">
        <f t="shared" si="20"/>
        <v>3.5914717407529349E-2</v>
      </c>
      <c r="G127" s="3"/>
      <c r="H127" s="6">
        <v>4500</v>
      </c>
      <c r="I127" s="3"/>
      <c r="J127" s="7">
        <f t="shared" si="21"/>
        <v>8.5198873102905089E-3</v>
      </c>
      <c r="K127" s="3"/>
      <c r="L127" s="6">
        <f t="shared" si="22"/>
        <v>29321</v>
      </c>
      <c r="M127" s="3"/>
      <c r="N127" s="7">
        <f t="shared" si="23"/>
        <v>6.5157777777777781</v>
      </c>
      <c r="O127" s="9"/>
      <c r="P127" s="6">
        <v>160532.76</v>
      </c>
      <c r="Q127" s="3"/>
      <c r="R127" s="7">
        <f t="shared" si="24"/>
        <v>6.4197038203292122E-3</v>
      </c>
      <c r="S127" s="3"/>
      <c r="T127" s="6">
        <v>220723</v>
      </c>
      <c r="U127" s="3"/>
      <c r="V127" s="7">
        <f t="shared" si="25"/>
        <v>9.4793501614134617E-3</v>
      </c>
      <c r="W127" s="3"/>
      <c r="X127" s="6">
        <f t="shared" si="26"/>
        <v>-60190.239999999991</v>
      </c>
      <c r="Y127" s="3"/>
      <c r="Z127" s="7">
        <f t="shared" si="27"/>
        <v>-0.27269582236558942</v>
      </c>
    </row>
    <row r="128" spans="1:26" s="70" customFormat="1" ht="15" hidden="1" customHeight="1" outlineLevel="2" x14ac:dyDescent="0.3">
      <c r="A128" s="21"/>
      <c r="B128" s="9" t="str">
        <f>CONCATENATE("          ","6372"," - ","COMPUTER HARDWARE MAINTENANCE")</f>
        <v xml:space="preserve">          6372 - COMPUTER HARDWARE MAINTENANCE</v>
      </c>
      <c r="C128" s="9"/>
      <c r="D128" s="6"/>
      <c r="E128" s="3"/>
      <c r="F128" s="7">
        <f t="shared" si="20"/>
        <v>0</v>
      </c>
      <c r="G128" s="3"/>
      <c r="H128" s="6">
        <v>6950</v>
      </c>
      <c r="I128" s="3"/>
      <c r="J128" s="7">
        <f t="shared" si="21"/>
        <v>1.3158492623670897E-2</v>
      </c>
      <c r="K128" s="3"/>
      <c r="L128" s="6">
        <f t="shared" si="22"/>
        <v>-6950</v>
      </c>
      <c r="M128" s="3"/>
      <c r="N128" s="7">
        <f t="shared" si="23"/>
        <v>-1</v>
      </c>
      <c r="O128" s="9"/>
      <c r="P128" s="6">
        <v>1555.65</v>
      </c>
      <c r="Q128" s="3"/>
      <c r="R128" s="7">
        <f t="shared" si="24"/>
        <v>6.2210431366751186E-5</v>
      </c>
      <c r="S128" s="3"/>
      <c r="T128" s="6">
        <v>88020</v>
      </c>
      <c r="U128" s="3"/>
      <c r="V128" s="7">
        <f t="shared" si="25"/>
        <v>3.7801787815842161E-3</v>
      </c>
      <c r="W128" s="3"/>
      <c r="X128" s="6">
        <f t="shared" si="26"/>
        <v>-86464.35</v>
      </c>
      <c r="Y128" s="3"/>
      <c r="Z128" s="7">
        <f t="shared" si="27"/>
        <v>-0.98232617586912074</v>
      </c>
    </row>
    <row r="129" spans="1:26" s="70" customFormat="1" ht="15" hidden="1" customHeight="1" outlineLevel="2" x14ac:dyDescent="0.3">
      <c r="A129" s="21"/>
      <c r="B129" s="9" t="str">
        <f>CONCATENATE("          ","6373"," - ","MAINTENANCE CONTRACTS")</f>
        <v xml:space="preserve">          6373 - MAINTENANCE CONTRACTS</v>
      </c>
      <c r="C129" s="9"/>
      <c r="D129" s="6">
        <v>11049.46</v>
      </c>
      <c r="E129" s="3"/>
      <c r="F129" s="7">
        <f t="shared" si="20"/>
        <v>1.173348610052332E-2</v>
      </c>
      <c r="G129" s="3"/>
      <c r="H129" s="6">
        <v>5955</v>
      </c>
      <c r="I129" s="3"/>
      <c r="J129" s="7">
        <f t="shared" si="21"/>
        <v>1.1274650873951107E-2</v>
      </c>
      <c r="K129" s="3"/>
      <c r="L129" s="6">
        <f t="shared" si="22"/>
        <v>5094.4599999999991</v>
      </c>
      <c r="M129" s="3"/>
      <c r="N129" s="7">
        <f t="shared" si="23"/>
        <v>0.85549286314021811</v>
      </c>
      <c r="O129" s="9"/>
      <c r="P129" s="6">
        <v>184081.67</v>
      </c>
      <c r="Q129" s="3"/>
      <c r="R129" s="7">
        <f t="shared" si="24"/>
        <v>7.3614245475601458E-3</v>
      </c>
      <c r="S129" s="3"/>
      <c r="T129" s="6">
        <v>110579</v>
      </c>
      <c r="U129" s="3"/>
      <c r="V129" s="7">
        <f t="shared" si="25"/>
        <v>4.7490160132788121E-3</v>
      </c>
      <c r="W129" s="3"/>
      <c r="X129" s="6">
        <f t="shared" si="26"/>
        <v>73502.670000000013</v>
      </c>
      <c r="Y129" s="3"/>
      <c r="Z129" s="7">
        <f t="shared" si="27"/>
        <v>0.66470731332350641</v>
      </c>
    </row>
    <row r="130" spans="1:26" s="70" customFormat="1" ht="15" hidden="1" customHeight="1" outlineLevel="2" x14ac:dyDescent="0.3">
      <c r="A130" s="21"/>
      <c r="B130" s="9" t="str">
        <f>CONCATENATE("          ","6375"," - ","OUTSIDE REPAIRS &amp; MAINTENANCE")</f>
        <v xml:space="preserve">          6375 - OUTSIDE REPAIRS &amp; MAINTENANCE</v>
      </c>
      <c r="C130" s="9"/>
      <c r="D130" s="6">
        <v>31434.99</v>
      </c>
      <c r="E130" s="3"/>
      <c r="F130" s="7">
        <f t="shared" ref="F130:F166" si="28">IF(D$12=0,0,D130/D$12)</f>
        <v>3.3380999454732593E-2</v>
      </c>
      <c r="G130" s="3"/>
      <c r="H130" s="6">
        <v>2460</v>
      </c>
      <c r="I130" s="3"/>
      <c r="J130" s="7">
        <f t="shared" ref="J130:J166" si="29">IF(H$12=0,0,H130/H$12)</f>
        <v>4.6575383962921451E-3</v>
      </c>
      <c r="K130" s="3"/>
      <c r="L130" s="6">
        <f t="shared" ref="L130:L166" si="30">+D130-H130</f>
        <v>28974.99</v>
      </c>
      <c r="M130" s="3"/>
      <c r="N130" s="7">
        <f t="shared" ref="N130:N166" si="31">IF(H130=0,0,L130/H130)</f>
        <v>11.778451219512196</v>
      </c>
      <c r="O130" s="9"/>
      <c r="P130" s="6">
        <v>155318.67000000001</v>
      </c>
      <c r="Q130" s="3"/>
      <c r="R130" s="7">
        <f t="shared" ref="R130:R166" si="32">IF(P$12=0,0,P130/P$12)</f>
        <v>6.2111924018963625E-3</v>
      </c>
      <c r="S130" s="3"/>
      <c r="T130" s="6">
        <v>50967</v>
      </c>
      <c r="U130" s="3"/>
      <c r="V130" s="7">
        <f t="shared" ref="V130:V166" si="33">IF(T$12=0,0,T130/T$12)</f>
        <v>2.1888703926494289E-3</v>
      </c>
      <c r="W130" s="3"/>
      <c r="X130" s="6">
        <f t="shared" ref="X130:X166" si="34">+P130-T130</f>
        <v>104351.67000000001</v>
      </c>
      <c r="Y130" s="3"/>
      <c r="Z130" s="7">
        <f t="shared" ref="Z130:Z166" si="35">IF(T130=0,0,X130/T130)</f>
        <v>2.0474359879922304</v>
      </c>
    </row>
    <row r="131" spans="1:26" s="69" customFormat="1" ht="15" customHeight="1" outlineLevel="1" collapsed="1" x14ac:dyDescent="0.3">
      <c r="A131" s="20"/>
      <c r="B131" s="11" t="str">
        <f>CONCATENATE("     ","Royalty &amp; Commissions                             ")</f>
        <v xml:space="preserve">     Royalty &amp; Commissions                             </v>
      </c>
      <c r="C131" s="11"/>
      <c r="D131" s="2">
        <f>SUM(OSRRefD22_19x_0)</f>
        <v>2516.6800000000003</v>
      </c>
      <c r="E131" s="2"/>
      <c r="F131" s="5">
        <f t="shared" si="28"/>
        <v>2.6724771888820839E-3</v>
      </c>
      <c r="G131" s="2"/>
      <c r="H131" s="2">
        <f>SUM(OSRRefH22_19x_0)</f>
        <v>10158</v>
      </c>
      <c r="I131" s="2"/>
      <c r="J131" s="5">
        <f t="shared" si="29"/>
        <v>1.9232225621762442E-2</v>
      </c>
      <c r="K131" s="2"/>
      <c r="L131" s="2">
        <f t="shared" si="30"/>
        <v>-7641.32</v>
      </c>
      <c r="M131" s="2"/>
      <c r="N131" s="5">
        <f t="shared" si="31"/>
        <v>-0.75224650521756253</v>
      </c>
      <c r="O131" s="11"/>
      <c r="P131" s="2">
        <f>SUM(OSRRefP22_19x_0)</f>
        <v>98538.08</v>
      </c>
      <c r="Q131" s="2"/>
      <c r="R131" s="5">
        <f t="shared" si="32"/>
        <v>3.9405370506549915E-3</v>
      </c>
      <c r="S131" s="2"/>
      <c r="T131" s="2">
        <f>SUM(OSRRefT22_19x_0)</f>
        <v>123180</v>
      </c>
      <c r="U131" s="2"/>
      <c r="V131" s="5">
        <f t="shared" si="33"/>
        <v>5.2901888470295814E-3</v>
      </c>
      <c r="W131" s="2"/>
      <c r="X131" s="2">
        <f t="shared" si="34"/>
        <v>-24641.919999999998</v>
      </c>
      <c r="Y131" s="2"/>
      <c r="Z131" s="5">
        <f t="shared" si="35"/>
        <v>-0.2000480597499594</v>
      </c>
    </row>
    <row r="132" spans="1:26" s="70" customFormat="1" ht="15" hidden="1" customHeight="1" outlineLevel="2" x14ac:dyDescent="0.3">
      <c r="A132" s="21"/>
      <c r="B132" s="9" t="str">
        <f>CONCATENATE("          ","6252"," - ","ROYALTY DUE CSTV")</f>
        <v xml:space="preserve">          6252 - ROYALTY DUE CSTV</v>
      </c>
      <c r="C132" s="9"/>
      <c r="D132" s="6"/>
      <c r="E132" s="3"/>
      <c r="F132" s="7">
        <f t="shared" si="28"/>
        <v>0</v>
      </c>
      <c r="G132" s="3"/>
      <c r="H132" s="6">
        <v>3322</v>
      </c>
      <c r="I132" s="3"/>
      <c r="J132" s="7">
        <f t="shared" si="29"/>
        <v>6.2895701432855713E-3</v>
      </c>
      <c r="K132" s="3"/>
      <c r="L132" s="6">
        <f t="shared" si="30"/>
        <v>-3322</v>
      </c>
      <c r="M132" s="3"/>
      <c r="N132" s="7">
        <f t="shared" si="31"/>
        <v>-1</v>
      </c>
      <c r="O132" s="9"/>
      <c r="P132" s="6"/>
      <c r="Q132" s="3"/>
      <c r="R132" s="7">
        <f t="shared" si="32"/>
        <v>0</v>
      </c>
      <c r="S132" s="3"/>
      <c r="T132" s="6">
        <v>19008</v>
      </c>
      <c r="U132" s="3"/>
      <c r="V132" s="7">
        <f t="shared" si="33"/>
        <v>8.163330865752418E-4</v>
      </c>
      <c r="W132" s="3"/>
      <c r="X132" s="6">
        <f t="shared" si="34"/>
        <v>-19008</v>
      </c>
      <c r="Y132" s="3"/>
      <c r="Z132" s="7">
        <f t="shared" si="35"/>
        <v>-1</v>
      </c>
    </row>
    <row r="133" spans="1:26" s="70" customFormat="1" ht="15" hidden="1" customHeight="1" outlineLevel="2" x14ac:dyDescent="0.3">
      <c r="A133" s="21"/>
      <c r="B133" s="9" t="str">
        <f>CONCATENATE("          ","6253"," - ","ROYALTY DUE ATHLETICS-LRG")</f>
        <v xml:space="preserve">          6253 - ROYALTY DUE ATHLETICS-LRG</v>
      </c>
      <c r="C133" s="9"/>
      <c r="D133" s="6"/>
      <c r="E133" s="3"/>
      <c r="F133" s="7">
        <f t="shared" si="28"/>
        <v>0</v>
      </c>
      <c r="G133" s="3"/>
      <c r="H133" s="6">
        <v>0</v>
      </c>
      <c r="I133" s="3"/>
      <c r="J133" s="7">
        <f t="shared" si="29"/>
        <v>0</v>
      </c>
      <c r="K133" s="3"/>
      <c r="L133" s="6">
        <f t="shared" si="30"/>
        <v>0</v>
      </c>
      <c r="M133" s="3"/>
      <c r="N133" s="7">
        <f t="shared" si="31"/>
        <v>0</v>
      </c>
      <c r="O133" s="9"/>
      <c r="P133" s="6">
        <v>51456.52</v>
      </c>
      <c r="Q133" s="3"/>
      <c r="R133" s="7">
        <f t="shared" si="32"/>
        <v>2.0577458334663061E-3</v>
      </c>
      <c r="S133" s="3"/>
      <c r="T133" s="6">
        <v>38502</v>
      </c>
      <c r="U133" s="3"/>
      <c r="V133" s="7">
        <f t="shared" si="33"/>
        <v>1.6535383259322369E-3</v>
      </c>
      <c r="W133" s="3"/>
      <c r="X133" s="6">
        <f t="shared" si="34"/>
        <v>12954.519999999997</v>
      </c>
      <c r="Y133" s="3"/>
      <c r="Z133" s="7">
        <f t="shared" si="35"/>
        <v>0.33646356033452801</v>
      </c>
    </row>
    <row r="134" spans="1:26" s="70" customFormat="1" ht="15" hidden="1" customHeight="1" outlineLevel="2" x14ac:dyDescent="0.3">
      <c r="A134" s="21"/>
      <c r="B134" s="9" t="str">
        <f>CONCATENATE("          ","6254"," - ","ROYALTY &amp; COMMISSIONS")</f>
        <v xml:space="preserve">          6254 - ROYALTY &amp; COMMISSIONS</v>
      </c>
      <c r="C134" s="9"/>
      <c r="D134" s="6">
        <v>2121.15</v>
      </c>
      <c r="E134" s="3"/>
      <c r="F134" s="7">
        <f t="shared" si="28"/>
        <v>2.2524615720700418E-3</v>
      </c>
      <c r="G134" s="3"/>
      <c r="H134" s="6">
        <v>0</v>
      </c>
      <c r="I134" s="3"/>
      <c r="J134" s="7">
        <f t="shared" si="29"/>
        <v>0</v>
      </c>
      <c r="K134" s="3"/>
      <c r="L134" s="6">
        <f t="shared" si="30"/>
        <v>2121.15</v>
      </c>
      <c r="M134" s="3"/>
      <c r="N134" s="7">
        <f t="shared" si="31"/>
        <v>0</v>
      </c>
      <c r="O134" s="9"/>
      <c r="P134" s="6">
        <v>33374.57</v>
      </c>
      <c r="Q134" s="3"/>
      <c r="R134" s="7">
        <f t="shared" si="32"/>
        <v>1.3346487939959713E-3</v>
      </c>
      <c r="S134" s="3"/>
      <c r="T134" s="6">
        <v>4500</v>
      </c>
      <c r="U134" s="3"/>
      <c r="V134" s="7">
        <f t="shared" si="33"/>
        <v>1.9326067390512352E-4</v>
      </c>
      <c r="W134" s="3"/>
      <c r="X134" s="6">
        <f t="shared" si="34"/>
        <v>28874.57</v>
      </c>
      <c r="Y134" s="3"/>
      <c r="Z134" s="7">
        <f t="shared" si="35"/>
        <v>6.4165711111111108</v>
      </c>
    </row>
    <row r="135" spans="1:26" s="70" customFormat="1" ht="15" hidden="1" customHeight="1" outlineLevel="2" x14ac:dyDescent="0.3">
      <c r="A135" s="21"/>
      <c r="B135" s="9" t="str">
        <f>CONCATENATE("          ","6259"," - ","ROYALTY &amp; COMMISSIONS")</f>
        <v xml:space="preserve">          6259 - ROYALTY &amp; COMMISSIONS</v>
      </c>
      <c r="C135" s="9"/>
      <c r="D135" s="6">
        <v>395.53</v>
      </c>
      <c r="E135" s="3"/>
      <c r="F135" s="7">
        <f t="shared" si="28"/>
        <v>4.2001561681204229E-4</v>
      </c>
      <c r="G135" s="3"/>
      <c r="H135" s="6">
        <v>6836</v>
      </c>
      <c r="I135" s="3"/>
      <c r="J135" s="7">
        <f t="shared" si="29"/>
        <v>1.2942655478476872E-2</v>
      </c>
      <c r="K135" s="3"/>
      <c r="L135" s="6">
        <f t="shared" si="30"/>
        <v>-6440.47</v>
      </c>
      <c r="M135" s="3"/>
      <c r="N135" s="7">
        <f t="shared" si="31"/>
        <v>-0.94214014043300176</v>
      </c>
      <c r="O135" s="9"/>
      <c r="P135" s="6">
        <v>13706.99</v>
      </c>
      <c r="Q135" s="3"/>
      <c r="R135" s="7">
        <f t="shared" si="32"/>
        <v>5.4814242319271345E-4</v>
      </c>
      <c r="S135" s="3"/>
      <c r="T135" s="6">
        <v>61170</v>
      </c>
      <c r="U135" s="3"/>
      <c r="V135" s="7">
        <f t="shared" si="33"/>
        <v>2.6270567606169791E-3</v>
      </c>
      <c r="W135" s="3"/>
      <c r="X135" s="6">
        <f t="shared" si="34"/>
        <v>-47463.01</v>
      </c>
      <c r="Y135" s="3"/>
      <c r="Z135" s="7">
        <f t="shared" si="35"/>
        <v>-0.77591973189471963</v>
      </c>
    </row>
    <row r="136" spans="1:26" s="69" customFormat="1" ht="15" customHeight="1" outlineLevel="1" collapsed="1" x14ac:dyDescent="0.3">
      <c r="A136" s="20"/>
      <c r="B136" s="11" t="str">
        <f>CONCATENATE("     ","Services                                          ")</f>
        <v xml:space="preserve">     Services                                          </v>
      </c>
      <c r="C136" s="11"/>
      <c r="D136" s="2">
        <f>SUM(OSRRefD22_20x_0)</f>
        <v>67029.66</v>
      </c>
      <c r="E136" s="2"/>
      <c r="F136" s="5">
        <f t="shared" si="28"/>
        <v>7.1179187393121846E-2</v>
      </c>
      <c r="G136" s="2"/>
      <c r="H136" s="2">
        <f>SUM(OSRRefH22_20x_0)</f>
        <v>37596</v>
      </c>
      <c r="I136" s="2"/>
      <c r="J136" s="5">
        <f t="shared" si="29"/>
        <v>7.1180818515040448E-2</v>
      </c>
      <c r="K136" s="2"/>
      <c r="L136" s="2">
        <f t="shared" si="30"/>
        <v>29433.660000000003</v>
      </c>
      <c r="M136" s="2"/>
      <c r="N136" s="5">
        <f t="shared" si="31"/>
        <v>0.78289339291413984</v>
      </c>
      <c r="O136" s="11"/>
      <c r="P136" s="2">
        <f>SUM(OSRRefP22_20x_0)</f>
        <v>406220.26999999996</v>
      </c>
      <c r="Q136" s="2"/>
      <c r="R136" s="5">
        <f t="shared" si="32"/>
        <v>1.6244745428996323E-2</v>
      </c>
      <c r="S136" s="2"/>
      <c r="T136" s="2">
        <f>SUM(OSRRefT22_20x_0)</f>
        <v>441832</v>
      </c>
      <c r="U136" s="2"/>
      <c r="V136" s="5">
        <f t="shared" si="33"/>
        <v>1.8975277793966343E-2</v>
      </c>
      <c r="W136" s="2"/>
      <c r="X136" s="2">
        <f t="shared" si="34"/>
        <v>-35611.73000000004</v>
      </c>
      <c r="Y136" s="2"/>
      <c r="Z136" s="5">
        <f t="shared" si="35"/>
        <v>-8.0600160241901989E-2</v>
      </c>
    </row>
    <row r="137" spans="1:26" s="70" customFormat="1" ht="15" hidden="1" customHeight="1" outlineLevel="2" x14ac:dyDescent="0.3">
      <c r="A137" s="21"/>
      <c r="B137" s="9" t="str">
        <f>CONCATENATE("          ","6282"," - ","JANITORIAL/EXTERMINATOR EXPENS")</f>
        <v xml:space="preserve">          6282 - JANITORIAL/EXTERMINATOR EXPENS</v>
      </c>
      <c r="C137" s="9"/>
      <c r="D137" s="6">
        <v>4996.6000000000004</v>
      </c>
      <c r="E137" s="3"/>
      <c r="F137" s="7">
        <f t="shared" si="28"/>
        <v>5.3059187190934963E-3</v>
      </c>
      <c r="G137" s="3"/>
      <c r="H137" s="6">
        <v>7256</v>
      </c>
      <c r="I137" s="3"/>
      <c r="J137" s="7">
        <f t="shared" si="29"/>
        <v>1.3737844960770653E-2</v>
      </c>
      <c r="K137" s="3"/>
      <c r="L137" s="6">
        <f t="shared" si="30"/>
        <v>-2259.3999999999996</v>
      </c>
      <c r="M137" s="3"/>
      <c r="N137" s="7">
        <f t="shared" si="31"/>
        <v>-0.31138368246968023</v>
      </c>
      <c r="O137" s="9"/>
      <c r="P137" s="6">
        <v>42331.360000000001</v>
      </c>
      <c r="Q137" s="3"/>
      <c r="R137" s="7">
        <f t="shared" si="32"/>
        <v>1.6928307562377373E-3</v>
      </c>
      <c r="S137" s="3"/>
      <c r="T137" s="6">
        <v>86714</v>
      </c>
      <c r="U137" s="3"/>
      <c r="V137" s="7">
        <f t="shared" si="33"/>
        <v>3.724090239335307E-3</v>
      </c>
      <c r="W137" s="3"/>
      <c r="X137" s="6">
        <f t="shared" si="34"/>
        <v>-44382.64</v>
      </c>
      <c r="Y137" s="3"/>
      <c r="Z137" s="7">
        <f t="shared" si="35"/>
        <v>-0.51182784786770297</v>
      </c>
    </row>
    <row r="138" spans="1:26" s="70" customFormat="1" ht="15" hidden="1" customHeight="1" outlineLevel="2" x14ac:dyDescent="0.3">
      <c r="A138" s="21"/>
      <c r="B138" s="9" t="str">
        <f>CONCATENATE("          ","6283"," - ","PLANT SERVICE")</f>
        <v xml:space="preserve">          6283 - PLANT SERVICE</v>
      </c>
      <c r="C138" s="9"/>
      <c r="D138" s="6"/>
      <c r="E138" s="3"/>
      <c r="F138" s="7">
        <f t="shared" si="28"/>
        <v>0</v>
      </c>
      <c r="G138" s="3"/>
      <c r="H138" s="6">
        <v>100</v>
      </c>
      <c r="I138" s="3"/>
      <c r="J138" s="7">
        <f t="shared" si="29"/>
        <v>1.8933082911756687E-4</v>
      </c>
      <c r="K138" s="3"/>
      <c r="L138" s="6">
        <f t="shared" si="30"/>
        <v>-100</v>
      </c>
      <c r="M138" s="3"/>
      <c r="N138" s="7">
        <f t="shared" si="31"/>
        <v>-1</v>
      </c>
      <c r="O138" s="9"/>
      <c r="P138" s="6"/>
      <c r="Q138" s="3"/>
      <c r="R138" s="7">
        <f t="shared" si="32"/>
        <v>0</v>
      </c>
      <c r="S138" s="3"/>
      <c r="T138" s="6">
        <v>1200</v>
      </c>
      <c r="U138" s="3"/>
      <c r="V138" s="7">
        <f t="shared" si="33"/>
        <v>5.1536179708032942E-5</v>
      </c>
      <c r="W138" s="3"/>
      <c r="X138" s="6">
        <f t="shared" si="34"/>
        <v>-1200</v>
      </c>
      <c r="Y138" s="3"/>
      <c r="Z138" s="7">
        <f t="shared" si="35"/>
        <v>-1</v>
      </c>
    </row>
    <row r="139" spans="1:26" s="70" customFormat="1" ht="15" hidden="1" customHeight="1" outlineLevel="2" x14ac:dyDescent="0.3">
      <c r="A139" s="21"/>
      <c r="B139" s="9" t="str">
        <f>CONCATENATE("          ","6284"," - ","TRASH REMOVAL EXPENSE")</f>
        <v xml:space="preserve">          6284 - TRASH REMOVAL EXPENSE</v>
      </c>
      <c r="C139" s="9"/>
      <c r="D139" s="6">
        <v>149.69999999999999</v>
      </c>
      <c r="E139" s="3"/>
      <c r="F139" s="7">
        <f t="shared" si="28"/>
        <v>1.5896730421652649E-4</v>
      </c>
      <c r="G139" s="3"/>
      <c r="H139" s="6">
        <v>1720</v>
      </c>
      <c r="I139" s="3"/>
      <c r="J139" s="7">
        <f t="shared" si="29"/>
        <v>3.2564902608221502E-3</v>
      </c>
      <c r="K139" s="3"/>
      <c r="L139" s="6">
        <f t="shared" si="30"/>
        <v>-1570.3</v>
      </c>
      <c r="M139" s="3"/>
      <c r="N139" s="7">
        <f t="shared" si="31"/>
        <v>-0.91296511627906973</v>
      </c>
      <c r="O139" s="9"/>
      <c r="P139" s="6">
        <v>1639.57</v>
      </c>
      <c r="Q139" s="3"/>
      <c r="R139" s="7">
        <f t="shared" si="32"/>
        <v>6.556639151221947E-5</v>
      </c>
      <c r="S139" s="3"/>
      <c r="T139" s="6">
        <v>20160</v>
      </c>
      <c r="U139" s="3"/>
      <c r="V139" s="7">
        <f t="shared" si="33"/>
        <v>8.6580781909495344E-4</v>
      </c>
      <c r="W139" s="3"/>
      <c r="X139" s="6">
        <f t="shared" si="34"/>
        <v>-18520.43</v>
      </c>
      <c r="Y139" s="3"/>
      <c r="Z139" s="7">
        <f t="shared" si="35"/>
        <v>-0.91867212301587298</v>
      </c>
    </row>
    <row r="140" spans="1:26" s="70" customFormat="1" ht="15" hidden="1" customHeight="1" outlineLevel="2" x14ac:dyDescent="0.3">
      <c r="A140" s="21"/>
      <c r="B140" s="9" t="str">
        <f>CONCATENATE("          ","6285"," - ","JANITORIAL SERVICES")</f>
        <v xml:space="preserve">          6285 - JANITORIAL SERVICES</v>
      </c>
      <c r="C140" s="9"/>
      <c r="D140" s="6">
        <v>57674.37</v>
      </c>
      <c r="E140" s="3"/>
      <c r="F140" s="7">
        <f t="shared" si="28"/>
        <v>6.1244750309195128E-2</v>
      </c>
      <c r="G140" s="3"/>
      <c r="H140" s="6">
        <v>23083</v>
      </c>
      <c r="I140" s="3"/>
      <c r="J140" s="7">
        <f t="shared" si="29"/>
        <v>4.3703235285207961E-2</v>
      </c>
      <c r="K140" s="3"/>
      <c r="L140" s="6">
        <f t="shared" si="30"/>
        <v>34591.370000000003</v>
      </c>
      <c r="M140" s="3"/>
      <c r="N140" s="7">
        <f t="shared" si="31"/>
        <v>1.498564744617251</v>
      </c>
      <c r="O140" s="9"/>
      <c r="P140" s="6">
        <v>317831.67</v>
      </c>
      <c r="Q140" s="3"/>
      <c r="R140" s="7">
        <f t="shared" si="32"/>
        <v>1.2710086004380746E-2</v>
      </c>
      <c r="S140" s="3"/>
      <c r="T140" s="6">
        <v>270419</v>
      </c>
      <c r="U140" s="3"/>
      <c r="V140" s="7">
        <f t="shared" si="33"/>
        <v>1.1613635150388799E-2</v>
      </c>
      <c r="W140" s="3"/>
      <c r="X140" s="6">
        <f t="shared" si="34"/>
        <v>47412.669999999984</v>
      </c>
      <c r="Y140" s="3"/>
      <c r="Z140" s="7">
        <f t="shared" si="35"/>
        <v>0.17533039468380543</v>
      </c>
    </row>
    <row r="141" spans="1:26" s="70" customFormat="1" ht="15" hidden="1" customHeight="1" outlineLevel="2" x14ac:dyDescent="0.3">
      <c r="A141" s="21"/>
      <c r="B141" s="9" t="str">
        <f>CONCATENATE("          ","6286"," - ","LAUNDRY EXPENSE")</f>
        <v xml:space="preserve">          6286 - LAUNDRY EXPENSE</v>
      </c>
      <c r="C141" s="9"/>
      <c r="D141" s="6">
        <v>4208.99</v>
      </c>
      <c r="E141" s="3"/>
      <c r="F141" s="7">
        <f t="shared" si="28"/>
        <v>4.4695510606166857E-3</v>
      </c>
      <c r="G141" s="3"/>
      <c r="H141" s="6">
        <v>5437</v>
      </c>
      <c r="I141" s="3"/>
      <c r="J141" s="7">
        <f t="shared" si="29"/>
        <v>1.0293917179122111E-2</v>
      </c>
      <c r="K141" s="3"/>
      <c r="L141" s="6">
        <f t="shared" si="30"/>
        <v>-1228.0100000000002</v>
      </c>
      <c r="M141" s="3"/>
      <c r="N141" s="7">
        <f t="shared" si="31"/>
        <v>-0.22586168843112014</v>
      </c>
      <c r="O141" s="9"/>
      <c r="P141" s="6">
        <v>44417.67</v>
      </c>
      <c r="Q141" s="3"/>
      <c r="R141" s="7">
        <f t="shared" si="32"/>
        <v>1.7762622768656207E-3</v>
      </c>
      <c r="S141" s="3"/>
      <c r="T141" s="6">
        <v>63339</v>
      </c>
      <c r="U141" s="3"/>
      <c r="V141" s="7">
        <f t="shared" si="33"/>
        <v>2.7202084054392486E-3</v>
      </c>
      <c r="W141" s="3"/>
      <c r="X141" s="6">
        <f t="shared" si="34"/>
        <v>-18921.330000000002</v>
      </c>
      <c r="Y141" s="3"/>
      <c r="Z141" s="7">
        <f t="shared" si="35"/>
        <v>-0.29873111353194715</v>
      </c>
    </row>
    <row r="142" spans="1:26" s="69" customFormat="1" ht="15" customHeight="1" outlineLevel="1" collapsed="1" x14ac:dyDescent="0.3">
      <c r="A142" s="20"/>
      <c r="B142" s="11" t="str">
        <f>CONCATENATE("     ","Subscriptions &amp; Dues                              ")</f>
        <v xml:space="preserve">     Subscriptions &amp; Dues                              </v>
      </c>
      <c r="C142" s="11"/>
      <c r="D142" s="2">
        <f>SUM(OSRRefD22_21x_0)</f>
        <v>832.85</v>
      </c>
      <c r="E142" s="2"/>
      <c r="F142" s="5">
        <f t="shared" si="28"/>
        <v>8.8440827866889855E-4</v>
      </c>
      <c r="G142" s="2"/>
      <c r="H142" s="2">
        <f>SUM(OSRRefH22_21x_0)</f>
        <v>1356</v>
      </c>
      <c r="I142" s="2"/>
      <c r="J142" s="5">
        <f t="shared" si="29"/>
        <v>2.5673260428342067E-3</v>
      </c>
      <c r="K142" s="2"/>
      <c r="L142" s="2">
        <f t="shared" si="30"/>
        <v>-523.15</v>
      </c>
      <c r="M142" s="2"/>
      <c r="N142" s="5">
        <f t="shared" si="31"/>
        <v>-0.38580383480825958</v>
      </c>
      <c r="O142" s="11"/>
      <c r="P142" s="2">
        <f>SUM(OSRRefP22_21x_0)</f>
        <v>15919.28</v>
      </c>
      <c r="Q142" s="2"/>
      <c r="R142" s="5">
        <f t="shared" si="32"/>
        <v>6.3661188303801937E-4</v>
      </c>
      <c r="S142" s="2"/>
      <c r="T142" s="2">
        <f>SUM(OSRRefT22_21x_0)</f>
        <v>22452</v>
      </c>
      <c r="U142" s="2"/>
      <c r="V142" s="5">
        <f t="shared" si="33"/>
        <v>9.6424192233729629E-4</v>
      </c>
      <c r="W142" s="2"/>
      <c r="X142" s="2">
        <f t="shared" si="34"/>
        <v>-6532.7199999999993</v>
      </c>
      <c r="Y142" s="2"/>
      <c r="Z142" s="5">
        <f t="shared" si="35"/>
        <v>-0.2909638339568858</v>
      </c>
    </row>
    <row r="143" spans="1:26" s="70" customFormat="1" ht="15" hidden="1" customHeight="1" outlineLevel="2" x14ac:dyDescent="0.3">
      <c r="A143" s="21"/>
      <c r="B143" s="9" t="str">
        <f>CONCATENATE("          ","6258"," - ","MEMBERSHIP DUES")</f>
        <v xml:space="preserve">          6258 - MEMBERSHIP DUES</v>
      </c>
      <c r="C143" s="9"/>
      <c r="D143" s="6">
        <v>272.35000000000002</v>
      </c>
      <c r="E143" s="3"/>
      <c r="F143" s="7">
        <f t="shared" si="28"/>
        <v>2.8921005546674017E-4</v>
      </c>
      <c r="G143" s="3"/>
      <c r="H143" s="6">
        <v>585</v>
      </c>
      <c r="I143" s="3"/>
      <c r="J143" s="7">
        <f t="shared" si="29"/>
        <v>1.1075853503377663E-3</v>
      </c>
      <c r="K143" s="3"/>
      <c r="L143" s="6">
        <f t="shared" si="30"/>
        <v>-312.64999999999998</v>
      </c>
      <c r="M143" s="3"/>
      <c r="N143" s="7">
        <f t="shared" si="31"/>
        <v>-0.53444444444444439</v>
      </c>
      <c r="O143" s="9"/>
      <c r="P143" s="6">
        <v>5039.49</v>
      </c>
      <c r="Q143" s="3"/>
      <c r="R143" s="7">
        <f t="shared" si="32"/>
        <v>2.0152916579463818E-4</v>
      </c>
      <c r="S143" s="3"/>
      <c r="T143" s="6">
        <v>12010</v>
      </c>
      <c r="U143" s="3"/>
      <c r="V143" s="7">
        <f t="shared" si="33"/>
        <v>5.15791265244563E-4</v>
      </c>
      <c r="W143" s="3"/>
      <c r="X143" s="6">
        <f t="shared" si="34"/>
        <v>-6970.51</v>
      </c>
      <c r="Y143" s="3"/>
      <c r="Z143" s="7">
        <f t="shared" si="35"/>
        <v>-0.58039217318900915</v>
      </c>
    </row>
    <row r="144" spans="1:26" s="70" customFormat="1" ht="15" hidden="1" customHeight="1" outlineLevel="2" x14ac:dyDescent="0.3">
      <c r="A144" s="21"/>
      <c r="B144" s="9" t="str">
        <f>CONCATENATE("          ","6275"," - ","SUBSCRIPTIONS")</f>
        <v xml:space="preserve">          6275 - SUBSCRIPTIONS</v>
      </c>
      <c r="C144" s="9"/>
      <c r="D144" s="6">
        <v>560.5</v>
      </c>
      <c r="E144" s="3"/>
      <c r="F144" s="7">
        <f t="shared" si="28"/>
        <v>5.9519822320215838E-4</v>
      </c>
      <c r="G144" s="3"/>
      <c r="H144" s="6">
        <v>771</v>
      </c>
      <c r="I144" s="3"/>
      <c r="J144" s="7">
        <f t="shared" si="29"/>
        <v>1.4597406924964406E-3</v>
      </c>
      <c r="K144" s="3"/>
      <c r="L144" s="6">
        <f t="shared" si="30"/>
        <v>-210.5</v>
      </c>
      <c r="M144" s="3"/>
      <c r="N144" s="7">
        <f t="shared" si="31"/>
        <v>-0.2730220492866407</v>
      </c>
      <c r="O144" s="9"/>
      <c r="P144" s="6">
        <v>10879.79</v>
      </c>
      <c r="Q144" s="3"/>
      <c r="R144" s="7">
        <f t="shared" si="32"/>
        <v>4.3508271724338116E-4</v>
      </c>
      <c r="S144" s="3"/>
      <c r="T144" s="6">
        <v>10442</v>
      </c>
      <c r="U144" s="3"/>
      <c r="V144" s="7">
        <f t="shared" si="33"/>
        <v>4.4845065709273328E-4</v>
      </c>
      <c r="W144" s="3"/>
      <c r="X144" s="6">
        <f t="shared" si="34"/>
        <v>437.79000000000087</v>
      </c>
      <c r="Y144" s="3"/>
      <c r="Z144" s="7">
        <f t="shared" si="35"/>
        <v>4.1925876268914086E-2</v>
      </c>
    </row>
    <row r="145" spans="1:26" s="69" customFormat="1" ht="15" customHeight="1" outlineLevel="1" collapsed="1" x14ac:dyDescent="0.3">
      <c r="A145" s="20"/>
      <c r="B145" s="11" t="str">
        <f>CONCATENATE("     ","Supplies                                          ")</f>
        <v xml:space="preserve">     Supplies                                          </v>
      </c>
      <c r="C145" s="11"/>
      <c r="D145" s="2">
        <f>SUM(OSRRefD22_22x_0)</f>
        <v>48999.89</v>
      </c>
      <c r="E145" s="2"/>
      <c r="F145" s="5">
        <f t="shared" si="28"/>
        <v>5.2033269340055678E-2</v>
      </c>
      <c r="G145" s="2"/>
      <c r="H145" s="2">
        <f>SUM(OSRRefH22_22x_0)</f>
        <v>40480</v>
      </c>
      <c r="I145" s="2"/>
      <c r="J145" s="5">
        <f t="shared" si="29"/>
        <v>7.6641119626791071E-2</v>
      </c>
      <c r="K145" s="2"/>
      <c r="L145" s="2">
        <f t="shared" si="30"/>
        <v>8519.89</v>
      </c>
      <c r="M145" s="2"/>
      <c r="N145" s="5">
        <f t="shared" si="31"/>
        <v>0.2104715909090909</v>
      </c>
      <c r="O145" s="11"/>
      <c r="P145" s="2">
        <f>SUM(OSRRefP22_22x_0)</f>
        <v>584314.94999999995</v>
      </c>
      <c r="Q145" s="2"/>
      <c r="R145" s="5">
        <f t="shared" si="32"/>
        <v>2.3366750293151831E-2</v>
      </c>
      <c r="S145" s="2"/>
      <c r="T145" s="2">
        <f>SUM(OSRRefT22_22x_0)</f>
        <v>612113</v>
      </c>
      <c r="U145" s="2"/>
      <c r="V145" s="5">
        <f t="shared" si="33"/>
        <v>2.628830464135264E-2</v>
      </c>
      <c r="W145" s="2"/>
      <c r="X145" s="2">
        <f t="shared" si="34"/>
        <v>-27798.050000000047</v>
      </c>
      <c r="Y145" s="2"/>
      <c r="Z145" s="5">
        <f t="shared" si="35"/>
        <v>-4.5413265197765847E-2</v>
      </c>
    </row>
    <row r="146" spans="1:26" s="70" customFormat="1" ht="15" hidden="1" customHeight="1" outlineLevel="2" x14ac:dyDescent="0.3">
      <c r="A146" s="21"/>
      <c r="B146" s="9" t="str">
        <f>CONCATENATE("          ","6234"," - ","EXPENDABLE SUPPLIES &amp; EQUIPMEN")</f>
        <v xml:space="preserve">          6234 - EXPENDABLE SUPPLIES &amp; EQUIPMEN</v>
      </c>
      <c r="C146" s="9"/>
      <c r="D146" s="6">
        <v>525.74</v>
      </c>
      <c r="E146" s="3"/>
      <c r="F146" s="7">
        <f t="shared" si="28"/>
        <v>5.5828637621106649E-4</v>
      </c>
      <c r="G146" s="3"/>
      <c r="H146" s="6">
        <v>6488</v>
      </c>
      <c r="I146" s="3"/>
      <c r="J146" s="7">
        <f t="shared" si="29"/>
        <v>1.2283784193147738E-2</v>
      </c>
      <c r="K146" s="3"/>
      <c r="L146" s="6">
        <f t="shared" si="30"/>
        <v>-5962.26</v>
      </c>
      <c r="M146" s="3"/>
      <c r="N146" s="7">
        <f t="shared" si="31"/>
        <v>-0.91896732429099881</v>
      </c>
      <c r="O146" s="9"/>
      <c r="P146" s="6">
        <v>12682.33</v>
      </c>
      <c r="Q146" s="3"/>
      <c r="R146" s="7">
        <f t="shared" si="32"/>
        <v>5.0716627778452062E-4</v>
      </c>
      <c r="S146" s="3"/>
      <c r="T146" s="6">
        <v>77550</v>
      </c>
      <c r="U146" s="3"/>
      <c r="V146" s="7">
        <f t="shared" si="33"/>
        <v>3.3305256136316286E-3</v>
      </c>
      <c r="W146" s="3"/>
      <c r="X146" s="6">
        <f t="shared" si="34"/>
        <v>-64867.67</v>
      </c>
      <c r="Y146" s="3"/>
      <c r="Z146" s="7">
        <f t="shared" si="35"/>
        <v>-0.83646254029658285</v>
      </c>
    </row>
    <row r="147" spans="1:26" s="70" customFormat="1" ht="15" hidden="1" customHeight="1" outlineLevel="2" x14ac:dyDescent="0.3">
      <c r="A147" s="21"/>
      <c r="B147" s="9" t="str">
        <f>CONCATENATE("          ","6235"," - ","COVID-19 EXPENSES")</f>
        <v xml:space="preserve">          6235 - COVID-19 EXPENSES</v>
      </c>
      <c r="C147" s="9"/>
      <c r="D147" s="6"/>
      <c r="E147" s="3"/>
      <c r="F147" s="7">
        <f t="shared" si="28"/>
        <v>0</v>
      </c>
      <c r="G147" s="3"/>
      <c r="H147" s="6">
        <v>350</v>
      </c>
      <c r="I147" s="3"/>
      <c r="J147" s="7">
        <f t="shared" si="29"/>
        <v>6.6265790191148406E-4</v>
      </c>
      <c r="K147" s="3"/>
      <c r="L147" s="6">
        <f t="shared" si="30"/>
        <v>-350</v>
      </c>
      <c r="M147" s="3"/>
      <c r="N147" s="7">
        <f t="shared" si="31"/>
        <v>-1</v>
      </c>
      <c r="O147" s="9"/>
      <c r="P147" s="6">
        <v>4435.6099999999997</v>
      </c>
      <c r="Q147" s="3"/>
      <c r="R147" s="7">
        <f t="shared" si="32"/>
        <v>1.773800093045834E-4</v>
      </c>
      <c r="S147" s="3"/>
      <c r="T147" s="6">
        <v>4725</v>
      </c>
      <c r="U147" s="3"/>
      <c r="V147" s="7">
        <f t="shared" si="33"/>
        <v>2.0292370760037969E-4</v>
      </c>
      <c r="W147" s="3"/>
      <c r="X147" s="6">
        <f t="shared" si="34"/>
        <v>-289.39000000000033</v>
      </c>
      <c r="Y147" s="3"/>
      <c r="Z147" s="7">
        <f t="shared" si="35"/>
        <v>-6.1246560846560917E-2</v>
      </c>
    </row>
    <row r="148" spans="1:26" s="70" customFormat="1" ht="15" hidden="1" customHeight="1" outlineLevel="2" x14ac:dyDescent="0.3">
      <c r="A148" s="21"/>
      <c r="B148" s="9" t="str">
        <f>CONCATENATE("          ","6237"," - ","JANITORIAL SUPPLIES")</f>
        <v xml:space="preserve">          6237 - JANITORIAL SUPPLIES</v>
      </c>
      <c r="C148" s="9"/>
      <c r="D148" s="6">
        <v>5146.33</v>
      </c>
      <c r="E148" s="3"/>
      <c r="F148" s="7">
        <f t="shared" si="28"/>
        <v>5.4649178804852165E-3</v>
      </c>
      <c r="G148" s="3"/>
      <c r="H148" s="6">
        <v>7935</v>
      </c>
      <c r="I148" s="3"/>
      <c r="J148" s="7">
        <f t="shared" si="29"/>
        <v>1.5023401290478931E-2</v>
      </c>
      <c r="K148" s="3"/>
      <c r="L148" s="6">
        <f t="shared" si="30"/>
        <v>-2788.67</v>
      </c>
      <c r="M148" s="3"/>
      <c r="N148" s="7">
        <f t="shared" si="31"/>
        <v>-0.35143919344675489</v>
      </c>
      <c r="O148" s="9"/>
      <c r="P148" s="6">
        <v>101599.09</v>
      </c>
      <c r="Q148" s="3"/>
      <c r="R148" s="7">
        <f t="shared" si="32"/>
        <v>4.0629468166807287E-3</v>
      </c>
      <c r="S148" s="3"/>
      <c r="T148" s="6">
        <v>122618</v>
      </c>
      <c r="U148" s="3"/>
      <c r="V148" s="7">
        <f t="shared" si="33"/>
        <v>5.2660527361996527E-3</v>
      </c>
      <c r="W148" s="3"/>
      <c r="X148" s="6">
        <f t="shared" si="34"/>
        <v>-21018.910000000003</v>
      </c>
      <c r="Y148" s="3"/>
      <c r="Z148" s="7">
        <f t="shared" si="35"/>
        <v>-0.17141781793863872</v>
      </c>
    </row>
    <row r="149" spans="1:26" s="70" customFormat="1" ht="15" hidden="1" customHeight="1" outlineLevel="2" x14ac:dyDescent="0.3">
      <c r="A149" s="21"/>
      <c r="B149" s="9" t="str">
        <f>CONCATENATE("          ","6239"," - ","KITCHEN SUPPLIES")</f>
        <v xml:space="preserve">          6239 - KITCHEN SUPPLIES</v>
      </c>
      <c r="C149" s="9"/>
      <c r="D149" s="6">
        <v>681.31</v>
      </c>
      <c r="E149" s="3"/>
      <c r="F149" s="7">
        <f t="shared" si="28"/>
        <v>7.2348706770715876E-4</v>
      </c>
      <c r="G149" s="3"/>
      <c r="H149" s="6">
        <v>3300</v>
      </c>
      <c r="I149" s="3"/>
      <c r="J149" s="7">
        <f t="shared" si="29"/>
        <v>6.2479173608797067E-3</v>
      </c>
      <c r="K149" s="3"/>
      <c r="L149" s="6">
        <f t="shared" si="30"/>
        <v>-2618.69</v>
      </c>
      <c r="M149" s="3"/>
      <c r="N149" s="7">
        <f t="shared" si="31"/>
        <v>-0.79354242424242427</v>
      </c>
      <c r="O149" s="9"/>
      <c r="P149" s="6">
        <v>46507.96</v>
      </c>
      <c r="Q149" s="3"/>
      <c r="R149" s="7">
        <f t="shared" si="32"/>
        <v>1.8598529576624621E-3</v>
      </c>
      <c r="S149" s="3"/>
      <c r="T149" s="6">
        <v>54049</v>
      </c>
      <c r="U149" s="3"/>
      <c r="V149" s="7">
        <f t="shared" si="33"/>
        <v>2.3212324808662269E-3</v>
      </c>
      <c r="W149" s="3"/>
      <c r="X149" s="6">
        <f t="shared" si="34"/>
        <v>-7541.0400000000009</v>
      </c>
      <c r="Y149" s="3"/>
      <c r="Z149" s="7">
        <f t="shared" si="35"/>
        <v>-0.13952228533367872</v>
      </c>
    </row>
    <row r="150" spans="1:26" s="70" customFormat="1" ht="15" hidden="1" customHeight="1" outlineLevel="2" x14ac:dyDescent="0.3">
      <c r="A150" s="21"/>
      <c r="B150" s="9" t="str">
        <f>CONCATENATE("          ","6241"," - ","OFFICE EXPENSE")</f>
        <v xml:space="preserve">          6241 - OFFICE EXPENSE</v>
      </c>
      <c r="C150" s="9"/>
      <c r="D150" s="6">
        <v>7061.89</v>
      </c>
      <c r="E150" s="3"/>
      <c r="F150" s="7">
        <f t="shared" si="28"/>
        <v>7.4990622309528826E-3</v>
      </c>
      <c r="G150" s="3"/>
      <c r="H150" s="6">
        <v>1975</v>
      </c>
      <c r="I150" s="3"/>
      <c r="J150" s="7">
        <f t="shared" si="29"/>
        <v>3.7392838750719458E-3</v>
      </c>
      <c r="K150" s="3"/>
      <c r="L150" s="6">
        <f t="shared" si="30"/>
        <v>5086.8900000000003</v>
      </c>
      <c r="M150" s="3"/>
      <c r="N150" s="7">
        <f t="shared" si="31"/>
        <v>2.5756405063291141</v>
      </c>
      <c r="O150" s="9"/>
      <c r="P150" s="6">
        <v>100376.42</v>
      </c>
      <c r="Q150" s="3"/>
      <c r="R150" s="7">
        <f t="shared" si="32"/>
        <v>4.0140522529169094E-3</v>
      </c>
      <c r="S150" s="3"/>
      <c r="T150" s="6">
        <v>28727</v>
      </c>
      <c r="U150" s="3"/>
      <c r="V150" s="7">
        <f t="shared" si="33"/>
        <v>1.2337331953938852E-3</v>
      </c>
      <c r="W150" s="3"/>
      <c r="X150" s="6">
        <f t="shared" si="34"/>
        <v>71649.42</v>
      </c>
      <c r="Y150" s="3"/>
      <c r="Z150" s="7">
        <f t="shared" si="35"/>
        <v>2.4941490583771366</v>
      </c>
    </row>
    <row r="151" spans="1:26" s="70" customFormat="1" ht="15" hidden="1" customHeight="1" outlineLevel="2" x14ac:dyDescent="0.3">
      <c r="A151" s="21"/>
      <c r="B151" s="9" t="str">
        <f>CONCATENATE("          ","6243"," - ","PAPER SUPPLIES")</f>
        <v xml:space="preserve">          6243 - PAPER SUPPLIES</v>
      </c>
      <c r="C151" s="9"/>
      <c r="D151" s="6">
        <v>3445.64</v>
      </c>
      <c r="E151" s="3"/>
      <c r="F151" s="7">
        <f t="shared" si="28"/>
        <v>3.6589452378131757E-3</v>
      </c>
      <c r="G151" s="3"/>
      <c r="H151" s="6">
        <v>13250</v>
      </c>
      <c r="I151" s="3"/>
      <c r="J151" s="7">
        <f t="shared" si="29"/>
        <v>2.5086334858077611E-2</v>
      </c>
      <c r="K151" s="3"/>
      <c r="L151" s="6">
        <f t="shared" si="30"/>
        <v>-9804.36</v>
      </c>
      <c r="M151" s="3"/>
      <c r="N151" s="7">
        <f t="shared" si="31"/>
        <v>-0.7399516981132076</v>
      </c>
      <c r="O151" s="9"/>
      <c r="P151" s="6">
        <v>198794.4</v>
      </c>
      <c r="Q151" s="3"/>
      <c r="R151" s="7">
        <f t="shared" si="32"/>
        <v>7.949786505508618E-3</v>
      </c>
      <c r="S151" s="3"/>
      <c r="T151" s="6">
        <v>204933</v>
      </c>
      <c r="U151" s="3"/>
      <c r="V151" s="7">
        <f t="shared" si="33"/>
        <v>8.8012199300885954E-3</v>
      </c>
      <c r="W151" s="3"/>
      <c r="X151" s="6">
        <f t="shared" si="34"/>
        <v>-6138.6000000000058</v>
      </c>
      <c r="Y151" s="3"/>
      <c r="Z151" s="7">
        <f t="shared" si="35"/>
        <v>-2.9954180146682115E-2</v>
      </c>
    </row>
    <row r="152" spans="1:26" s="70" customFormat="1" ht="15" hidden="1" customHeight="1" outlineLevel="2" x14ac:dyDescent="0.3">
      <c r="A152" s="21"/>
      <c r="B152" s="9" t="str">
        <f>CONCATENATE("          ","6244"," - ","SAFETY SUPPLY EXPENSE")</f>
        <v xml:space="preserve">          6244 - SAFETY SUPPLY EXPENSE</v>
      </c>
      <c r="C152" s="9"/>
      <c r="D152" s="6"/>
      <c r="E152" s="3"/>
      <c r="F152" s="7">
        <f t="shared" si="28"/>
        <v>0</v>
      </c>
      <c r="G152" s="3"/>
      <c r="H152" s="6">
        <v>525</v>
      </c>
      <c r="I152" s="3"/>
      <c r="J152" s="7">
        <f t="shared" si="29"/>
        <v>9.9398685286722615E-4</v>
      </c>
      <c r="K152" s="3"/>
      <c r="L152" s="6">
        <f t="shared" si="30"/>
        <v>-525</v>
      </c>
      <c r="M152" s="3"/>
      <c r="N152" s="7">
        <f t="shared" si="31"/>
        <v>-1</v>
      </c>
      <c r="O152" s="9"/>
      <c r="P152" s="6"/>
      <c r="Q152" s="3"/>
      <c r="R152" s="7">
        <f t="shared" si="32"/>
        <v>0</v>
      </c>
      <c r="S152" s="3"/>
      <c r="T152" s="6">
        <v>6450</v>
      </c>
      <c r="U152" s="3"/>
      <c r="V152" s="7">
        <f t="shared" si="33"/>
        <v>2.7700696593067707E-4</v>
      </c>
      <c r="W152" s="3"/>
      <c r="X152" s="6">
        <f t="shared" si="34"/>
        <v>-6450</v>
      </c>
      <c r="Y152" s="3"/>
      <c r="Z152" s="7">
        <f t="shared" si="35"/>
        <v>-1</v>
      </c>
    </row>
    <row r="153" spans="1:26" s="70" customFormat="1" ht="15" hidden="1" customHeight="1" outlineLevel="2" x14ac:dyDescent="0.3">
      <c r="A153" s="21"/>
      <c r="B153" s="9" t="str">
        <f>CONCATENATE("          ","6245"," - ","PRINTING")</f>
        <v xml:space="preserve">          6245 - PRINTING</v>
      </c>
      <c r="C153" s="9"/>
      <c r="D153" s="6">
        <v>5241.04</v>
      </c>
      <c r="E153" s="3"/>
      <c r="F153" s="7">
        <f t="shared" si="28"/>
        <v>5.5654909825717039E-3</v>
      </c>
      <c r="G153" s="3"/>
      <c r="H153" s="6">
        <v>150</v>
      </c>
      <c r="I153" s="3"/>
      <c r="J153" s="7">
        <f t="shared" si="29"/>
        <v>2.8399624367635032E-4</v>
      </c>
      <c r="K153" s="3"/>
      <c r="L153" s="6">
        <f t="shared" si="30"/>
        <v>5091.04</v>
      </c>
      <c r="M153" s="3"/>
      <c r="N153" s="7">
        <f t="shared" si="31"/>
        <v>33.940266666666666</v>
      </c>
      <c r="O153" s="9"/>
      <c r="P153" s="6">
        <v>18015.439999999999</v>
      </c>
      <c r="Q153" s="3"/>
      <c r="R153" s="7">
        <f t="shared" si="32"/>
        <v>7.2043730508907779E-4</v>
      </c>
      <c r="S153" s="3"/>
      <c r="T153" s="6">
        <v>12395</v>
      </c>
      <c r="U153" s="3"/>
      <c r="V153" s="7">
        <f t="shared" si="33"/>
        <v>5.3232578956755689E-4</v>
      </c>
      <c r="W153" s="3"/>
      <c r="X153" s="6">
        <f t="shared" si="34"/>
        <v>5620.4399999999987</v>
      </c>
      <c r="Y153" s="3"/>
      <c r="Z153" s="7">
        <f t="shared" si="35"/>
        <v>0.45344413069786194</v>
      </c>
    </row>
    <row r="154" spans="1:26" s="70" customFormat="1" ht="15" hidden="1" customHeight="1" outlineLevel="2" x14ac:dyDescent="0.3">
      <c r="A154" s="21"/>
      <c r="B154" s="9" t="str">
        <f>CONCATENATE("          ","6247"," - ","STORE SUPPLIES")</f>
        <v xml:space="preserve">          6247 - STORE SUPPLIES</v>
      </c>
      <c r="C154" s="9"/>
      <c r="D154" s="6">
        <v>26897.94</v>
      </c>
      <c r="E154" s="3"/>
      <c r="F154" s="7">
        <f t="shared" si="28"/>
        <v>2.8563079564314475E-2</v>
      </c>
      <c r="G154" s="3"/>
      <c r="H154" s="6">
        <v>5925</v>
      </c>
      <c r="I154" s="3"/>
      <c r="J154" s="7">
        <f t="shared" si="29"/>
        <v>1.1217851625215837E-2</v>
      </c>
      <c r="K154" s="3"/>
      <c r="L154" s="6">
        <f t="shared" si="30"/>
        <v>20972.94</v>
      </c>
      <c r="M154" s="3"/>
      <c r="N154" s="7">
        <f t="shared" si="31"/>
        <v>3.5397367088607594</v>
      </c>
      <c r="O154" s="9"/>
      <c r="P154" s="6">
        <v>92371.86</v>
      </c>
      <c r="Q154" s="3"/>
      <c r="R154" s="7">
        <f t="shared" si="32"/>
        <v>3.6939499609482522E-3</v>
      </c>
      <c r="S154" s="3"/>
      <c r="T154" s="6">
        <v>89766</v>
      </c>
      <c r="U154" s="3"/>
      <c r="V154" s="7">
        <f t="shared" si="33"/>
        <v>3.8551639230594041E-3</v>
      </c>
      <c r="W154" s="3"/>
      <c r="X154" s="6">
        <f t="shared" si="34"/>
        <v>2605.8600000000006</v>
      </c>
      <c r="Y154" s="3"/>
      <c r="Z154" s="7">
        <f t="shared" si="35"/>
        <v>2.9029476639262086E-2</v>
      </c>
    </row>
    <row r="155" spans="1:26" s="70" customFormat="1" ht="15" hidden="1" customHeight="1" outlineLevel="2" x14ac:dyDescent="0.3">
      <c r="A155" s="21"/>
      <c r="B155" s="9" t="str">
        <f>CONCATENATE("          ","6248"," - ","UNIFORMS")</f>
        <v xml:space="preserve">          6248 - UNIFORMS</v>
      </c>
      <c r="C155" s="9"/>
      <c r="D155" s="6"/>
      <c r="E155" s="3"/>
      <c r="F155" s="7">
        <f t="shared" si="28"/>
        <v>0</v>
      </c>
      <c r="G155" s="3"/>
      <c r="H155" s="6">
        <v>582</v>
      </c>
      <c r="I155" s="3"/>
      <c r="J155" s="7">
        <f t="shared" si="29"/>
        <v>1.1019054254642392E-3</v>
      </c>
      <c r="K155" s="3"/>
      <c r="L155" s="6">
        <f t="shared" si="30"/>
        <v>-582</v>
      </c>
      <c r="M155" s="3"/>
      <c r="N155" s="7">
        <f t="shared" si="31"/>
        <v>-1</v>
      </c>
      <c r="O155" s="9"/>
      <c r="P155" s="6">
        <v>9531.84</v>
      </c>
      <c r="Q155" s="3"/>
      <c r="R155" s="7">
        <f t="shared" si="32"/>
        <v>3.8117820725667957E-4</v>
      </c>
      <c r="S155" s="3"/>
      <c r="T155" s="6">
        <v>10900</v>
      </c>
      <c r="U155" s="3"/>
      <c r="V155" s="7">
        <f t="shared" si="33"/>
        <v>4.6812029901463254E-4</v>
      </c>
      <c r="W155" s="3"/>
      <c r="X155" s="6">
        <f t="shared" si="34"/>
        <v>-1368.1599999999999</v>
      </c>
      <c r="Y155" s="3"/>
      <c r="Z155" s="7">
        <f t="shared" si="35"/>
        <v>-0.12551926605504585</v>
      </c>
    </row>
    <row r="156" spans="1:26" s="69" customFormat="1" ht="15" customHeight="1" outlineLevel="1" collapsed="1" x14ac:dyDescent="0.3">
      <c r="A156" s="20"/>
      <c r="B156" s="11" t="str">
        <f>CONCATENATE("     ","Telephone/Data Lines                              ")</f>
        <v xml:space="preserve">     Telephone/Data Lines                              </v>
      </c>
      <c r="C156" s="11"/>
      <c r="D156" s="2">
        <f>SUM(OSRRefD22_23x_0)</f>
        <v>2056.0300000000002</v>
      </c>
      <c r="E156" s="2"/>
      <c r="F156" s="5">
        <f t="shared" si="28"/>
        <v>2.1833102637829329E-3</v>
      </c>
      <c r="G156" s="2"/>
      <c r="H156" s="2">
        <f>SUM(OSRRefH22_23x_0)</f>
        <v>3553</v>
      </c>
      <c r="I156" s="2"/>
      <c r="J156" s="5">
        <f t="shared" si="29"/>
        <v>6.7269243585471507E-3</v>
      </c>
      <c r="K156" s="2"/>
      <c r="L156" s="2">
        <f t="shared" si="30"/>
        <v>-1496.9699999999998</v>
      </c>
      <c r="M156" s="2"/>
      <c r="N156" s="5">
        <f t="shared" si="31"/>
        <v>-0.42132564030396841</v>
      </c>
      <c r="O156" s="11"/>
      <c r="P156" s="2">
        <f>SUM(OSRRefP22_23x_0)</f>
        <v>42578.47</v>
      </c>
      <c r="Q156" s="2"/>
      <c r="R156" s="5">
        <f t="shared" si="32"/>
        <v>1.70271268321041E-3</v>
      </c>
      <c r="S156" s="2"/>
      <c r="T156" s="2">
        <f>SUM(OSRRefT22_23x_0)</f>
        <v>43792</v>
      </c>
      <c r="U156" s="2"/>
      <c r="V156" s="5">
        <f t="shared" si="33"/>
        <v>1.8807269848118155E-3</v>
      </c>
      <c r="W156" s="2"/>
      <c r="X156" s="2">
        <f t="shared" si="34"/>
        <v>-1213.5299999999988</v>
      </c>
      <c r="Y156" s="2"/>
      <c r="Z156" s="5">
        <f t="shared" si="35"/>
        <v>-2.7711225794665666E-2</v>
      </c>
    </row>
    <row r="157" spans="1:26" s="70" customFormat="1" ht="15" hidden="1" customHeight="1" outlineLevel="2" x14ac:dyDescent="0.3">
      <c r="A157" s="21"/>
      <c r="B157" s="9" t="str">
        <f>CONCATENATE("          ","6303"," - ","DATA PHONE LINES")</f>
        <v xml:space="preserve">          6303 - DATA PHONE LINES</v>
      </c>
      <c r="C157" s="9"/>
      <c r="D157" s="6"/>
      <c r="E157" s="3"/>
      <c r="F157" s="7">
        <f t="shared" si="28"/>
        <v>0</v>
      </c>
      <c r="G157" s="3"/>
      <c r="H157" s="6">
        <v>247</v>
      </c>
      <c r="I157" s="3"/>
      <c r="J157" s="7">
        <f t="shared" si="29"/>
        <v>4.6764714792039015E-4</v>
      </c>
      <c r="K157" s="3"/>
      <c r="L157" s="6">
        <f t="shared" si="30"/>
        <v>-247</v>
      </c>
      <c r="M157" s="3"/>
      <c r="N157" s="7">
        <f t="shared" si="31"/>
        <v>-1</v>
      </c>
      <c r="O157" s="9"/>
      <c r="P157" s="6">
        <v>295</v>
      </c>
      <c r="Q157" s="3"/>
      <c r="R157" s="7">
        <f t="shared" si="32"/>
        <v>1.1797047699155722E-5</v>
      </c>
      <c r="S157" s="3"/>
      <c r="T157" s="6">
        <v>2920</v>
      </c>
      <c r="U157" s="3"/>
      <c r="V157" s="7">
        <f t="shared" si="33"/>
        <v>1.2540470395621349E-4</v>
      </c>
      <c r="W157" s="3"/>
      <c r="X157" s="6">
        <f t="shared" si="34"/>
        <v>-2625</v>
      </c>
      <c r="Y157" s="3"/>
      <c r="Z157" s="7">
        <f t="shared" si="35"/>
        <v>-0.89897260273972601</v>
      </c>
    </row>
    <row r="158" spans="1:26" s="70" customFormat="1" ht="15" hidden="1" customHeight="1" outlineLevel="2" x14ac:dyDescent="0.3">
      <c r="A158" s="21"/>
      <c r="B158" s="9" t="str">
        <f>CONCATENATE("          ","6309"," - ","TELEPHONE")</f>
        <v xml:space="preserve">          6309 - TELEPHONE</v>
      </c>
      <c r="C158" s="9"/>
      <c r="D158" s="6">
        <v>2056.0300000000002</v>
      </c>
      <c r="E158" s="3"/>
      <c r="F158" s="7">
        <f t="shared" si="28"/>
        <v>2.1833102637829329E-3</v>
      </c>
      <c r="G158" s="3"/>
      <c r="H158" s="6">
        <v>3306</v>
      </c>
      <c r="I158" s="3"/>
      <c r="J158" s="7">
        <f t="shared" si="29"/>
        <v>6.2592772106267605E-3</v>
      </c>
      <c r="K158" s="3"/>
      <c r="L158" s="6">
        <f t="shared" si="30"/>
        <v>-1249.9699999999998</v>
      </c>
      <c r="M158" s="3"/>
      <c r="N158" s="7">
        <f t="shared" si="31"/>
        <v>-0.3780913490623109</v>
      </c>
      <c r="O158" s="9"/>
      <c r="P158" s="6">
        <v>42283.47</v>
      </c>
      <c r="Q158" s="3"/>
      <c r="R158" s="7">
        <f t="shared" si="32"/>
        <v>1.6909156355112542E-3</v>
      </c>
      <c r="S158" s="3"/>
      <c r="T158" s="6">
        <v>40872</v>
      </c>
      <c r="U158" s="3"/>
      <c r="V158" s="7">
        <f t="shared" si="33"/>
        <v>1.7553222808556019E-3</v>
      </c>
      <c r="W158" s="3"/>
      <c r="X158" s="6">
        <f t="shared" si="34"/>
        <v>1411.4700000000012</v>
      </c>
      <c r="Y158" s="3"/>
      <c r="Z158" s="7">
        <f t="shared" si="35"/>
        <v>3.4533910745742837E-2</v>
      </c>
    </row>
    <row r="159" spans="1:26" s="69" customFormat="1" ht="15" customHeight="1" outlineLevel="1" collapsed="1" x14ac:dyDescent="0.3">
      <c r="A159" s="20"/>
      <c r="B159" s="11" t="str">
        <f>CONCATENATE("     ","Training                                          ")</f>
        <v xml:space="preserve">     Training                                          </v>
      </c>
      <c r="C159" s="11"/>
      <c r="D159" s="2">
        <f>SUM(OSRRefD22_24x_0)</f>
        <v>916.56</v>
      </c>
      <c r="E159" s="2"/>
      <c r="F159" s="5">
        <f t="shared" si="28"/>
        <v>9.7330041651769899E-4</v>
      </c>
      <c r="G159" s="2"/>
      <c r="H159" s="2">
        <f>SUM(OSRRefH22_24x_0)</f>
        <v>1615</v>
      </c>
      <c r="I159" s="2"/>
      <c r="J159" s="5">
        <f t="shared" si="29"/>
        <v>3.0576928902487049E-3</v>
      </c>
      <c r="K159" s="2"/>
      <c r="L159" s="2">
        <f t="shared" si="30"/>
        <v>-698.44</v>
      </c>
      <c r="M159" s="2"/>
      <c r="N159" s="5">
        <f t="shared" si="31"/>
        <v>-0.43247058823529416</v>
      </c>
      <c r="O159" s="11"/>
      <c r="P159" s="2">
        <f>SUM(OSRRefP22_24x_0)</f>
        <v>27486.86</v>
      </c>
      <c r="Q159" s="2"/>
      <c r="R159" s="5">
        <f t="shared" si="32"/>
        <v>1.0991993170170015E-3</v>
      </c>
      <c r="S159" s="2"/>
      <c r="T159" s="2">
        <f>SUM(OSRRefT22_24x_0)</f>
        <v>21410</v>
      </c>
      <c r="U159" s="2"/>
      <c r="V159" s="5">
        <f t="shared" si="33"/>
        <v>9.1949133962415436E-4</v>
      </c>
      <c r="W159" s="2"/>
      <c r="X159" s="2">
        <f t="shared" si="34"/>
        <v>6076.8600000000006</v>
      </c>
      <c r="Y159" s="2"/>
      <c r="Z159" s="5">
        <f t="shared" si="35"/>
        <v>0.28383278841662779</v>
      </c>
    </row>
    <row r="160" spans="1:26" s="70" customFormat="1" ht="15" hidden="1" customHeight="1" outlineLevel="2" x14ac:dyDescent="0.3">
      <c r="A160" s="21"/>
      <c r="B160" s="9" t="str">
        <f>CONCATENATE("          ","6376"," - ","TRAINING")</f>
        <v xml:space="preserve">          6376 - TRAINING</v>
      </c>
      <c r="C160" s="9"/>
      <c r="D160" s="6">
        <v>916.56</v>
      </c>
      <c r="E160" s="3"/>
      <c r="F160" s="7">
        <f t="shared" si="28"/>
        <v>9.7330041651769899E-4</v>
      </c>
      <c r="G160" s="3"/>
      <c r="H160" s="6">
        <v>1615</v>
      </c>
      <c r="I160" s="3"/>
      <c r="J160" s="7">
        <f t="shared" si="29"/>
        <v>3.0576928902487049E-3</v>
      </c>
      <c r="K160" s="3"/>
      <c r="L160" s="6">
        <f t="shared" si="30"/>
        <v>-698.44</v>
      </c>
      <c r="M160" s="3"/>
      <c r="N160" s="7">
        <f t="shared" si="31"/>
        <v>-0.43247058823529416</v>
      </c>
      <c r="O160" s="9"/>
      <c r="P160" s="6">
        <v>27486.86</v>
      </c>
      <c r="Q160" s="3"/>
      <c r="R160" s="7">
        <f t="shared" si="32"/>
        <v>1.0991993170170015E-3</v>
      </c>
      <c r="S160" s="3"/>
      <c r="T160" s="6">
        <v>21410</v>
      </c>
      <c r="U160" s="3"/>
      <c r="V160" s="7">
        <f t="shared" si="33"/>
        <v>9.1949133962415436E-4</v>
      </c>
      <c r="W160" s="3"/>
      <c r="X160" s="6">
        <f t="shared" si="34"/>
        <v>6076.8600000000006</v>
      </c>
      <c r="Y160" s="3"/>
      <c r="Z160" s="7">
        <f t="shared" si="35"/>
        <v>0.28383278841662779</v>
      </c>
    </row>
    <row r="161" spans="1:26" s="69" customFormat="1" ht="15" customHeight="1" outlineLevel="1" collapsed="1" x14ac:dyDescent="0.3">
      <c r="A161" s="20"/>
      <c r="B161" s="11" t="str">
        <f>CONCATENATE("     ","Travel                                            ")</f>
        <v xml:space="preserve">     Travel                                            </v>
      </c>
      <c r="C161" s="11"/>
      <c r="D161" s="2">
        <f>SUM(OSRRefD22_25x_0)</f>
        <v>1117.6500000000001</v>
      </c>
      <c r="E161" s="2"/>
      <c r="F161" s="5">
        <f t="shared" si="28"/>
        <v>1.1868390618410211E-3</v>
      </c>
      <c r="G161" s="2"/>
      <c r="H161" s="2">
        <f>SUM(OSRRefH22_25x_0)</f>
        <v>175</v>
      </c>
      <c r="I161" s="2"/>
      <c r="J161" s="5">
        <f t="shared" si="29"/>
        <v>3.3132895095574203E-4</v>
      </c>
      <c r="K161" s="2"/>
      <c r="L161" s="2">
        <f t="shared" si="30"/>
        <v>942.65000000000009</v>
      </c>
      <c r="M161" s="2"/>
      <c r="N161" s="5">
        <f t="shared" si="31"/>
        <v>5.386571428571429</v>
      </c>
      <c r="O161" s="11"/>
      <c r="P161" s="2">
        <f>SUM(OSRRefP22_25x_0)</f>
        <v>3834.5499999999997</v>
      </c>
      <c r="Q161" s="2"/>
      <c r="R161" s="5">
        <f t="shared" si="32"/>
        <v>1.5334362459253412E-4</v>
      </c>
      <c r="S161" s="2"/>
      <c r="T161" s="2">
        <f>SUM(OSRRefT22_25x_0)</f>
        <v>3550</v>
      </c>
      <c r="U161" s="2"/>
      <c r="V161" s="5">
        <f t="shared" si="33"/>
        <v>1.5246119830293077E-4</v>
      </c>
      <c r="W161" s="2"/>
      <c r="X161" s="2">
        <f t="shared" si="34"/>
        <v>284.54999999999973</v>
      </c>
      <c r="Y161" s="2"/>
      <c r="Z161" s="5">
        <f t="shared" si="35"/>
        <v>8.0154929577464715E-2</v>
      </c>
    </row>
    <row r="162" spans="1:26" s="70" customFormat="1" ht="15" hidden="1" customHeight="1" outlineLevel="2" x14ac:dyDescent="0.3">
      <c r="A162" s="21"/>
      <c r="B162" s="9" t="str">
        <f>CONCATENATE("          ","6292"," - ","TRAVEL/CONFERENCE")</f>
        <v xml:space="preserve">          6292 - TRAVEL/CONFERENCE</v>
      </c>
      <c r="C162" s="9"/>
      <c r="D162" s="6"/>
      <c r="E162" s="3"/>
      <c r="F162" s="7">
        <f t="shared" si="28"/>
        <v>0</v>
      </c>
      <c r="G162" s="3"/>
      <c r="H162" s="6">
        <v>125</v>
      </c>
      <c r="I162" s="3"/>
      <c r="J162" s="7">
        <f t="shared" si="29"/>
        <v>2.3666353639695858E-4</v>
      </c>
      <c r="K162" s="3"/>
      <c r="L162" s="6">
        <f t="shared" si="30"/>
        <v>-125</v>
      </c>
      <c r="M162" s="3"/>
      <c r="N162" s="7">
        <f t="shared" si="31"/>
        <v>-1</v>
      </c>
      <c r="O162" s="9"/>
      <c r="P162" s="6">
        <v>1123.5899999999999</v>
      </c>
      <c r="Q162" s="3"/>
      <c r="R162" s="7">
        <f t="shared" si="32"/>
        <v>4.4932355336591107E-5</v>
      </c>
      <c r="S162" s="3"/>
      <c r="T162" s="6">
        <v>2700</v>
      </c>
      <c r="U162" s="3"/>
      <c r="V162" s="7">
        <f t="shared" si="33"/>
        <v>1.1595640434307412E-4</v>
      </c>
      <c r="W162" s="3"/>
      <c r="X162" s="6">
        <f t="shared" si="34"/>
        <v>-1576.41</v>
      </c>
      <c r="Y162" s="3"/>
      <c r="Z162" s="7">
        <f t="shared" si="35"/>
        <v>-0.58385555555555557</v>
      </c>
    </row>
    <row r="163" spans="1:26" s="70" customFormat="1" ht="15" hidden="1" customHeight="1" outlineLevel="2" x14ac:dyDescent="0.3">
      <c r="A163" s="21"/>
      <c r="B163" s="9" t="str">
        <f>CONCATENATE("          ","6294"," - ","TRAVEL OPERATIONAL")</f>
        <v xml:space="preserve">          6294 - TRAVEL OPERATIONAL</v>
      </c>
      <c r="C163" s="9"/>
      <c r="D163" s="6">
        <v>1017.65</v>
      </c>
      <c r="E163" s="3"/>
      <c r="F163" s="7">
        <f t="shared" si="28"/>
        <v>1.0806484778620455E-3</v>
      </c>
      <c r="G163" s="3"/>
      <c r="H163" s="6">
        <v>25</v>
      </c>
      <c r="I163" s="3"/>
      <c r="J163" s="7">
        <f t="shared" si="29"/>
        <v>4.7332707279391718E-5</v>
      </c>
      <c r="K163" s="3"/>
      <c r="L163" s="6">
        <f t="shared" si="30"/>
        <v>992.65</v>
      </c>
      <c r="M163" s="3"/>
      <c r="N163" s="7">
        <f t="shared" si="31"/>
        <v>39.705999999999996</v>
      </c>
      <c r="O163" s="9"/>
      <c r="P163" s="6">
        <v>1628.52</v>
      </c>
      <c r="Q163" s="3"/>
      <c r="R163" s="7">
        <f t="shared" si="32"/>
        <v>6.5124502098403648E-5</v>
      </c>
      <c r="S163" s="3"/>
      <c r="T163" s="6">
        <v>300</v>
      </c>
      <c r="U163" s="3"/>
      <c r="V163" s="7">
        <f t="shared" si="33"/>
        <v>1.2884044927008236E-5</v>
      </c>
      <c r="W163" s="3"/>
      <c r="X163" s="6">
        <f t="shared" si="34"/>
        <v>1328.52</v>
      </c>
      <c r="Y163" s="3"/>
      <c r="Z163" s="7">
        <f t="shared" si="35"/>
        <v>4.4283999999999999</v>
      </c>
    </row>
    <row r="164" spans="1:26" s="70" customFormat="1" ht="15" hidden="1" customHeight="1" outlineLevel="2" x14ac:dyDescent="0.3">
      <c r="A164" s="21"/>
      <c r="B164" s="9" t="str">
        <f>CONCATENATE("          ","6298"," - ","VEHICLE MILEAGE")</f>
        <v xml:space="preserve">          6298 - VEHICLE MILEAGE</v>
      </c>
      <c r="C164" s="9"/>
      <c r="D164" s="6">
        <v>100</v>
      </c>
      <c r="E164" s="3"/>
      <c r="F164" s="7">
        <f t="shared" si="28"/>
        <v>1.0619058397897563E-4</v>
      </c>
      <c r="G164" s="3"/>
      <c r="H164" s="6">
        <v>25</v>
      </c>
      <c r="I164" s="3"/>
      <c r="J164" s="7">
        <f t="shared" si="29"/>
        <v>4.7332707279391718E-5</v>
      </c>
      <c r="K164" s="3"/>
      <c r="L164" s="6">
        <f t="shared" si="30"/>
        <v>75</v>
      </c>
      <c r="M164" s="3"/>
      <c r="N164" s="7">
        <f t="shared" si="31"/>
        <v>3</v>
      </c>
      <c r="O164" s="9"/>
      <c r="P164" s="6">
        <v>1082.44</v>
      </c>
      <c r="Q164" s="3"/>
      <c r="R164" s="7">
        <f t="shared" si="32"/>
        <v>4.328676715753939E-5</v>
      </c>
      <c r="S164" s="3"/>
      <c r="T164" s="6">
        <v>550</v>
      </c>
      <c r="U164" s="3"/>
      <c r="V164" s="7">
        <f t="shared" si="33"/>
        <v>2.3620749032848432E-5</v>
      </c>
      <c r="W164" s="3"/>
      <c r="X164" s="6">
        <f t="shared" si="34"/>
        <v>532.44000000000005</v>
      </c>
      <c r="Y164" s="3"/>
      <c r="Z164" s="7">
        <f t="shared" si="35"/>
        <v>0.96807272727272742</v>
      </c>
    </row>
    <row r="165" spans="1:26" s="69" customFormat="1" ht="15" customHeight="1" outlineLevel="1" collapsed="1" x14ac:dyDescent="0.3">
      <c r="A165" s="20"/>
      <c r="B165" s="11" t="str">
        <f>CONCATENATE("     ","Utilities                                         ")</f>
        <v xml:space="preserve">     Utilities                                         </v>
      </c>
      <c r="C165" s="11"/>
      <c r="D165" s="2">
        <f>SUM(OSRRefD22_26x_0)</f>
        <v>20648.830000000002</v>
      </c>
      <c r="E165" s="2"/>
      <c r="F165" s="5">
        <f t="shared" si="28"/>
        <v>2.1927113161825915E-2</v>
      </c>
      <c r="G165" s="2"/>
      <c r="H165" s="2">
        <f>SUM(OSRRefH22_26x_0)</f>
        <v>14783</v>
      </c>
      <c r="I165" s="2"/>
      <c r="J165" s="5">
        <f t="shared" si="29"/>
        <v>2.7988776468449911E-2</v>
      </c>
      <c r="K165" s="2"/>
      <c r="L165" s="2">
        <f t="shared" si="30"/>
        <v>5865.8300000000017</v>
      </c>
      <c r="M165" s="2"/>
      <c r="N165" s="5">
        <f t="shared" si="31"/>
        <v>0.39679564364472719</v>
      </c>
      <c r="O165" s="11"/>
      <c r="P165" s="2">
        <f>SUM(OSRRefP22_26x_0)</f>
        <v>215156.38</v>
      </c>
      <c r="Q165" s="2"/>
      <c r="R165" s="5">
        <f t="shared" si="32"/>
        <v>8.6041019580938103E-3</v>
      </c>
      <c r="S165" s="2"/>
      <c r="T165" s="2">
        <f>SUM(OSRRefT22_26x_0)</f>
        <v>180120</v>
      </c>
      <c r="U165" s="2"/>
      <c r="V165" s="5">
        <f t="shared" si="33"/>
        <v>7.735580574175744E-3</v>
      </c>
      <c r="W165" s="2"/>
      <c r="X165" s="2">
        <f t="shared" si="34"/>
        <v>35036.380000000005</v>
      </c>
      <c r="Y165" s="2"/>
      <c r="Z165" s="5">
        <f t="shared" si="35"/>
        <v>0.19451687763713083</v>
      </c>
    </row>
    <row r="166" spans="1:26" s="70" customFormat="1" ht="15" hidden="1" customHeight="1" outlineLevel="2" x14ac:dyDescent="0.3">
      <c r="A166" s="21"/>
      <c r="B166" s="9" t="str">
        <f>CONCATENATE("          ","6274"," - ","UTILITIES")</f>
        <v xml:space="preserve">          6274 - UTILITIES</v>
      </c>
      <c r="C166" s="9"/>
      <c r="D166" s="6">
        <v>20648.830000000002</v>
      </c>
      <c r="E166" s="3"/>
      <c r="F166" s="7">
        <f t="shared" si="28"/>
        <v>2.1927113161825915E-2</v>
      </c>
      <c r="G166" s="3"/>
      <c r="H166" s="6">
        <v>14783</v>
      </c>
      <c r="I166" s="3"/>
      <c r="J166" s="7">
        <f t="shared" si="29"/>
        <v>2.7988776468449911E-2</v>
      </c>
      <c r="K166" s="3"/>
      <c r="L166" s="6">
        <f t="shared" si="30"/>
        <v>5865.8300000000017</v>
      </c>
      <c r="M166" s="3"/>
      <c r="N166" s="7">
        <f t="shared" si="31"/>
        <v>0.39679564364472719</v>
      </c>
      <c r="O166" s="9"/>
      <c r="P166" s="6">
        <v>215156.38</v>
      </c>
      <c r="Q166" s="3"/>
      <c r="R166" s="7">
        <f t="shared" si="32"/>
        <v>8.6041019580938103E-3</v>
      </c>
      <c r="S166" s="3"/>
      <c r="T166" s="6">
        <v>180120</v>
      </c>
      <c r="U166" s="3"/>
      <c r="V166" s="7">
        <f t="shared" si="33"/>
        <v>7.735580574175744E-3</v>
      </c>
      <c r="W166" s="3"/>
      <c r="X166" s="6">
        <f t="shared" si="34"/>
        <v>35036.380000000005</v>
      </c>
      <c r="Y166" s="3"/>
      <c r="Z166" s="7">
        <f t="shared" si="35"/>
        <v>0.19451687763713083</v>
      </c>
    </row>
    <row r="167" spans="1:26" s="65" customFormat="1" ht="15" customHeight="1" x14ac:dyDescent="0.3">
      <c r="A167" s="36"/>
      <c r="B167" s="36"/>
      <c r="C167" s="36"/>
      <c r="D167" s="2"/>
      <c r="E167" s="2"/>
      <c r="F167" s="5"/>
      <c r="G167" s="2"/>
      <c r="H167" s="2"/>
      <c r="I167" s="2"/>
      <c r="J167" s="5"/>
      <c r="K167" s="2"/>
      <c r="L167" s="2"/>
      <c r="M167" s="2"/>
      <c r="N167" s="5"/>
      <c r="O167" s="36"/>
      <c r="P167" s="2"/>
      <c r="Q167" s="2"/>
      <c r="R167" s="5"/>
      <c r="S167" s="2"/>
      <c r="T167" s="2"/>
      <c r="U167" s="2"/>
      <c r="V167" s="5"/>
      <c r="W167" s="2"/>
      <c r="X167" s="2"/>
      <c r="Y167" s="2"/>
      <c r="Z167" s="5"/>
    </row>
    <row r="168" spans="1:26" s="63" customFormat="1" ht="15" customHeight="1" collapsed="1" x14ac:dyDescent="0.3">
      <c r="A168" s="13"/>
      <c r="B168" s="28" t="s">
        <v>291</v>
      </c>
      <c r="C168" s="13"/>
      <c r="D168" s="8">
        <f>SUM(OSRRefD25x_0)</f>
        <v>49323.299999999996</v>
      </c>
      <c r="E168" s="8"/>
      <c r="F168" s="14">
        <f t="shared" ref="F168:F176" si="36">IF(D$12=0,0,D168/D$12)</f>
        <v>5.2376700307702084E-2</v>
      </c>
      <c r="G168" s="8"/>
      <c r="H168" s="8">
        <f>SUM(OSRRefH25x_0)</f>
        <v>236500</v>
      </c>
      <c r="I168" s="8"/>
      <c r="J168" s="14">
        <f t="shared" ref="J168:J176" si="37">IF(H$12=0,0,H168/H$12)</f>
        <v>0.44776741086304567</v>
      </c>
      <c r="K168" s="8"/>
      <c r="L168" s="8">
        <f t="shared" ref="L168:L176" si="38">+D168-H168</f>
        <v>-187176.7</v>
      </c>
      <c r="M168" s="8"/>
      <c r="N168" s="14">
        <f t="shared" ref="N168:N176" si="39">IF(H168=0,0,L168/H168)</f>
        <v>-0.79144482029598318</v>
      </c>
      <c r="O168" s="13"/>
      <c r="P168" s="8">
        <f>SUM(OSRRefP25x_0)</f>
        <v>1679842.7</v>
      </c>
      <c r="Q168" s="8"/>
      <c r="R168" s="14">
        <f t="shared" ref="R168:R176" si="40">IF(P$12=0,0,P168/P$12)</f>
        <v>6.7176896471113676E-2</v>
      </c>
      <c r="S168" s="8"/>
      <c r="T168" s="8">
        <f>SUM(OSRRefT25x_0)</f>
        <v>1484381.25</v>
      </c>
      <c r="U168" s="8"/>
      <c r="V168" s="14">
        <f t="shared" ref="V168:V176" si="41">IF(T$12=0,0,T168/T$12)</f>
        <v>6.3749449046028805E-2</v>
      </c>
      <c r="W168" s="8"/>
      <c r="X168" s="8">
        <f t="shared" ref="X168:X176" si="42">+P168-T168</f>
        <v>195461.44999999995</v>
      </c>
      <c r="Y168" s="8"/>
      <c r="Z168" s="14">
        <f t="shared" ref="Z168:Z176" si="43">IF(T168=0,0,X168/T168)</f>
        <v>0.13167873819478651</v>
      </c>
    </row>
    <row r="169" spans="1:26" s="70" customFormat="1" ht="15" hidden="1" customHeight="1" outlineLevel="1" x14ac:dyDescent="0.3">
      <c r="A169" s="48"/>
      <c r="B169" s="9" t="str">
        <f>CONCATENATE("          ","4187"," - ","NON-TAXABLE SALES-COMPUTER REP")</f>
        <v xml:space="preserve">          4187 - NON-TAXABLE SALES-COMPUTER REP</v>
      </c>
      <c r="C169" s="9"/>
      <c r="D169" s="3">
        <f>0</f>
        <v>0</v>
      </c>
      <c r="E169" s="3"/>
      <c r="F169" s="26">
        <f t="shared" si="36"/>
        <v>0</v>
      </c>
      <c r="G169" s="3"/>
      <c r="H169" s="3"/>
      <c r="I169" s="3"/>
      <c r="J169" s="26">
        <f t="shared" si="37"/>
        <v>0</v>
      </c>
      <c r="K169" s="3"/>
      <c r="L169" s="3">
        <f t="shared" si="38"/>
        <v>0</v>
      </c>
      <c r="M169" s="3"/>
      <c r="N169" s="26">
        <f t="shared" si="39"/>
        <v>0</v>
      </c>
      <c r="O169" s="9"/>
      <c r="P169" s="3">
        <f>0</f>
        <v>0</v>
      </c>
      <c r="Q169" s="3"/>
      <c r="R169" s="26">
        <f t="shared" si="40"/>
        <v>0</v>
      </c>
      <c r="S169" s="3"/>
      <c r="T169" s="3"/>
      <c r="U169" s="3"/>
      <c r="V169" s="26">
        <f t="shared" si="41"/>
        <v>0</v>
      </c>
      <c r="W169" s="3"/>
      <c r="X169" s="3">
        <f t="shared" si="42"/>
        <v>0</v>
      </c>
      <c r="Y169" s="3"/>
      <c r="Z169" s="26">
        <f t="shared" si="43"/>
        <v>0</v>
      </c>
    </row>
    <row r="170" spans="1:26" s="70" customFormat="1" ht="15" hidden="1" customHeight="1" outlineLevel="1" x14ac:dyDescent="0.3">
      <c r="A170" s="48"/>
      <c r="B170" s="9" t="str">
        <f>CONCATENATE("          ","9087"," - ","")</f>
        <v xml:space="preserve">          9087 - </v>
      </c>
      <c r="C170" s="9"/>
      <c r="D170" s="3">
        <f>-711.04</f>
        <v>-711.04</v>
      </c>
      <c r="E170" s="3"/>
      <c r="F170" s="26">
        <f t="shared" si="36"/>
        <v>-7.5505752832410826E-4</v>
      </c>
      <c r="G170" s="3"/>
      <c r="H170" s="3"/>
      <c r="I170" s="3"/>
      <c r="J170" s="26">
        <f t="shared" si="37"/>
        <v>0</v>
      </c>
      <c r="K170" s="3"/>
      <c r="L170" s="3">
        <f t="shared" si="38"/>
        <v>-711.04</v>
      </c>
      <c r="M170" s="3"/>
      <c r="N170" s="26">
        <f t="shared" si="39"/>
        <v>0</v>
      </c>
      <c r="O170" s="9"/>
      <c r="P170" s="3">
        <f>-5.4</f>
        <v>-5.4</v>
      </c>
      <c r="Q170" s="3"/>
      <c r="R170" s="26">
        <f t="shared" si="40"/>
        <v>-2.159459578828505E-7</v>
      </c>
      <c r="S170" s="3"/>
      <c r="T170" s="3"/>
      <c r="U170" s="3"/>
      <c r="V170" s="26">
        <f t="shared" si="41"/>
        <v>0</v>
      </c>
      <c r="W170" s="3"/>
      <c r="X170" s="3">
        <f t="shared" si="42"/>
        <v>-5.4</v>
      </c>
      <c r="Y170" s="3"/>
      <c r="Z170" s="26">
        <f t="shared" si="43"/>
        <v>0</v>
      </c>
    </row>
    <row r="171" spans="1:26" s="70" customFormat="1" ht="15" hidden="1" customHeight="1" outlineLevel="1" x14ac:dyDescent="0.3">
      <c r="A171" s="48"/>
      <c r="B171" s="9" t="str">
        <f>CONCATENATE("          ","9150"," - ","MISC. INCOME")</f>
        <v xml:space="preserve">          9150 - MISC. INCOME</v>
      </c>
      <c r="C171" s="9"/>
      <c r="D171" s="3">
        <f>--27716.26</f>
        <v>27716.26</v>
      </c>
      <c r="E171" s="3"/>
      <c r="F171" s="26">
        <f t="shared" si="36"/>
        <v>2.9432058351131229E-2</v>
      </c>
      <c r="G171" s="3"/>
      <c r="H171" s="3">
        <v>11049</v>
      </c>
      <c r="I171" s="3"/>
      <c r="J171" s="26">
        <f t="shared" si="37"/>
        <v>2.0919163309199965E-2</v>
      </c>
      <c r="K171" s="3"/>
      <c r="L171" s="3">
        <f t="shared" si="38"/>
        <v>16667.259999999998</v>
      </c>
      <c r="M171" s="3"/>
      <c r="N171" s="26">
        <f t="shared" si="39"/>
        <v>1.5084858358222462</v>
      </c>
      <c r="O171" s="9"/>
      <c r="P171" s="3">
        <f>--686425.47</f>
        <v>686425.47</v>
      </c>
      <c r="Q171" s="3"/>
      <c r="R171" s="26">
        <f t="shared" si="40"/>
        <v>2.7450149191543677E-2</v>
      </c>
      <c r="S171" s="3"/>
      <c r="T171" s="3">
        <v>229549</v>
      </c>
      <c r="U171" s="3"/>
      <c r="V171" s="26">
        <f t="shared" si="41"/>
        <v>9.8583987631660451E-3</v>
      </c>
      <c r="W171" s="3"/>
      <c r="X171" s="3">
        <f t="shared" si="42"/>
        <v>456876.47</v>
      </c>
      <c r="Y171" s="3"/>
      <c r="Z171" s="26">
        <f t="shared" si="43"/>
        <v>1.9903221970036897</v>
      </c>
    </row>
    <row r="172" spans="1:26" s="70" customFormat="1" ht="15" hidden="1" customHeight="1" outlineLevel="1" x14ac:dyDescent="0.3">
      <c r="A172" s="48"/>
      <c r="B172" s="9" t="str">
        <f>CONCATENATE("          ","9151"," - ","MISC. INCOME")</f>
        <v xml:space="preserve">          9151 - MISC. INCOME</v>
      </c>
      <c r="C172" s="9"/>
      <c r="D172" s="3">
        <f>--4094.51</f>
        <v>4094.51</v>
      </c>
      <c r="E172" s="3"/>
      <c r="F172" s="26">
        <f t="shared" si="36"/>
        <v>4.3479840800775549E-3</v>
      </c>
      <c r="G172" s="3"/>
      <c r="H172" s="3">
        <v>167117</v>
      </c>
      <c r="I172" s="3"/>
      <c r="J172" s="26">
        <f t="shared" si="37"/>
        <v>0.3164040016964042</v>
      </c>
      <c r="K172" s="3"/>
      <c r="L172" s="3">
        <f t="shared" si="38"/>
        <v>-163022.49</v>
      </c>
      <c r="M172" s="3"/>
      <c r="N172" s="26">
        <f t="shared" si="39"/>
        <v>-0.97549914132015292</v>
      </c>
      <c r="O172" s="9"/>
      <c r="P172" s="3">
        <f>--328482.25</f>
        <v>328482.25</v>
      </c>
      <c r="Q172" s="3"/>
      <c r="R172" s="26">
        <f t="shared" si="40"/>
        <v>1.3136002615511845E-2</v>
      </c>
      <c r="S172" s="3"/>
      <c r="T172" s="3">
        <v>988820.12</v>
      </c>
      <c r="U172" s="3"/>
      <c r="V172" s="26">
        <f t="shared" si="41"/>
        <v>4.2466676169365579E-2</v>
      </c>
      <c r="W172" s="3"/>
      <c r="X172" s="3">
        <f t="shared" si="42"/>
        <v>-660337.87</v>
      </c>
      <c r="Y172" s="3"/>
      <c r="Z172" s="26">
        <f t="shared" si="43"/>
        <v>-0.66780383675849964</v>
      </c>
    </row>
    <row r="173" spans="1:26" s="70" customFormat="1" ht="15" hidden="1" customHeight="1" outlineLevel="1" x14ac:dyDescent="0.3">
      <c r="A173" s="48"/>
      <c r="B173" s="9" t="str">
        <f>CONCATENATE("          ","9152"," - ","MISC. INCOME")</f>
        <v xml:space="preserve">          9152 - MISC. INCOME</v>
      </c>
      <c r="C173" s="9"/>
      <c r="D173" s="3">
        <f>--221.07</f>
        <v>221.07</v>
      </c>
      <c r="E173" s="3"/>
      <c r="F173" s="26">
        <f t="shared" si="36"/>
        <v>2.3475552400232142E-4</v>
      </c>
      <c r="G173" s="3"/>
      <c r="H173" s="3"/>
      <c r="I173" s="3"/>
      <c r="J173" s="26">
        <f t="shared" si="37"/>
        <v>0</v>
      </c>
      <c r="K173" s="3"/>
      <c r="L173" s="3">
        <f t="shared" si="38"/>
        <v>221.07</v>
      </c>
      <c r="M173" s="3"/>
      <c r="N173" s="26">
        <f t="shared" si="39"/>
        <v>0</v>
      </c>
      <c r="O173" s="9"/>
      <c r="P173" s="3">
        <f>--5468.18</f>
        <v>5468.18</v>
      </c>
      <c r="Q173" s="3"/>
      <c r="R173" s="26">
        <f t="shared" si="40"/>
        <v>2.186724755510825E-4</v>
      </c>
      <c r="S173" s="3"/>
      <c r="T173" s="3"/>
      <c r="U173" s="3"/>
      <c r="V173" s="26">
        <f t="shared" si="41"/>
        <v>0</v>
      </c>
      <c r="W173" s="3"/>
      <c r="X173" s="3">
        <f t="shared" si="42"/>
        <v>5468.18</v>
      </c>
      <c r="Y173" s="3"/>
      <c r="Z173" s="26">
        <f t="shared" si="43"/>
        <v>0</v>
      </c>
    </row>
    <row r="174" spans="1:26" s="70" customFormat="1" ht="15" hidden="1" customHeight="1" outlineLevel="1" x14ac:dyDescent="0.3">
      <c r="A174" s="48"/>
      <c r="B174" s="9" t="str">
        <f>CONCATENATE("          ","9160"," - ","MISC. INCOME")</f>
        <v xml:space="preserve">          9160 - MISC. INCOME</v>
      </c>
      <c r="C174" s="9"/>
      <c r="D174" s="3">
        <f>0</f>
        <v>0</v>
      </c>
      <c r="E174" s="3"/>
      <c r="F174" s="26">
        <f t="shared" si="36"/>
        <v>0</v>
      </c>
      <c r="G174" s="3"/>
      <c r="H174" s="3">
        <v>58334</v>
      </c>
      <c r="I174" s="3"/>
      <c r="J174" s="26">
        <f t="shared" si="37"/>
        <v>0.11044424585744146</v>
      </c>
      <c r="K174" s="3"/>
      <c r="L174" s="3">
        <f t="shared" si="38"/>
        <v>-58334</v>
      </c>
      <c r="M174" s="3"/>
      <c r="N174" s="26">
        <f t="shared" si="39"/>
        <v>-1</v>
      </c>
      <c r="O174" s="9"/>
      <c r="P174" s="3">
        <f>0</f>
        <v>0</v>
      </c>
      <c r="Q174" s="3"/>
      <c r="R174" s="26">
        <f t="shared" si="40"/>
        <v>0</v>
      </c>
      <c r="S174" s="3"/>
      <c r="T174" s="3">
        <v>266012.13</v>
      </c>
      <c r="U174" s="3"/>
      <c r="V174" s="26">
        <f t="shared" si="41"/>
        <v>1.1424374113497183E-2</v>
      </c>
      <c r="W174" s="3"/>
      <c r="X174" s="3">
        <f t="shared" si="42"/>
        <v>-266012.13</v>
      </c>
      <c r="Y174" s="3"/>
      <c r="Z174" s="26">
        <f t="shared" si="43"/>
        <v>-1</v>
      </c>
    </row>
    <row r="175" spans="1:26" s="70" customFormat="1" ht="15" hidden="1" customHeight="1" outlineLevel="1" x14ac:dyDescent="0.3">
      <c r="A175" s="48"/>
      <c r="B175" s="9" t="str">
        <f>CONCATENATE("          ","9163"," - ","MISC. INCOME")</f>
        <v xml:space="preserve">          9163 - MISC. INCOME</v>
      </c>
      <c r="C175" s="9"/>
      <c r="D175" s="3">
        <f>--18002.5</f>
        <v>18002.5</v>
      </c>
      <c r="E175" s="3"/>
      <c r="F175" s="26">
        <f t="shared" si="36"/>
        <v>1.9116959880815087E-2</v>
      </c>
      <c r="G175" s="3"/>
      <c r="H175" s="3"/>
      <c r="I175" s="3"/>
      <c r="J175" s="26">
        <f t="shared" si="37"/>
        <v>0</v>
      </c>
      <c r="K175" s="3"/>
      <c r="L175" s="3">
        <f t="shared" si="38"/>
        <v>18002.5</v>
      </c>
      <c r="M175" s="3"/>
      <c r="N175" s="26">
        <f t="shared" si="39"/>
        <v>0</v>
      </c>
      <c r="O175" s="9"/>
      <c r="P175" s="3">
        <f>--659472.2</f>
        <v>659472.19999999995</v>
      </c>
      <c r="Q175" s="3"/>
      <c r="R175" s="26">
        <f t="shared" si="40"/>
        <v>2.6372288134464954E-2</v>
      </c>
      <c r="S175" s="3"/>
      <c r="T175" s="3"/>
      <c r="U175" s="3"/>
      <c r="V175" s="26">
        <f t="shared" si="41"/>
        <v>0</v>
      </c>
      <c r="W175" s="3"/>
      <c r="X175" s="3">
        <f t="shared" si="42"/>
        <v>659472.19999999995</v>
      </c>
      <c r="Y175" s="3"/>
      <c r="Z175" s="26">
        <f t="shared" si="43"/>
        <v>0</v>
      </c>
    </row>
    <row r="176" spans="1:26" s="70" customFormat="1" ht="15" hidden="1" customHeight="1" outlineLevel="1" x14ac:dyDescent="0.3">
      <c r="A176" s="48"/>
      <c r="B176" s="9" t="str">
        <f>CONCATENATE("          ","9165"," - ","OTHER INCOME")</f>
        <v xml:space="preserve">          9165 - OTHER INCOME</v>
      </c>
      <c r="C176" s="9"/>
      <c r="D176" s="3">
        <f>0</f>
        <v>0</v>
      </c>
      <c r="E176" s="3"/>
      <c r="F176" s="26">
        <f t="shared" si="36"/>
        <v>0</v>
      </c>
      <c r="G176" s="3"/>
      <c r="H176" s="3"/>
      <c r="I176" s="3"/>
      <c r="J176" s="26">
        <f t="shared" si="37"/>
        <v>0</v>
      </c>
      <c r="K176" s="3"/>
      <c r="L176" s="3">
        <f t="shared" si="38"/>
        <v>0</v>
      </c>
      <c r="M176" s="3"/>
      <c r="N176" s="26">
        <f t="shared" si="39"/>
        <v>0</v>
      </c>
      <c r="O176" s="9"/>
      <c r="P176" s="3">
        <f>0</f>
        <v>0</v>
      </c>
      <c r="Q176" s="3"/>
      <c r="R176" s="26">
        <f t="shared" si="40"/>
        <v>0</v>
      </c>
      <c r="S176" s="3"/>
      <c r="T176" s="3"/>
      <c r="U176" s="3"/>
      <c r="V176" s="26">
        <f t="shared" si="41"/>
        <v>0</v>
      </c>
      <c r="W176" s="3"/>
      <c r="X176" s="3">
        <f t="shared" si="42"/>
        <v>0</v>
      </c>
      <c r="Y176" s="3"/>
      <c r="Z176" s="26">
        <f t="shared" si="43"/>
        <v>0</v>
      </c>
    </row>
    <row r="177" spans="1:26" ht="15" customHeight="1" x14ac:dyDescent="0.3">
      <c r="A177" s="12"/>
      <c r="B177" s="13"/>
      <c r="C177" s="13"/>
      <c r="D177" s="4"/>
      <c r="E177" s="4"/>
      <c r="F177" s="10"/>
      <c r="G177" s="4"/>
      <c r="H177" s="4"/>
      <c r="I177" s="4"/>
      <c r="J177" s="10"/>
      <c r="K177" s="4"/>
      <c r="L177" s="4"/>
      <c r="M177" s="4"/>
      <c r="N177" s="10"/>
      <c r="O177" s="13"/>
      <c r="P177" s="4"/>
      <c r="Q177" s="4"/>
      <c r="R177" s="10"/>
      <c r="S177" s="4"/>
      <c r="T177" s="4"/>
      <c r="U177" s="4"/>
      <c r="V177" s="10"/>
      <c r="W177" s="4"/>
      <c r="X177" s="4"/>
      <c r="Y177" s="4"/>
      <c r="Z177" s="10"/>
    </row>
    <row r="178" spans="1:26" s="63" customFormat="1" ht="15" customHeight="1" x14ac:dyDescent="0.3">
      <c r="A178" s="13"/>
      <c r="B178" s="27" t="s">
        <v>292</v>
      </c>
      <c r="C178" s="27"/>
      <c r="D178" s="23">
        <f>+D64-D66+D168</f>
        <v>-524774.91000000015</v>
      </c>
      <c r="E178" s="15"/>
      <c r="F178" s="22">
        <f>IF(D$12=0,0,D178/D$12)</f>
        <v>-0.55726154150414398</v>
      </c>
      <c r="G178" s="15"/>
      <c r="H178" s="23">
        <f>+H64-H66+H168</f>
        <v>-308099.76545218984</v>
      </c>
      <c r="I178" s="15"/>
      <c r="J178" s="22">
        <f>IF(H$12=0,0,H178/H$12)</f>
        <v>-0.58332784043990982</v>
      </c>
      <c r="K178" s="17"/>
      <c r="L178" s="23">
        <f>+D178-H178</f>
        <v>-216675.14454781031</v>
      </c>
      <c r="M178" s="17"/>
      <c r="N178" s="22">
        <f>IF(H178=0,0,L178/H178)</f>
        <v>0.70326293247838723</v>
      </c>
      <c r="O178" s="28"/>
      <c r="P178" s="23">
        <f>+P64-P66+P168</f>
        <v>3667628.3300000085</v>
      </c>
      <c r="Q178" s="15"/>
      <c r="R178" s="22">
        <f>IF(P$12=0,0,P178/P$12)</f>
        <v>0.14666842831113538</v>
      </c>
      <c r="S178" s="15"/>
      <c r="T178" s="23">
        <f>+T64-T66+T168</f>
        <v>599315.89353754558</v>
      </c>
      <c r="U178" s="15"/>
      <c r="V178" s="22">
        <f>IF(T$12=0,0,T178/T$12)</f>
        <v>2.5738709659359406E-2</v>
      </c>
      <c r="W178" s="17"/>
      <c r="X178" s="23">
        <f>+P178-T178</f>
        <v>3068312.4364624629</v>
      </c>
      <c r="Y178" s="17"/>
      <c r="Z178" s="22">
        <f>IF(T178=0,0,X178/T178)</f>
        <v>5.1196914174114774</v>
      </c>
    </row>
    <row r="179" spans="1:26" ht="15" customHeight="1" x14ac:dyDescent="0.3">
      <c r="A179" s="12"/>
      <c r="B179" s="13"/>
      <c r="C179" s="12"/>
      <c r="D179" s="4"/>
      <c r="E179" s="4"/>
      <c r="F179" s="10"/>
      <c r="G179" s="4"/>
      <c r="H179" s="4"/>
      <c r="I179" s="4"/>
      <c r="J179" s="10"/>
      <c r="K179" s="4"/>
      <c r="L179" s="4"/>
      <c r="M179" s="4"/>
      <c r="N179" s="10"/>
      <c r="P179" s="4"/>
      <c r="Q179" s="4"/>
      <c r="R179" s="10"/>
      <c r="S179" s="4"/>
      <c r="T179" s="4"/>
      <c r="U179" s="4"/>
      <c r="V179" s="10"/>
      <c r="W179" s="4"/>
      <c r="X179" s="4"/>
      <c r="Y179" s="4"/>
      <c r="Z179" s="10"/>
    </row>
    <row r="180" spans="1:26" s="63" customFormat="1" ht="15" customHeight="1" x14ac:dyDescent="0.3">
      <c r="A180" s="49"/>
      <c r="B180" s="13" t="s">
        <v>293</v>
      </c>
      <c r="C180" s="13"/>
      <c r="D180" s="8">
        <v>-5588405.4100000001</v>
      </c>
      <c r="E180" s="8"/>
      <c r="F180" s="14">
        <f>IF(D$12=0,0,D180/D$12)</f>
        <v>-5.9343603399916676</v>
      </c>
      <c r="G180" s="8"/>
      <c r="H180" s="8">
        <v>-180603</v>
      </c>
      <c r="I180" s="8"/>
      <c r="J180" s="14">
        <f>IF(H$12=0,0,H180/H$12)</f>
        <v>-0.34193715731119928</v>
      </c>
      <c r="K180" s="8"/>
      <c r="L180" s="8">
        <f>+D180-H180</f>
        <v>-5407802.4100000001</v>
      </c>
      <c r="M180" s="8"/>
      <c r="N180" s="14">
        <f>IF(H180=0,0,L180/H180)</f>
        <v>29.943037546441644</v>
      </c>
      <c r="O180" s="13"/>
      <c r="P180" s="8">
        <v>-2882939.47</v>
      </c>
      <c r="Q180" s="8"/>
      <c r="R180" s="14">
        <f>IF(P$12=0,0,P180/P$12)</f>
        <v>-0.11528872691989396</v>
      </c>
      <c r="S180" s="8"/>
      <c r="T180" s="8">
        <v>2640336</v>
      </c>
      <c r="U180" s="8"/>
      <c r="V180" s="14">
        <f>IF(T$12=0,0,T180/T$12)</f>
        <v>0.11339402548799071</v>
      </c>
      <c r="W180" s="8"/>
      <c r="X180" s="8">
        <f>+P180-T180</f>
        <v>-5523275.4700000007</v>
      </c>
      <c r="Y180" s="8"/>
      <c r="Z180" s="14">
        <f>IF(T180=0,0,X180/T180)</f>
        <v>-2.0918835595166678</v>
      </c>
    </row>
    <row r="181" spans="1:26" ht="15" customHeight="1" x14ac:dyDescent="0.3">
      <c r="A181" s="12"/>
      <c r="B181" s="13"/>
      <c r="C181" s="13"/>
      <c r="D181" s="4"/>
      <c r="E181" s="4"/>
      <c r="F181" s="10"/>
      <c r="G181" s="4"/>
      <c r="H181" s="4"/>
      <c r="I181" s="4"/>
      <c r="J181" s="10"/>
      <c r="K181" s="4"/>
      <c r="L181" s="4"/>
      <c r="M181" s="4"/>
      <c r="N181" s="10"/>
      <c r="O181" s="13"/>
      <c r="P181" s="4"/>
      <c r="Q181" s="4"/>
      <c r="R181" s="10"/>
      <c r="S181" s="4"/>
      <c r="T181" s="4"/>
      <c r="U181" s="4"/>
      <c r="V181" s="10"/>
      <c r="W181" s="4"/>
      <c r="X181" s="4"/>
      <c r="Y181" s="4"/>
      <c r="Z181" s="10"/>
    </row>
    <row r="182" spans="1:26" s="63" customFormat="1" ht="15" customHeight="1" x14ac:dyDescent="0.3">
      <c r="A182" s="13"/>
      <c r="B182" s="27" t="s">
        <v>294</v>
      </c>
      <c r="C182" s="27"/>
      <c r="D182" s="30">
        <f>+D178-D180</f>
        <v>5063630.5</v>
      </c>
      <c r="E182" s="15"/>
      <c r="F182" s="35">
        <f>IF(D$12=0,0,D182/D$12)</f>
        <v>5.3770987984875234</v>
      </c>
      <c r="G182" s="15"/>
      <c r="H182" s="30">
        <f>+H178-H180</f>
        <v>-127496.76545218984</v>
      </c>
      <c r="I182" s="15"/>
      <c r="J182" s="35">
        <f>IF(H$12=0,0,H182/H$12)</f>
        <v>-0.24139068312871056</v>
      </c>
      <c r="K182" s="17"/>
      <c r="L182" s="30">
        <f>D182-H182</f>
        <v>5191127.2654521894</v>
      </c>
      <c r="M182" s="17"/>
      <c r="N182" s="35">
        <f>IF(H182=0,0,L182/H182)</f>
        <v>-40.715756568732843</v>
      </c>
      <c r="O182" s="28"/>
      <c r="P182" s="30">
        <f>+P178-P180</f>
        <v>6550567.8000000082</v>
      </c>
      <c r="Q182" s="15"/>
      <c r="R182" s="35">
        <f>IF(P$12=0,0,P182/P$12)</f>
        <v>0.2619571552310293</v>
      </c>
      <c r="S182" s="15"/>
      <c r="T182" s="30">
        <f>+T178-T180</f>
        <v>-2041020.1064624544</v>
      </c>
      <c r="U182" s="15"/>
      <c r="V182" s="35">
        <f>IF(T$12=0,0,T182/T$12)</f>
        <v>-8.7655315828631314E-2</v>
      </c>
      <c r="W182" s="17"/>
      <c r="X182" s="30">
        <f>P182-T182</f>
        <v>8591587.9064624626</v>
      </c>
      <c r="Y182" s="17"/>
      <c r="Z182" s="35">
        <f>IF(T182=0,0,X182/T182)</f>
        <v>-4.2094577506899782</v>
      </c>
    </row>
    <row r="183" spans="1:26" ht="15" customHeight="1" x14ac:dyDescent="0.3">
      <c r="A183" s="12"/>
      <c r="B183" s="12"/>
      <c r="C183" s="12"/>
      <c r="D183" s="4"/>
      <c r="E183" s="4"/>
      <c r="F183" s="10"/>
      <c r="G183" s="4"/>
      <c r="H183" s="4"/>
      <c r="I183" s="4"/>
      <c r="J183" s="10"/>
      <c r="K183" s="4"/>
      <c r="L183" s="4"/>
      <c r="M183" s="4"/>
      <c r="N183" s="10"/>
      <c r="P183" s="4"/>
      <c r="Q183" s="4"/>
      <c r="R183" s="10"/>
      <c r="S183" s="4"/>
      <c r="T183" s="4"/>
      <c r="U183" s="4"/>
      <c r="V183" s="10"/>
      <c r="W183" s="4"/>
      <c r="X183" s="4"/>
      <c r="Y183" s="4"/>
      <c r="Z183" s="10"/>
    </row>
    <row r="184" spans="1:26" s="63" customFormat="1" ht="15" customHeight="1" x14ac:dyDescent="0.3">
      <c r="A184" s="49"/>
      <c r="B184" s="13" t="s">
        <v>295</v>
      </c>
      <c r="C184" s="13"/>
      <c r="D184" s="8">
        <f>-647351.88</f>
        <v>-647351.88</v>
      </c>
      <c r="E184" s="8"/>
      <c r="F184" s="14">
        <f>IF(D$12=0,0,D184/D$12)</f>
        <v>-0.68742674177087759</v>
      </c>
      <c r="G184" s="8"/>
      <c r="H184" s="8">
        <f>--15000</f>
        <v>15000</v>
      </c>
      <c r="I184" s="8"/>
      <c r="J184" s="14">
        <f>IF(H$12=0,0,H184/H$12)</f>
        <v>2.8399624367635032E-2</v>
      </c>
      <c r="K184" s="8"/>
      <c r="L184" s="8">
        <f>+D184-H184</f>
        <v>-662351.88</v>
      </c>
      <c r="M184" s="8"/>
      <c r="N184" s="14">
        <f>IF(H184=0,0,L184/H184)</f>
        <v>-44.156792000000003</v>
      </c>
      <c r="O184" s="13"/>
      <c r="P184" s="8">
        <f>-2199313.68</f>
        <v>-2199313.6800000002</v>
      </c>
      <c r="Q184" s="8"/>
      <c r="R184" s="14">
        <f>IF(P$12=0,0,P184/P$12)</f>
        <v>-8.7950536909714258E-2</v>
      </c>
      <c r="S184" s="8"/>
      <c r="T184" s="8">
        <f>--180000</f>
        <v>180000</v>
      </c>
      <c r="U184" s="8"/>
      <c r="V184" s="14">
        <f>IF(T$12=0,0,T184/T$12)</f>
        <v>7.7304269562049411E-3</v>
      </c>
      <c r="W184" s="8"/>
      <c r="X184" s="8">
        <f>+P184-T184</f>
        <v>-2379313.6800000002</v>
      </c>
      <c r="Y184" s="8"/>
      <c r="Z184" s="14">
        <f>IF(T184=0,0,X184/T184)</f>
        <v>-13.218409333333334</v>
      </c>
    </row>
    <row r="185" spans="1:26" s="63" customFormat="1" ht="15" customHeight="1" x14ac:dyDescent="0.3">
      <c r="A185" s="49"/>
      <c r="B185" s="13" t="s">
        <v>296</v>
      </c>
      <c r="C185" s="13"/>
      <c r="D185" s="8">
        <f>--24741.39</f>
        <v>24741.39</v>
      </c>
      <c r="E185" s="8"/>
      <c r="F185" s="14">
        <f>IF(D$12=0,0,D185/D$12)</f>
        <v>2.6273026525515879E-2</v>
      </c>
      <c r="G185" s="8"/>
      <c r="H185" s="8">
        <f>--20000</f>
        <v>20000</v>
      </c>
      <c r="I185" s="8"/>
      <c r="J185" s="14">
        <f>IF(H$12=0,0,H185/H$12)</f>
        <v>3.7866165823513376E-2</v>
      </c>
      <c r="K185" s="8"/>
      <c r="L185" s="8">
        <f>+D185-H185</f>
        <v>4741.3899999999994</v>
      </c>
      <c r="M185" s="8"/>
      <c r="N185" s="14">
        <f>IF(H185=0,0,L185/H185)</f>
        <v>0.23706949999999996</v>
      </c>
      <c r="O185" s="13"/>
      <c r="P185" s="8">
        <f>--2394858.95</f>
        <v>2394858.9500000002</v>
      </c>
      <c r="Q185" s="8"/>
      <c r="R185" s="14">
        <f>IF(P$12=0,0,P185/P$12)</f>
        <v>9.5770390731864372E-2</v>
      </c>
      <c r="S185" s="8"/>
      <c r="T185" s="8">
        <f>--200000</f>
        <v>200000</v>
      </c>
      <c r="U185" s="8"/>
      <c r="V185" s="14">
        <f>IF(T$12=0,0,T185/T$12)</f>
        <v>8.5893632846721565E-3</v>
      </c>
      <c r="W185" s="8"/>
      <c r="X185" s="8">
        <f>+P185-T185</f>
        <v>2194858.9500000002</v>
      </c>
      <c r="Y185" s="8"/>
      <c r="Z185" s="14">
        <f>IF(T185=0,0,X185/T185)</f>
        <v>10.97429475</v>
      </c>
    </row>
    <row r="186" spans="1:26" ht="15" customHeight="1" x14ac:dyDescent="0.3">
      <c r="A186" s="12"/>
      <c r="B186" s="12"/>
      <c r="C186" s="12"/>
      <c r="D186" s="4"/>
      <c r="E186" s="4"/>
      <c r="F186" s="10"/>
      <c r="G186" s="4"/>
      <c r="H186" s="4"/>
      <c r="I186" s="4"/>
      <c r="J186" s="10"/>
      <c r="K186" s="4"/>
      <c r="L186" s="4"/>
      <c r="M186" s="4"/>
      <c r="N186" s="10"/>
      <c r="P186" s="4"/>
      <c r="Q186" s="4"/>
      <c r="R186" s="10"/>
      <c r="S186" s="4"/>
      <c r="T186" s="4"/>
      <c r="U186" s="4"/>
      <c r="V186" s="10"/>
      <c r="W186" s="4"/>
      <c r="X186" s="4"/>
      <c r="Y186" s="4"/>
      <c r="Z186" s="10"/>
    </row>
    <row r="187" spans="1:26" s="63" customFormat="1" ht="15" customHeight="1" x14ac:dyDescent="0.3">
      <c r="A187" s="13"/>
      <c r="B187" s="27" t="s">
        <v>297</v>
      </c>
      <c r="C187" s="27"/>
      <c r="D187" s="33">
        <f>SUM(D182:D186)</f>
        <v>4441020.01</v>
      </c>
      <c r="E187" s="15"/>
      <c r="F187" s="31">
        <f>IF(D$12=0,0,D187/D$12)</f>
        <v>4.7159450832421612</v>
      </c>
      <c r="G187" s="15"/>
      <c r="H187" s="33">
        <f>SUM(H182:H186)</f>
        <v>-92496.765452189837</v>
      </c>
      <c r="I187" s="15"/>
      <c r="J187" s="31">
        <f>IF(H$12=0,0,H187/H$12)</f>
        <v>-0.17512489293756217</v>
      </c>
      <c r="K187" s="17"/>
      <c r="L187" s="33">
        <f>+D187-H187</f>
        <v>4533516.7754521891</v>
      </c>
      <c r="M187" s="17"/>
      <c r="N187" s="31">
        <f>IF(H187=0,0,L187/H187)</f>
        <v>-49.012706047494113</v>
      </c>
      <c r="O187" s="28"/>
      <c r="P187" s="33">
        <f>SUM(P182:P186)</f>
        <v>6746113.0700000087</v>
      </c>
      <c r="Q187" s="15"/>
      <c r="R187" s="31">
        <f>IF(P$12=0,0,P187/P$12)</f>
        <v>0.26977700905317947</v>
      </c>
      <c r="S187" s="15"/>
      <c r="T187" s="33">
        <f>SUM(T182:T186)</f>
        <v>-1661020.1064624544</v>
      </c>
      <c r="U187" s="15"/>
      <c r="V187" s="31">
        <f>IF(T$12=0,0,T187/T$12)</f>
        <v>-7.1335525587754217E-2</v>
      </c>
      <c r="W187" s="17"/>
      <c r="X187" s="33">
        <f>+P187-T187</f>
        <v>8407133.176462464</v>
      </c>
      <c r="Y187" s="17"/>
      <c r="Z187" s="31">
        <f>IF(T187=0,0,X187/T187)</f>
        <v>-5.0614276996125565</v>
      </c>
    </row>
    <row r="188" spans="1:26" ht="15" customHeight="1" x14ac:dyDescent="0.3">
      <c r="A188" s="12"/>
      <c r="C188" s="12"/>
      <c r="D188" s="19"/>
      <c r="E188" s="19"/>
      <c r="G188" s="19"/>
      <c r="H188" s="19"/>
      <c r="I188" s="19"/>
      <c r="J188" s="41"/>
      <c r="K188" s="19"/>
      <c r="L188" s="19"/>
      <c r="M188" s="19"/>
      <c r="P188" s="19"/>
      <c r="Q188" s="19"/>
      <c r="R188" s="41"/>
      <c r="S188" s="19"/>
      <c r="T188" s="19"/>
      <c r="U188" s="19"/>
      <c r="V188" s="41"/>
      <c r="W188" s="19"/>
      <c r="X188" s="19"/>
    </row>
    <row r="189" spans="1:26" ht="15" customHeight="1" x14ac:dyDescent="0.3">
      <c r="A189" s="12"/>
      <c r="B189" s="50">
        <v>44767.799509143515</v>
      </c>
      <c r="D189" s="19"/>
      <c r="E189" s="19"/>
      <c r="G189" s="19"/>
      <c r="H189" s="19"/>
      <c r="I189" s="19"/>
      <c r="J189" s="41"/>
      <c r="K189" s="19"/>
      <c r="L189" s="19"/>
      <c r="M189" s="19"/>
      <c r="P189" s="19"/>
      <c r="Q189" s="19"/>
      <c r="R189" s="41"/>
      <c r="S189" s="19"/>
      <c r="T189" s="19"/>
      <c r="U189" s="19"/>
      <c r="V189" s="41"/>
      <c r="W189" s="19"/>
      <c r="X189" s="19"/>
    </row>
    <row r="190" spans="1:26" ht="15" customHeight="1" x14ac:dyDescent="0.3">
      <c r="A190" s="12"/>
      <c r="B190" s="57" t="s">
        <v>298</v>
      </c>
      <c r="D190" s="19"/>
      <c r="E190" s="19"/>
      <c r="G190" s="19"/>
      <c r="H190" s="19"/>
      <c r="I190" s="19"/>
      <c r="J190" s="41"/>
      <c r="K190" s="19"/>
      <c r="L190" s="19"/>
      <c r="M190" s="19"/>
      <c r="P190" s="19"/>
      <c r="Q190" s="19"/>
      <c r="R190" s="41"/>
      <c r="S190" s="19"/>
      <c r="T190" s="19"/>
      <c r="U190" s="19"/>
      <c r="V190" s="41"/>
      <c r="W190" s="19"/>
      <c r="X190" s="19"/>
    </row>
    <row r="191" spans="1:26" ht="15" customHeight="1" x14ac:dyDescent="0.3">
      <c r="A191" s="12"/>
      <c r="B191" s="51"/>
      <c r="D191" s="19"/>
      <c r="E191" s="19"/>
      <c r="G191" s="19"/>
      <c r="H191" s="19"/>
      <c r="I191" s="19"/>
      <c r="J191" s="41"/>
      <c r="K191" s="19"/>
      <c r="L191" s="19"/>
      <c r="M191" s="19"/>
      <c r="P191" s="19"/>
      <c r="Q191" s="19"/>
      <c r="R191" s="41"/>
      <c r="S191" s="19"/>
      <c r="T191" s="19"/>
      <c r="U191" s="19"/>
      <c r="V191" s="41"/>
      <c r="W191" s="19"/>
      <c r="X191" s="19"/>
    </row>
    <row r="192" spans="1:26" ht="15" customHeight="1" x14ac:dyDescent="0.3">
      <c r="D192" s="19"/>
      <c r="E192" s="19"/>
      <c r="G192" s="19"/>
      <c r="H192" s="19"/>
      <c r="I192" s="19"/>
      <c r="J192" s="41"/>
      <c r="K192" s="19"/>
      <c r="L192" s="19"/>
      <c r="M192" s="19"/>
      <c r="P192" s="19"/>
      <c r="Q192" s="19"/>
      <c r="R192" s="41"/>
      <c r="S192" s="19"/>
      <c r="T192" s="19"/>
      <c r="U192" s="19"/>
      <c r="V192" s="41"/>
      <c r="W192" s="19"/>
      <c r="X192" s="19"/>
    </row>
  </sheetData>
  <pageMargins left="0.25" right="0.25" top="0.75" bottom="0.75" header="0.3" footer="0.3"/>
  <pageSetup scale="55" orientation="landscape" r:id="rId1"/>
  <headerFooter>
    <oddHeader>&amp;RPre-Audit</oddHeader>
    <oddFooter>&amp;L&amp;C&amp;R</oddFooter>
    <evenHeader>&amp;L&amp;C&amp;R</evenHeader>
    <evenFooter>&amp;L&amp;C&amp;R</even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14A235-E658-DA8F-7E75-1A700700EF35}">
  <sheetPr>
    <tabColor rgb="FF92D05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activeCell="D78" sqref="D78"/>
      <selection pane="topRight" activeCell="D78" sqref="D78"/>
      <selection pane="bottomLeft" activeCell="D78" sqref="D78"/>
      <selection pane="bottomRight" activeCell="D78" sqref="D78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3" t="s">
        <v>276</v>
      </c>
    </row>
    <row r="3" spans="1:26" ht="15" customHeight="1" x14ac:dyDescent="0.3">
      <c r="D3" s="53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3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5"/>
      <c r="D5" s="61" t="e">
        <f ca="1">_xll.ONESTOP.REPORTPLAYER.OSRFUNCTIONS.OSRGET("Period","PeriodEnd")</f>
        <v>#NAME?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5"/>
      <c r="B6" s="47"/>
      <c r="C6" s="47"/>
      <c r="D6" s="25" t="e">
        <f ca="1">CONCATENATE("Department ",_xll.ONESTOP.REPORTPLAYER.OSRFUNCTIONS.OSRGET("d_dim0","Code")," - ",_xll.ONESTOP.REPORTPLAYER.OSRFUNCTIONS.OSRGET("d_dim0","Description"))</f>
        <v>#NAME?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4"/>
    </row>
    <row r="8" spans="1:26" ht="15" customHeight="1" x14ac:dyDescent="0.3">
      <c r="B8" s="54"/>
    </row>
    <row r="9" spans="1:26" ht="15" customHeight="1" x14ac:dyDescent="0.3">
      <c r="B9" s="12"/>
      <c r="C9" s="12"/>
      <c r="D9" s="16" t="s">
        <v>279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280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ht="15" customHeight="1" x14ac:dyDescent="0.3">
      <c r="A10" s="13"/>
      <c r="B10" s="52"/>
      <c r="C10" s="13"/>
      <c r="D10" s="40" t="s">
        <v>281</v>
      </c>
      <c r="E10" s="32"/>
      <c r="F10" s="39" t="s">
        <v>282</v>
      </c>
      <c r="G10" s="32"/>
      <c r="H10" s="45" t="s">
        <v>283</v>
      </c>
      <c r="I10" s="32"/>
      <c r="J10" s="42" t="s">
        <v>284</v>
      </c>
      <c r="K10" s="13"/>
      <c r="L10" s="40" t="s">
        <v>285</v>
      </c>
      <c r="M10" s="13"/>
      <c r="N10" s="39" t="s">
        <v>286</v>
      </c>
      <c r="O10" s="13"/>
      <c r="P10" s="55" t="s">
        <v>281</v>
      </c>
      <c r="Q10" s="32"/>
      <c r="R10" s="39" t="s">
        <v>282</v>
      </c>
      <c r="S10" s="32"/>
      <c r="T10" s="45" t="s">
        <v>283</v>
      </c>
      <c r="U10" s="32"/>
      <c r="V10" s="42" t="s">
        <v>284</v>
      </c>
      <c r="W10" s="13"/>
      <c r="X10" s="40" t="s">
        <v>285</v>
      </c>
      <c r="Y10" s="13"/>
      <c r="Z10" s="39" t="s">
        <v>286</v>
      </c>
    </row>
    <row r="11" spans="1:26" ht="16.5" customHeight="1" x14ac:dyDescent="0.3">
      <c r="A11" s="12"/>
      <c r="B11" s="58"/>
      <c r="C11" s="12"/>
      <c r="D11" s="12"/>
      <c r="E11" s="12"/>
      <c r="F11" s="10"/>
      <c r="G11" s="12"/>
      <c r="H11" s="12"/>
      <c r="I11" s="12"/>
      <c r="J11" s="43"/>
      <c r="K11" s="12"/>
      <c r="L11" s="12"/>
      <c r="M11" s="12"/>
      <c r="N11" s="10"/>
      <c r="P11" s="12"/>
      <c r="Q11" s="12"/>
      <c r="R11" s="10"/>
      <c r="S11" s="12"/>
      <c r="T11" s="12"/>
      <c r="U11" s="12"/>
      <c r="V11" s="43"/>
      <c r="W11" s="12"/>
      <c r="X11" s="12"/>
      <c r="Y11" s="12"/>
      <c r="Z11" s="10"/>
    </row>
    <row r="12" spans="1:26" s="63" customFormat="1" ht="15" customHeight="1" collapsed="1" x14ac:dyDescent="0.3">
      <c r="A12" s="13"/>
      <c r="B12" s="28" t="s">
        <v>287</v>
      </c>
      <c r="C12" s="13"/>
      <c r="D12" s="8" t="e">
        <f ca="1">SUM(_xll.ONESTOP.REPORTPLAYER.OSRFUNCTIONS.OSRREF(D13))</f>
        <v>#NAME?</v>
      </c>
      <c r="E12" s="8"/>
      <c r="F12" s="14"/>
      <c r="G12" s="8"/>
      <c r="H12" s="8" t="e">
        <f ca="1">SUM(_xll.ONESTOP.REPORTPLAYER.OSRFUNCTIONS.OSRREF(H13))</f>
        <v>#NAME?</v>
      </c>
      <c r="I12" s="8"/>
      <c r="J12" s="14"/>
      <c r="K12" s="8"/>
      <c r="L12" s="8" t="e">
        <f ca="1">+D12-H12</f>
        <v>#NAME?</v>
      </c>
      <c r="M12" s="8"/>
      <c r="N12" s="14" t="e">
        <f ca="1">IF(H12=0,0,L12/H12)</f>
        <v>#NAME?</v>
      </c>
      <c r="O12" s="13"/>
      <c r="P12" s="8" t="e">
        <f ca="1">SUM(_xll.ONESTOP.REPORTPLAYER.OSRFUNCTIONS.OSRREF(P13))</f>
        <v>#NAME?</v>
      </c>
      <c r="Q12" s="8"/>
      <c r="R12" s="14"/>
      <c r="S12" s="8"/>
      <c r="T12" s="8" t="e">
        <f ca="1">SUM(_xll.ONESTOP.REPORTPLAYER.OSRFUNCTIONS.OSRREF(T13))</f>
        <v>#NAME?</v>
      </c>
      <c r="U12" s="8"/>
      <c r="V12" s="14"/>
      <c r="W12" s="8"/>
      <c r="X12" s="8" t="e">
        <f ca="1">+P12-T12</f>
        <v>#NAME?</v>
      </c>
      <c r="Y12" s="8"/>
      <c r="Z12" s="14" t="e">
        <f ca="1">IF(T12=0,0,X12/T12)</f>
        <v>#NAME?</v>
      </c>
    </row>
    <row r="13" spans="1:26" s="70" customFormat="1" ht="15" hidden="1" customHeight="1" outlineLevel="1" x14ac:dyDescent="0.3">
      <c r="A13" s="48"/>
      <c r="B13" s="9" t="e">
        <f ca="1">CONCATENATE("          ",_xll.ONESTOP.REPORTPLAYER.OSRFUNCTIONS.OSRGET("d_Account","Code")," - ",_xll.ONESTOP.REPORTPLAYER.OSRFUNCTIONS.OSRGET("d_Account","Description"))</f>
        <v>#NAME?</v>
      </c>
      <c r="C13" s="9"/>
      <c r="D13" s="3" t="e">
        <f ca="1">-_xll.ONESTOP.REPORTPLAYER.OSRFUNCTIONS.OSRGET("GL_F_Trans","Value1")</f>
        <v>#NAME?</v>
      </c>
      <c r="E13" s="3"/>
      <c r="F13" s="26"/>
      <c r="G13" s="3"/>
      <c r="H13" s="3" t="e">
        <f ca="1">_xll.ONESTOP.REPORTPLAYER.OSRFUNCTIONS.OSRGET("GL_F_Trans","Value1")</f>
        <v>#NAME?</v>
      </c>
      <c r="I13" s="3"/>
      <c r="J13" s="26"/>
      <c r="K13" s="3"/>
      <c r="L13" s="3" t="e">
        <f ca="1">+D13-H13</f>
        <v>#NAME?</v>
      </c>
      <c r="M13" s="3"/>
      <c r="N13" s="26" t="e">
        <f ca="1">IF(H13=0,0,L13/H13)</f>
        <v>#NAME?</v>
      </c>
      <c r="O13" s="9"/>
      <c r="P13" s="3" t="e">
        <f ca="1">-_xll.ONESTOP.REPORTPLAYER.OSRFUNCTIONS.OSRGET("GL_F_Trans","Value1")</f>
        <v>#NAME?</v>
      </c>
      <c r="Q13" s="3"/>
      <c r="R13" s="26"/>
      <c r="S13" s="3"/>
      <c r="T13" s="3" t="e">
        <f ca="1">_xll.ONESTOP.REPORTPLAYER.OSRFUNCTIONS.OSRGET("GL_F_Trans","Value1")</f>
        <v>#NAME?</v>
      </c>
      <c r="U13" s="3"/>
      <c r="V13" s="26"/>
      <c r="W13" s="3"/>
      <c r="X13" s="3" t="e">
        <f ca="1">+P13-T13</f>
        <v>#NAME?</v>
      </c>
      <c r="Y13" s="3"/>
      <c r="Z13" s="26" t="e">
        <f ca="1">IF(T13=0,0,X13/T13)</f>
        <v>#NAME?</v>
      </c>
    </row>
    <row r="14" spans="1:26" ht="15" customHeight="1" x14ac:dyDescent="0.3">
      <c r="A14" s="12"/>
      <c r="B14" s="13"/>
      <c r="C14" s="12"/>
      <c r="D14" s="4"/>
      <c r="E14" s="4"/>
      <c r="F14" s="10"/>
      <c r="G14" s="4"/>
      <c r="H14" s="4"/>
      <c r="I14" s="4"/>
      <c r="J14" s="10"/>
      <c r="K14" s="4"/>
      <c r="L14" s="4"/>
      <c r="M14" s="4"/>
      <c r="N14" s="10"/>
      <c r="P14" s="4"/>
      <c r="Q14" s="4"/>
      <c r="R14" s="10"/>
      <c r="S14" s="4"/>
      <c r="T14" s="4"/>
      <c r="U14" s="4"/>
      <c r="V14" s="10"/>
      <c r="W14" s="4"/>
      <c r="X14" s="4"/>
      <c r="Y14" s="4"/>
      <c r="Z14" s="10"/>
    </row>
    <row r="15" spans="1:26" s="63" customFormat="1" ht="15" customHeight="1" collapsed="1" x14ac:dyDescent="0.3">
      <c r="A15" s="13"/>
      <c r="B15" s="28" t="s">
        <v>288</v>
      </c>
      <c r="C15" s="13"/>
      <c r="D15" s="8" t="e">
        <f ca="1">SUM(_xll.ONESTOP.REPORTPLAYER.OSRFUNCTIONS.OSRREF(D16))</f>
        <v>#NAME?</v>
      </c>
      <c r="E15" s="8"/>
      <c r="F15" s="14" t="e">
        <f ca="1">IF(D$12=0,0,D15/D$12)</f>
        <v>#NAME?</v>
      </c>
      <c r="G15" s="8"/>
      <c r="H15" s="8" t="e">
        <f ca="1">SUM(_xll.ONESTOP.REPORTPLAYER.OSRFUNCTIONS.OSRREF(H16))</f>
        <v>#NAME?</v>
      </c>
      <c r="I15" s="8"/>
      <c r="J15" s="14" t="e">
        <f ca="1">IF(H$12=0,0,H15/H$12)</f>
        <v>#NAME?</v>
      </c>
      <c r="K15" s="8"/>
      <c r="L15" s="8" t="e">
        <f ca="1">+D15-H15</f>
        <v>#NAME?</v>
      </c>
      <c r="M15" s="8"/>
      <c r="N15" s="14" t="e">
        <f ca="1">IF(H15=0,0,L15/H15)</f>
        <v>#NAME?</v>
      </c>
      <c r="O15" s="13"/>
      <c r="P15" s="8" t="e">
        <f ca="1">SUM(_xll.ONESTOP.REPORTPLAYER.OSRFUNCTIONS.OSRREF(P16))</f>
        <v>#NAME?</v>
      </c>
      <c r="Q15" s="8"/>
      <c r="R15" s="14" t="e">
        <f ca="1">IF(P$12=0,0,P15/P$12)</f>
        <v>#NAME?</v>
      </c>
      <c r="S15" s="8"/>
      <c r="T15" s="8" t="e">
        <f ca="1">SUM(_xll.ONESTOP.REPORTPLAYER.OSRFUNCTIONS.OSRREF(T16))</f>
        <v>#NAME?</v>
      </c>
      <c r="U15" s="8"/>
      <c r="V15" s="14" t="e">
        <f ca="1">IF(T$12=0,0,T15/T$12)</f>
        <v>#NAME?</v>
      </c>
      <c r="W15" s="8"/>
      <c r="X15" s="8" t="e">
        <f ca="1">+P15-T15</f>
        <v>#NAME?</v>
      </c>
      <c r="Y15" s="8"/>
      <c r="Z15" s="14" t="e">
        <f ca="1">IF(T15=0,0,X15/T15)</f>
        <v>#NAME?</v>
      </c>
    </row>
    <row r="16" spans="1:26" s="70" customFormat="1" ht="15" hidden="1" customHeight="1" outlineLevel="1" x14ac:dyDescent="0.3">
      <c r="A16" s="48"/>
      <c r="B16" s="9" t="e">
        <f ca="1">CONCATENATE("          ",_xll.ONESTOP.REPORTPLAYER.OSRFUNCTIONS.OSRGET("d_Account","Code")," - ",_xll.ONESTOP.REPORTPLAYER.OSRFUNCTIONS.OSRGET("d_Account","Description"))</f>
        <v>#NAME?</v>
      </c>
      <c r="C16" s="9"/>
      <c r="D16" s="3" t="e">
        <f ca="1">_xll.ONESTOP.REPORTPLAYER.OSRFUNCTIONS.OSRGET("GL_F_Trans","Value1")</f>
        <v>#NAME?</v>
      </c>
      <c r="E16" s="3"/>
      <c r="F16" s="26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6" t="e">
        <f ca="1">IF(H$12=0,0,H16/H$12)</f>
        <v>#NAME?</v>
      </c>
      <c r="K16" s="3"/>
      <c r="L16" s="3" t="e">
        <f ca="1">+D16-H16</f>
        <v>#NAME?</v>
      </c>
      <c r="M16" s="3"/>
      <c r="N16" s="26" t="e">
        <f ca="1">IF(H16=0,0,L16/H16)</f>
        <v>#NAME?</v>
      </c>
      <c r="O16" s="9"/>
      <c r="P16" s="3" t="e">
        <f ca="1">_xll.ONESTOP.REPORTPLAYER.OSRFUNCTIONS.OSRGET("GL_F_Trans","Value1")</f>
        <v>#NAME?</v>
      </c>
      <c r="Q16" s="3"/>
      <c r="R16" s="26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6" t="e">
        <f ca="1">IF(T$12=0,0,T16/T$12)</f>
        <v>#NAME?</v>
      </c>
      <c r="W16" s="3"/>
      <c r="X16" s="3" t="e">
        <f ca="1">+P16-T16</f>
        <v>#NAME?</v>
      </c>
      <c r="Y16" s="3"/>
      <c r="Z16" s="26" t="e">
        <f ca="1">IF(T16=0,0,X16/T16)</f>
        <v>#NAME?</v>
      </c>
    </row>
    <row r="17" spans="1:26" ht="15" customHeight="1" x14ac:dyDescent="0.3">
      <c r="A17" s="12"/>
      <c r="B17" s="13"/>
      <c r="C17" s="13"/>
      <c r="D17" s="4"/>
      <c r="E17" s="4"/>
      <c r="F17" s="10"/>
      <c r="G17" s="4"/>
      <c r="H17" s="4"/>
      <c r="I17" s="4"/>
      <c r="J17" s="10"/>
      <c r="K17" s="4"/>
      <c r="L17" s="4"/>
      <c r="M17" s="4"/>
      <c r="N17" s="10"/>
      <c r="O17" s="13"/>
      <c r="P17" s="4"/>
      <c r="Q17" s="4"/>
      <c r="R17" s="10"/>
      <c r="S17" s="4"/>
      <c r="T17" s="4"/>
      <c r="U17" s="4"/>
      <c r="V17" s="10"/>
      <c r="W17" s="4"/>
      <c r="X17" s="4"/>
      <c r="Y17" s="4"/>
      <c r="Z17" s="10"/>
    </row>
    <row r="18" spans="1:26" s="63" customFormat="1" ht="15" customHeight="1" x14ac:dyDescent="0.3">
      <c r="A18" s="13"/>
      <c r="B18" s="27" t="s">
        <v>289</v>
      </c>
      <c r="C18" s="27"/>
      <c r="D18" s="23" t="e">
        <f ca="1">D12-D15</f>
        <v>#NAME?</v>
      </c>
      <c r="E18" s="15"/>
      <c r="F18" s="22" t="e">
        <f ca="1">IF(D$12=0,0,D18/D$12)</f>
        <v>#NAME?</v>
      </c>
      <c r="G18" s="15"/>
      <c r="H18" s="23" t="e">
        <f ca="1">H12-H15</f>
        <v>#NAME?</v>
      </c>
      <c r="I18" s="15"/>
      <c r="J18" s="22" t="e">
        <f ca="1">IF(H$12=0,0,H18/H$12)</f>
        <v>#NAME?</v>
      </c>
      <c r="K18" s="17"/>
      <c r="L18" s="23" t="e">
        <f ca="1">+D18-H18</f>
        <v>#NAME?</v>
      </c>
      <c r="M18" s="17"/>
      <c r="N18" s="22" t="e">
        <f ca="1">IF(H18=0,0,L18/H18)</f>
        <v>#NAME?</v>
      </c>
      <c r="O18" s="28"/>
      <c r="P18" s="23" t="e">
        <f ca="1">P12-P15</f>
        <v>#NAME?</v>
      </c>
      <c r="Q18" s="15"/>
      <c r="R18" s="22" t="e">
        <f ca="1">IF(P$12=0,0,P18/P$12)</f>
        <v>#NAME?</v>
      </c>
      <c r="S18" s="15"/>
      <c r="T18" s="23" t="e">
        <f ca="1">T12-T15</f>
        <v>#NAME?</v>
      </c>
      <c r="U18" s="15"/>
      <c r="V18" s="22" t="e">
        <f ca="1">IF(T$12=0,0,T18/T$12)</f>
        <v>#NAME?</v>
      </c>
      <c r="W18" s="17"/>
      <c r="X18" s="23" t="e">
        <f ca="1">+P18-T18</f>
        <v>#NAME?</v>
      </c>
      <c r="Y18" s="17"/>
      <c r="Z18" s="22" t="e">
        <f ca="1">IF(T18=0,0,X18/T18)</f>
        <v>#NAME?</v>
      </c>
    </row>
    <row r="19" spans="1:26" ht="15" customHeight="1" x14ac:dyDescent="0.3">
      <c r="A19" s="12"/>
      <c r="B19" s="13"/>
      <c r="C19" s="12"/>
      <c r="D19" s="2"/>
      <c r="E19" s="2"/>
      <c r="F19" s="5"/>
      <c r="G19" s="2"/>
      <c r="H19" s="2"/>
      <c r="I19" s="2"/>
      <c r="J19" s="5"/>
      <c r="K19" s="2"/>
      <c r="L19" s="2"/>
      <c r="M19" s="2"/>
      <c r="N19" s="5"/>
      <c r="O19" s="36"/>
      <c r="P19" s="2"/>
      <c r="Q19" s="2"/>
      <c r="R19" s="5"/>
      <c r="S19" s="2"/>
      <c r="T19" s="2"/>
      <c r="U19" s="2"/>
      <c r="V19" s="5"/>
      <c r="W19" s="2"/>
      <c r="X19" s="2"/>
      <c r="Y19" s="2"/>
      <c r="Z19" s="5"/>
    </row>
    <row r="20" spans="1:26" s="63" customFormat="1" ht="15" customHeight="1" x14ac:dyDescent="0.3">
      <c r="A20" s="13"/>
      <c r="B20" s="28" t="s">
        <v>290</v>
      </c>
      <c r="C20" s="13"/>
      <c r="D20" s="24" t="e">
        <f ca="1">SUM(_xll.ONESTOP.REPORTPLAYER.OSRFUNCTIONS.OSRREF(D22))</f>
        <v>#NAME?</v>
      </c>
      <c r="E20" s="24"/>
      <c r="F20" s="34" t="e">
        <f ca="1">IF(D$12=0,0,D20/D$12)</f>
        <v>#NAME?</v>
      </c>
      <c r="G20" s="24"/>
      <c r="H20" s="24" t="e">
        <f ca="1">SUM(_xll.ONESTOP.REPORTPLAYER.OSRFUNCTIONS.OSRREF(H22))</f>
        <v>#NAME?</v>
      </c>
      <c r="I20" s="24"/>
      <c r="J20" s="34" t="e">
        <f ca="1">IF(H$12=0,0,H20/H$12)</f>
        <v>#NAME?</v>
      </c>
      <c r="K20" s="8"/>
      <c r="L20" s="24" t="e">
        <f ca="1">+D20-H20</f>
        <v>#NAME?</v>
      </c>
      <c r="M20" s="8"/>
      <c r="N20" s="34" t="e">
        <f ca="1">IF(H20=0,0,L20/H20)</f>
        <v>#NAME?</v>
      </c>
      <c r="O20" s="13"/>
      <c r="P20" s="24" t="e">
        <f ca="1">SUM(_xll.ONESTOP.REPORTPLAYER.OSRFUNCTIONS.OSRREF(P22))</f>
        <v>#NAME?</v>
      </c>
      <c r="Q20" s="24"/>
      <c r="R20" s="34" t="e">
        <f ca="1">IF(P$12=0,0,P20/P$12)</f>
        <v>#NAME?</v>
      </c>
      <c r="S20" s="24"/>
      <c r="T20" s="24" t="e">
        <f ca="1">SUM(_xll.ONESTOP.REPORTPLAYER.OSRFUNCTIONS.OSRREF(T22))</f>
        <v>#NAME?</v>
      </c>
      <c r="U20" s="24"/>
      <c r="V20" s="34" t="e">
        <f ca="1">IF(T$12=0,0,T20/T$12)</f>
        <v>#NAME?</v>
      </c>
      <c r="W20" s="8"/>
      <c r="X20" s="24" t="e">
        <f ca="1">+P20-T20</f>
        <v>#NAME?</v>
      </c>
      <c r="Y20" s="8"/>
      <c r="Z20" s="34" t="e">
        <f ca="1">IF(T20=0,0,X20/T20)</f>
        <v>#NAME?</v>
      </c>
    </row>
    <row r="21" spans="1:26" s="69" customFormat="1" ht="15" customHeight="1" outlineLevel="1" collapsed="1" x14ac:dyDescent="0.3">
      <c r="A21" s="20"/>
      <c r="B21" s="11" t="e">
        <f ca="1">CONCATENATE("     ",_xll.ONESTOP.REPORTPLAYER.OSRFUNCTIONS.OSRGET("d_Account","AccountCategory"))</f>
        <v>#NAME?</v>
      </c>
      <c r="C21" s="11"/>
      <c r="D21" s="2" t="e">
        <f ca="1">SUM(_xll.ONESTOP.REPORTPLAYER.OSRFUNCTIONS.OSRREF(D22))</f>
        <v>#NAME?</v>
      </c>
      <c r="E21" s="2"/>
      <c r="F21" s="5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5" t="e">
        <f ca="1">IF(H$12=0,0,H21/H$12)</f>
        <v>#NAME?</v>
      </c>
      <c r="K21" s="2"/>
      <c r="L21" s="2" t="e">
        <f ca="1">+D21-H21</f>
        <v>#NAME?</v>
      </c>
      <c r="M21" s="2"/>
      <c r="N21" s="5" t="e">
        <f ca="1">IF(H21=0,0,L21/H21)</f>
        <v>#NAME?</v>
      </c>
      <c r="O21" s="11"/>
      <c r="P21" s="2" t="e">
        <f ca="1">SUM(_xll.ONESTOP.REPORTPLAYER.OSRFUNCTIONS.OSRREF(P22))</f>
        <v>#NAME?</v>
      </c>
      <c r="Q21" s="2"/>
      <c r="R21" s="5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5" t="e">
        <f ca="1">IF(T$12=0,0,T21/T$12)</f>
        <v>#NAME?</v>
      </c>
      <c r="W21" s="2"/>
      <c r="X21" s="2" t="e">
        <f ca="1">+P21-T21</f>
        <v>#NAME?</v>
      </c>
      <c r="Y21" s="2"/>
      <c r="Z21" s="5" t="e">
        <f ca="1">IF(T21=0,0,X21/T21)</f>
        <v>#NAME?</v>
      </c>
    </row>
    <row r="22" spans="1:26" s="70" customFormat="1" ht="15" hidden="1" customHeight="1" outlineLevel="2" x14ac:dyDescent="0.3">
      <c r="A22" s="21"/>
      <c r="B22" s="9" t="e">
        <f ca="1">CONCATENATE("          ",_xll.ONESTOP.REPORTPLAYER.OSRFUNCTIONS.OSRGET("d_Account","Code")," - ",_xll.ONESTOP.REPORTPLAYER.OSRFUNCTIONS.OSRGET("d_Account","Description"))</f>
        <v>#NAME?</v>
      </c>
      <c r="C22" s="9"/>
      <c r="D22" s="6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6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6" t="e">
        <f ca="1">+D22-H22</f>
        <v>#NAME?</v>
      </c>
      <c r="M22" s="3"/>
      <c r="N22" s="7" t="e">
        <f ca="1">IF(H22=0,0,L22/H22)</f>
        <v>#NAME?</v>
      </c>
      <c r="O22" s="9"/>
      <c r="P22" s="6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6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6" t="e">
        <f ca="1">+P22-T22</f>
        <v>#NAME?</v>
      </c>
      <c r="Y22" s="3"/>
      <c r="Z22" s="7" t="e">
        <f ca="1">IF(T22=0,0,X22/T22)</f>
        <v>#NAME?</v>
      </c>
    </row>
    <row r="23" spans="1:26" s="65" customFormat="1" ht="15" customHeight="1" x14ac:dyDescent="0.3">
      <c r="A23" s="36"/>
      <c r="B23" s="36"/>
      <c r="C23" s="36"/>
      <c r="D23" s="2"/>
      <c r="E23" s="2"/>
      <c r="F23" s="5"/>
      <c r="G23" s="2"/>
      <c r="H23" s="2"/>
      <c r="I23" s="2"/>
      <c r="J23" s="5"/>
      <c r="K23" s="2"/>
      <c r="L23" s="2"/>
      <c r="M23" s="2"/>
      <c r="N23" s="5"/>
      <c r="O23" s="36"/>
      <c r="P23" s="2"/>
      <c r="Q23" s="2"/>
      <c r="R23" s="5"/>
      <c r="S23" s="2"/>
      <c r="T23" s="2"/>
      <c r="U23" s="2"/>
      <c r="V23" s="5"/>
      <c r="W23" s="2"/>
      <c r="X23" s="2"/>
      <c r="Y23" s="2"/>
      <c r="Z23" s="5"/>
    </row>
    <row r="24" spans="1:26" s="63" customFormat="1" ht="15" customHeight="1" collapsed="1" x14ac:dyDescent="0.3">
      <c r="A24" s="13"/>
      <c r="B24" s="28" t="s">
        <v>291</v>
      </c>
      <c r="C24" s="13"/>
      <c r="D24" s="8" t="e">
        <f ca="1">SUM(_xll.ONESTOP.REPORTPLAYER.OSRFUNCTIONS.OSRREF(D25))</f>
        <v>#NAME?</v>
      </c>
      <c r="E24" s="8"/>
      <c r="F24" s="14" t="e">
        <f ca="1">IF(D$12=0,0,D24/D$12)</f>
        <v>#NAME?</v>
      </c>
      <c r="G24" s="8"/>
      <c r="H24" s="8" t="e">
        <f ca="1">SUM(_xll.ONESTOP.REPORTPLAYER.OSRFUNCTIONS.OSRREF(H25))</f>
        <v>#NAME?</v>
      </c>
      <c r="I24" s="8"/>
      <c r="J24" s="14" t="e">
        <f ca="1">IF(H$12=0,0,H24/H$12)</f>
        <v>#NAME?</v>
      </c>
      <c r="K24" s="8"/>
      <c r="L24" s="8" t="e">
        <f ca="1">+D24-H24</f>
        <v>#NAME?</v>
      </c>
      <c r="M24" s="8"/>
      <c r="N24" s="14" t="e">
        <f ca="1">IF(H24=0,0,L24/H24)</f>
        <v>#NAME?</v>
      </c>
      <c r="O24" s="13"/>
      <c r="P24" s="8" t="e">
        <f ca="1">SUM(_xll.ONESTOP.REPORTPLAYER.OSRFUNCTIONS.OSRREF(P25))</f>
        <v>#NAME?</v>
      </c>
      <c r="Q24" s="8"/>
      <c r="R24" s="14" t="e">
        <f ca="1">IF(P$12=0,0,P24/P$12)</f>
        <v>#NAME?</v>
      </c>
      <c r="S24" s="8"/>
      <c r="T24" s="8" t="e">
        <f ca="1">SUM(_xll.ONESTOP.REPORTPLAYER.OSRFUNCTIONS.OSRREF(T25))</f>
        <v>#NAME?</v>
      </c>
      <c r="U24" s="8"/>
      <c r="V24" s="14" t="e">
        <f ca="1">IF(T$12=0,0,T24/T$12)</f>
        <v>#NAME?</v>
      </c>
      <c r="W24" s="8"/>
      <c r="X24" s="8" t="e">
        <f ca="1">+P24-T24</f>
        <v>#NAME?</v>
      </c>
      <c r="Y24" s="8"/>
      <c r="Z24" s="14" t="e">
        <f ca="1">IF(T24=0,0,X24/T24)</f>
        <v>#NAME?</v>
      </c>
    </row>
    <row r="25" spans="1:26" s="70" customFormat="1" ht="15" hidden="1" customHeight="1" outlineLevel="1" x14ac:dyDescent="0.3">
      <c r="A25" s="48"/>
      <c r="B25" s="9" t="e">
        <f ca="1">CONCATENATE("          ",_xll.ONESTOP.REPORTPLAYER.OSRFUNCTIONS.OSRGET("d_Account","Code")," - ",_xll.ONESTOP.REPORTPLAYER.OSRFUNCTIONS.OSRGET("d_Account","Description"))</f>
        <v>#NAME?</v>
      </c>
      <c r="C25" s="9"/>
      <c r="D25" s="3" t="e">
        <f ca="1">-_xll.ONESTOP.REPORTPLAYER.OSRFUNCTIONS.OSRGET("GL_F_Trans","Value1")</f>
        <v>#NAME?</v>
      </c>
      <c r="E25" s="3"/>
      <c r="F25" s="26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6" t="e">
        <f ca="1">IF(H$12=0,0,H25/H$12)</f>
        <v>#NAME?</v>
      </c>
      <c r="K25" s="3"/>
      <c r="L25" s="3" t="e">
        <f ca="1">+D25-H25</f>
        <v>#NAME?</v>
      </c>
      <c r="M25" s="3"/>
      <c r="N25" s="26" t="e">
        <f ca="1">IF(H25=0,0,L25/H25)</f>
        <v>#NAME?</v>
      </c>
      <c r="O25" s="9"/>
      <c r="P25" s="3" t="e">
        <f ca="1">-_xll.ONESTOP.REPORTPLAYER.OSRFUNCTIONS.OSRGET("GL_F_Trans","Value1")</f>
        <v>#NAME?</v>
      </c>
      <c r="Q25" s="3"/>
      <c r="R25" s="26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6" t="e">
        <f ca="1">IF(T$12=0,0,T25/T$12)</f>
        <v>#NAME?</v>
      </c>
      <c r="W25" s="3"/>
      <c r="X25" s="3" t="e">
        <f ca="1">+P25-T25</f>
        <v>#NAME?</v>
      </c>
      <c r="Y25" s="3"/>
      <c r="Z25" s="26" t="e">
        <f ca="1">IF(T25=0,0,X25/T25)</f>
        <v>#NAME?</v>
      </c>
    </row>
    <row r="26" spans="1:26" ht="15" customHeight="1" x14ac:dyDescent="0.3">
      <c r="A26" s="12"/>
      <c r="B26" s="13"/>
      <c r="C26" s="13"/>
      <c r="D26" s="4"/>
      <c r="E26" s="4"/>
      <c r="F26" s="10"/>
      <c r="G26" s="4"/>
      <c r="H26" s="4"/>
      <c r="I26" s="4"/>
      <c r="J26" s="10"/>
      <c r="K26" s="4"/>
      <c r="L26" s="4"/>
      <c r="M26" s="4"/>
      <c r="N26" s="10"/>
      <c r="O26" s="13"/>
      <c r="P26" s="4"/>
      <c r="Q26" s="4"/>
      <c r="R26" s="10"/>
      <c r="S26" s="4"/>
      <c r="T26" s="4"/>
      <c r="U26" s="4"/>
      <c r="V26" s="10"/>
      <c r="W26" s="4"/>
      <c r="X26" s="4"/>
      <c r="Y26" s="4"/>
      <c r="Z26" s="10"/>
    </row>
    <row r="27" spans="1:26" s="63" customFormat="1" ht="15" customHeight="1" x14ac:dyDescent="0.3">
      <c r="A27" s="13"/>
      <c r="B27" s="27" t="s">
        <v>292</v>
      </c>
      <c r="C27" s="27"/>
      <c r="D27" s="23" t="e">
        <f ca="1">+D18-D20+D24</f>
        <v>#NAME?</v>
      </c>
      <c r="E27" s="15"/>
      <c r="F27" s="22" t="e">
        <f ca="1">IF(D$12=0,0,D27/D$12)</f>
        <v>#NAME?</v>
      </c>
      <c r="G27" s="15"/>
      <c r="H27" s="23" t="e">
        <f ca="1">+H18-H20+H24</f>
        <v>#NAME?</v>
      </c>
      <c r="I27" s="15"/>
      <c r="J27" s="22" t="e">
        <f ca="1">IF(H$12=0,0,H27/H$12)</f>
        <v>#NAME?</v>
      </c>
      <c r="K27" s="17"/>
      <c r="L27" s="23" t="e">
        <f ca="1">+D27-H27</f>
        <v>#NAME?</v>
      </c>
      <c r="M27" s="17"/>
      <c r="N27" s="22" t="e">
        <f ca="1">IF(H27=0,0,L27/H27)</f>
        <v>#NAME?</v>
      </c>
      <c r="O27" s="28"/>
      <c r="P27" s="23" t="e">
        <f ca="1">+P18-P20+P24</f>
        <v>#NAME?</v>
      </c>
      <c r="Q27" s="15"/>
      <c r="R27" s="22" t="e">
        <f ca="1">IF(P$12=0,0,P27/P$12)</f>
        <v>#NAME?</v>
      </c>
      <c r="S27" s="15"/>
      <c r="T27" s="23" t="e">
        <f ca="1">+T18-T20+T24</f>
        <v>#NAME?</v>
      </c>
      <c r="U27" s="15"/>
      <c r="V27" s="22" t="e">
        <f ca="1">IF(T$12=0,0,T27/T$12)</f>
        <v>#NAME?</v>
      </c>
      <c r="W27" s="17"/>
      <c r="X27" s="23" t="e">
        <f ca="1">+P27-T27</f>
        <v>#NAME?</v>
      </c>
      <c r="Y27" s="17"/>
      <c r="Z27" s="22" t="e">
        <f ca="1">IF(T27=0,0,X27/T27)</f>
        <v>#NAME?</v>
      </c>
    </row>
    <row r="28" spans="1:26" ht="15" customHeight="1" x14ac:dyDescent="0.3">
      <c r="A28" s="12"/>
      <c r="B28" s="13"/>
      <c r="C28" s="12"/>
      <c r="D28" s="4"/>
      <c r="E28" s="4"/>
      <c r="F28" s="10"/>
      <c r="G28" s="4"/>
      <c r="H28" s="4"/>
      <c r="I28" s="4"/>
      <c r="J28" s="10"/>
      <c r="K28" s="4"/>
      <c r="L28" s="4"/>
      <c r="M28" s="4"/>
      <c r="N28" s="10"/>
      <c r="P28" s="4"/>
      <c r="Q28" s="4"/>
      <c r="R28" s="10"/>
      <c r="S28" s="4"/>
      <c r="T28" s="4"/>
      <c r="U28" s="4"/>
      <c r="V28" s="10"/>
      <c r="W28" s="4"/>
      <c r="X28" s="4"/>
      <c r="Y28" s="4"/>
      <c r="Z28" s="10"/>
    </row>
    <row r="29" spans="1:26" s="63" customFormat="1" ht="15" customHeight="1" x14ac:dyDescent="0.3">
      <c r="A29" s="49"/>
      <c r="B29" s="13" t="s">
        <v>293</v>
      </c>
      <c r="C29" s="13"/>
      <c r="D29" s="8" t="e">
        <f ca="1">_xll.ONESTOP.REPORTPLAYER.OSRFUNCTIONS.OSRGET("GL_F_Trans","Value1")</f>
        <v>#NAME?</v>
      </c>
      <c r="E29" s="8"/>
      <c r="F29" s="14" t="e">
        <f ca="1">IF(D$12=0,0,D29/D$12)</f>
        <v>#NAME?</v>
      </c>
      <c r="G29" s="8"/>
      <c r="H29" s="8" t="e">
        <f ca="1">_xll.ONESTOP.REPORTPLAYER.OSRFUNCTIONS.OSRGET("GL_F_Trans","Value1")</f>
        <v>#NAME?</v>
      </c>
      <c r="I29" s="8"/>
      <c r="J29" s="14" t="e">
        <f ca="1">IF(H$12=0,0,H29/H$12)</f>
        <v>#NAME?</v>
      </c>
      <c r="K29" s="8"/>
      <c r="L29" s="8" t="e">
        <f ca="1">+D29-H29</f>
        <v>#NAME?</v>
      </c>
      <c r="M29" s="8"/>
      <c r="N29" s="14" t="e">
        <f ca="1">IF(H29=0,0,L29/H29)</f>
        <v>#NAME?</v>
      </c>
      <c r="O29" s="13"/>
      <c r="P29" s="8" t="e">
        <f ca="1">_xll.ONESTOP.REPORTPLAYER.OSRFUNCTIONS.OSRGET("GL_F_Trans","Value1")</f>
        <v>#NAME?</v>
      </c>
      <c r="Q29" s="8"/>
      <c r="R29" s="14" t="e">
        <f ca="1">IF(P$12=0,0,P29/P$12)</f>
        <v>#NAME?</v>
      </c>
      <c r="S29" s="8"/>
      <c r="T29" s="8" t="e">
        <f ca="1">_xll.ONESTOP.REPORTPLAYER.OSRFUNCTIONS.OSRGET("GL_F_Trans","Value1")</f>
        <v>#NAME?</v>
      </c>
      <c r="U29" s="8"/>
      <c r="V29" s="14" t="e">
        <f ca="1">IF(T$12=0,0,T29/T$12)</f>
        <v>#NAME?</v>
      </c>
      <c r="W29" s="8"/>
      <c r="X29" s="8" t="e">
        <f ca="1">+P29-T29</f>
        <v>#NAME?</v>
      </c>
      <c r="Y29" s="8"/>
      <c r="Z29" s="14" t="e">
        <f ca="1">IF(T29=0,0,X29/T29)</f>
        <v>#NAME?</v>
      </c>
    </row>
    <row r="30" spans="1:26" ht="15" customHeight="1" x14ac:dyDescent="0.3">
      <c r="A30" s="12"/>
      <c r="B30" s="13"/>
      <c r="C30" s="13"/>
      <c r="D30" s="4"/>
      <c r="E30" s="4"/>
      <c r="F30" s="10"/>
      <c r="G30" s="4"/>
      <c r="H30" s="4"/>
      <c r="I30" s="4"/>
      <c r="J30" s="10"/>
      <c r="K30" s="4"/>
      <c r="L30" s="4"/>
      <c r="M30" s="4"/>
      <c r="N30" s="10"/>
      <c r="O30" s="13"/>
      <c r="P30" s="4"/>
      <c r="Q30" s="4"/>
      <c r="R30" s="10"/>
      <c r="S30" s="4"/>
      <c r="T30" s="4"/>
      <c r="U30" s="4"/>
      <c r="V30" s="10"/>
      <c r="W30" s="4"/>
      <c r="X30" s="4"/>
      <c r="Y30" s="4"/>
      <c r="Z30" s="10"/>
    </row>
    <row r="31" spans="1:26" s="63" customFormat="1" ht="15" customHeight="1" x14ac:dyDescent="0.3">
      <c r="A31" s="13"/>
      <c r="B31" s="27" t="s">
        <v>294</v>
      </c>
      <c r="C31" s="27"/>
      <c r="D31" s="30" t="e">
        <f ca="1">+D27-D29</f>
        <v>#NAME?</v>
      </c>
      <c r="E31" s="15"/>
      <c r="F31" s="35" t="e">
        <f ca="1">IF(D$12=0,0,D31/D$12)</f>
        <v>#NAME?</v>
      </c>
      <c r="G31" s="15"/>
      <c r="H31" s="30" t="e">
        <f ca="1">+H27-H29</f>
        <v>#NAME?</v>
      </c>
      <c r="I31" s="15"/>
      <c r="J31" s="35" t="e">
        <f ca="1">IF(H$12=0,0,H31/H$12)</f>
        <v>#NAME?</v>
      </c>
      <c r="K31" s="17"/>
      <c r="L31" s="30" t="e">
        <f ca="1">D31-H31</f>
        <v>#NAME?</v>
      </c>
      <c r="M31" s="17"/>
      <c r="N31" s="35" t="e">
        <f ca="1">IF(H31=0,0,L31/H31)</f>
        <v>#NAME?</v>
      </c>
      <c r="O31" s="28"/>
      <c r="P31" s="30" t="e">
        <f ca="1">+P27-P29</f>
        <v>#NAME?</v>
      </c>
      <c r="Q31" s="15"/>
      <c r="R31" s="35" t="e">
        <f ca="1">IF(P$12=0,0,P31/P$12)</f>
        <v>#NAME?</v>
      </c>
      <c r="S31" s="15"/>
      <c r="T31" s="30" t="e">
        <f ca="1">+T27-T29</f>
        <v>#NAME?</v>
      </c>
      <c r="U31" s="15"/>
      <c r="V31" s="35" t="e">
        <f ca="1">IF(T$12=0,0,T31/T$12)</f>
        <v>#NAME?</v>
      </c>
      <c r="W31" s="17"/>
      <c r="X31" s="30" t="e">
        <f ca="1">P31-T31</f>
        <v>#NAME?</v>
      </c>
      <c r="Y31" s="17"/>
      <c r="Z31" s="35" t="e">
        <f ca="1">IF(T31=0,0,X31/T31)</f>
        <v>#NAME?</v>
      </c>
    </row>
    <row r="32" spans="1:26" ht="15" customHeight="1" x14ac:dyDescent="0.3">
      <c r="A32" s="12"/>
      <c r="B32" s="12"/>
      <c r="C32" s="12"/>
      <c r="D32" s="4"/>
      <c r="E32" s="4"/>
      <c r="F32" s="10"/>
      <c r="G32" s="4"/>
      <c r="H32" s="4"/>
      <c r="I32" s="4"/>
      <c r="J32" s="10"/>
      <c r="K32" s="4"/>
      <c r="L32" s="4"/>
      <c r="M32" s="4"/>
      <c r="N32" s="10"/>
      <c r="P32" s="4"/>
      <c r="Q32" s="4"/>
      <c r="R32" s="10"/>
      <c r="S32" s="4"/>
      <c r="T32" s="4"/>
      <c r="U32" s="4"/>
      <c r="V32" s="10"/>
      <c r="W32" s="4"/>
      <c r="X32" s="4"/>
      <c r="Y32" s="4"/>
      <c r="Z32" s="10"/>
    </row>
    <row r="33" spans="1:26" s="63" customFormat="1" ht="15" customHeight="1" x14ac:dyDescent="0.3">
      <c r="A33" s="49"/>
      <c r="B33" s="13" t="s">
        <v>295</v>
      </c>
      <c r="C33" s="13"/>
      <c r="D33" s="8" t="e">
        <f ca="1">-_xll.ONESTOP.REPORTPLAYER.OSRFUNCTIONS.OSRGET("GL_F_Trans","Value1")</f>
        <v>#NAME?</v>
      </c>
      <c r="E33" s="8"/>
      <c r="F33" s="14" t="e">
        <f ca="1">IF(D$12=0,0,D33/D$12)</f>
        <v>#NAME?</v>
      </c>
      <c r="G33" s="8"/>
      <c r="H33" s="8" t="e">
        <f ca="1">-_xll.ONESTOP.REPORTPLAYER.OSRFUNCTIONS.OSRGET("GL_F_Trans","Value1")</f>
        <v>#NAME?</v>
      </c>
      <c r="I33" s="8"/>
      <c r="J33" s="14" t="e">
        <f ca="1">IF(H$12=0,0,H33/H$12)</f>
        <v>#NAME?</v>
      </c>
      <c r="K33" s="8"/>
      <c r="L33" s="8" t="e">
        <f ca="1">+D33-H33</f>
        <v>#NAME?</v>
      </c>
      <c r="M33" s="8"/>
      <c r="N33" s="14" t="e">
        <f ca="1">IF(H33=0,0,L33/H33)</f>
        <v>#NAME?</v>
      </c>
      <c r="O33" s="13"/>
      <c r="P33" s="8" t="e">
        <f ca="1">-_xll.ONESTOP.REPORTPLAYER.OSRFUNCTIONS.OSRGET("GL_F_Trans","Value1")</f>
        <v>#NAME?</v>
      </c>
      <c r="Q33" s="8"/>
      <c r="R33" s="14" t="e">
        <f ca="1">IF(P$12=0,0,P33/P$12)</f>
        <v>#NAME?</v>
      </c>
      <c r="S33" s="8"/>
      <c r="T33" s="8" t="e">
        <f ca="1">-_xll.ONESTOP.REPORTPLAYER.OSRFUNCTIONS.OSRGET("GL_F_Trans","Value1")</f>
        <v>#NAME?</v>
      </c>
      <c r="U33" s="8"/>
      <c r="V33" s="14" t="e">
        <f ca="1">IF(T$12=0,0,T33/T$12)</f>
        <v>#NAME?</v>
      </c>
      <c r="W33" s="8"/>
      <c r="X33" s="8" t="e">
        <f ca="1">+P33-T33</f>
        <v>#NAME?</v>
      </c>
      <c r="Y33" s="8"/>
      <c r="Z33" s="14" t="e">
        <f ca="1">IF(T33=0,0,X33/T33)</f>
        <v>#NAME?</v>
      </c>
    </row>
    <row r="34" spans="1:26" s="63" customFormat="1" ht="15" customHeight="1" x14ac:dyDescent="0.3">
      <c r="A34" s="49"/>
      <c r="B34" s="13" t="s">
        <v>296</v>
      </c>
      <c r="C34" s="13"/>
      <c r="D34" s="8" t="e">
        <f ca="1">-_xll.ONESTOP.REPORTPLAYER.OSRFUNCTIONS.OSRGET("GL_F_Trans","Value1")</f>
        <v>#NAME?</v>
      </c>
      <c r="E34" s="8"/>
      <c r="F34" s="14" t="e">
        <f ca="1">IF(D$12=0,0,D34/D$12)</f>
        <v>#NAME?</v>
      </c>
      <c r="G34" s="8"/>
      <c r="H34" s="8" t="e">
        <f ca="1">-_xll.ONESTOP.REPORTPLAYER.OSRFUNCTIONS.OSRGET("GL_F_Trans","Value1")</f>
        <v>#NAME?</v>
      </c>
      <c r="I34" s="8"/>
      <c r="J34" s="14" t="e">
        <f ca="1">IF(H$12=0,0,H34/H$12)</f>
        <v>#NAME?</v>
      </c>
      <c r="K34" s="8"/>
      <c r="L34" s="8" t="e">
        <f ca="1">+D34-H34</f>
        <v>#NAME?</v>
      </c>
      <c r="M34" s="8"/>
      <c r="N34" s="14" t="e">
        <f ca="1">IF(H34=0,0,L34/H34)</f>
        <v>#NAME?</v>
      </c>
      <c r="O34" s="13"/>
      <c r="P34" s="8" t="e">
        <f ca="1">-_xll.ONESTOP.REPORTPLAYER.OSRFUNCTIONS.OSRGET("GL_F_Trans","Value1")</f>
        <v>#NAME?</v>
      </c>
      <c r="Q34" s="8"/>
      <c r="R34" s="14" t="e">
        <f ca="1">IF(P$12=0,0,P34/P$12)</f>
        <v>#NAME?</v>
      </c>
      <c r="S34" s="8"/>
      <c r="T34" s="8" t="e">
        <f ca="1">-_xll.ONESTOP.REPORTPLAYER.OSRFUNCTIONS.OSRGET("GL_F_Trans","Value1")</f>
        <v>#NAME?</v>
      </c>
      <c r="U34" s="8"/>
      <c r="V34" s="14" t="e">
        <f ca="1">IF(T$12=0,0,T34/T$12)</f>
        <v>#NAME?</v>
      </c>
      <c r="W34" s="8"/>
      <c r="X34" s="8" t="e">
        <f ca="1">+P34-T34</f>
        <v>#NAME?</v>
      </c>
      <c r="Y34" s="8"/>
      <c r="Z34" s="14" t="e">
        <f ca="1">IF(T34=0,0,X34/T34)</f>
        <v>#NAME?</v>
      </c>
    </row>
    <row r="35" spans="1:26" ht="15" customHeight="1" x14ac:dyDescent="0.3">
      <c r="A35" s="12"/>
      <c r="B35" s="12"/>
      <c r="C35" s="12"/>
      <c r="D35" s="4"/>
      <c r="E35" s="4"/>
      <c r="F35" s="10"/>
      <c r="G35" s="4"/>
      <c r="H35" s="4"/>
      <c r="I35" s="4"/>
      <c r="J35" s="10"/>
      <c r="K35" s="4"/>
      <c r="L35" s="4"/>
      <c r="M35" s="4"/>
      <c r="N35" s="10"/>
      <c r="P35" s="4"/>
      <c r="Q35" s="4"/>
      <c r="R35" s="10"/>
      <c r="S35" s="4"/>
      <c r="T35" s="4"/>
      <c r="U35" s="4"/>
      <c r="V35" s="10"/>
      <c r="W35" s="4"/>
      <c r="X35" s="4"/>
      <c r="Y35" s="4"/>
      <c r="Z35" s="10"/>
    </row>
    <row r="36" spans="1:26" s="63" customFormat="1" ht="15" customHeight="1" x14ac:dyDescent="0.3">
      <c r="A36" s="13"/>
      <c r="B36" s="27" t="s">
        <v>297</v>
      </c>
      <c r="C36" s="27"/>
      <c r="D36" s="33" t="e">
        <f ca="1">SUM(D31:D35)</f>
        <v>#NAME?</v>
      </c>
      <c r="E36" s="15"/>
      <c r="F36" s="31" t="e">
        <f ca="1">IF(D$12=0,0,D36/D$12)</f>
        <v>#NAME?</v>
      </c>
      <c r="G36" s="15"/>
      <c r="H36" s="33" t="e">
        <f ca="1">SUM(H31:H35)</f>
        <v>#NAME?</v>
      </c>
      <c r="I36" s="15"/>
      <c r="J36" s="31" t="e">
        <f ca="1">IF(H$12=0,0,H36/H$12)</f>
        <v>#NAME?</v>
      </c>
      <c r="K36" s="17"/>
      <c r="L36" s="33" t="e">
        <f ca="1">+D36-H36</f>
        <v>#NAME?</v>
      </c>
      <c r="M36" s="17"/>
      <c r="N36" s="31" t="e">
        <f ca="1">IF(H36=0,0,L36/H36)</f>
        <v>#NAME?</v>
      </c>
      <c r="O36" s="28"/>
      <c r="P36" s="33" t="e">
        <f ca="1">SUM(P31:P35)</f>
        <v>#NAME?</v>
      </c>
      <c r="Q36" s="15"/>
      <c r="R36" s="31" t="e">
        <f ca="1">IF(P$12=0,0,P36/P$12)</f>
        <v>#NAME?</v>
      </c>
      <c r="S36" s="15"/>
      <c r="T36" s="33" t="e">
        <f ca="1">SUM(T31:T35)</f>
        <v>#NAME?</v>
      </c>
      <c r="U36" s="15"/>
      <c r="V36" s="31" t="e">
        <f ca="1">IF(T$12=0,0,T36/T$12)</f>
        <v>#NAME?</v>
      </c>
      <c r="W36" s="17"/>
      <c r="X36" s="33" t="e">
        <f ca="1">+P36-T36</f>
        <v>#NAME?</v>
      </c>
      <c r="Y36" s="17"/>
      <c r="Z36" s="31" t="e">
        <f ca="1">IF(T36=0,0,X36/T36)</f>
        <v>#NAME?</v>
      </c>
    </row>
    <row r="37" spans="1:26" ht="15" customHeight="1" x14ac:dyDescent="0.3">
      <c r="A37" s="12"/>
      <c r="C37" s="12"/>
      <c r="D37" s="19"/>
      <c r="E37" s="19"/>
      <c r="G37" s="19"/>
      <c r="H37" s="19"/>
      <c r="I37" s="19"/>
      <c r="J37" s="41"/>
      <c r="K37" s="19"/>
      <c r="L37" s="19"/>
      <c r="M37" s="19"/>
      <c r="P37" s="19"/>
      <c r="Q37" s="19"/>
      <c r="R37" s="41"/>
      <c r="S37" s="19"/>
      <c r="T37" s="19"/>
      <c r="U37" s="19"/>
      <c r="V37" s="41"/>
      <c r="W37" s="19"/>
      <c r="X37" s="19"/>
    </row>
    <row r="38" spans="1:26" ht="15" customHeight="1" x14ac:dyDescent="0.3">
      <c r="A38" s="12"/>
      <c r="B38" s="50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1"/>
      <c r="K38" s="19"/>
      <c r="L38" s="19"/>
      <c r="M38" s="19"/>
      <c r="P38" s="19"/>
      <c r="Q38" s="19"/>
      <c r="R38" s="41"/>
      <c r="S38" s="19"/>
      <c r="T38" s="19"/>
      <c r="U38" s="19"/>
      <c r="V38" s="41"/>
      <c r="W38" s="19"/>
      <c r="X38" s="19"/>
    </row>
    <row r="39" spans="1:26" ht="15" customHeight="1" x14ac:dyDescent="0.3">
      <c r="A39" s="12"/>
      <c r="B39" s="57" t="e">
        <f ca="1">_xll.ONESTOP.REPORTPLAYER.OSRFUNCTIONS.OSRGET("User","UserId")</f>
        <v>#NAME?</v>
      </c>
      <c r="D39" s="19"/>
      <c r="E39" s="19"/>
      <c r="G39" s="19"/>
      <c r="H39" s="19"/>
      <c r="I39" s="19"/>
      <c r="J39" s="41"/>
      <c r="K39" s="19"/>
      <c r="L39" s="19"/>
      <c r="M39" s="19"/>
      <c r="P39" s="19"/>
      <c r="Q39" s="19"/>
      <c r="R39" s="41"/>
      <c r="S39" s="19"/>
      <c r="T39" s="19"/>
      <c r="U39" s="19"/>
      <c r="V39" s="41"/>
      <c r="W39" s="19"/>
      <c r="X39" s="19"/>
    </row>
    <row r="40" spans="1:26" ht="15" customHeight="1" x14ac:dyDescent="0.3">
      <c r="A40" s="12"/>
      <c r="B40" s="51"/>
      <c r="D40" s="19"/>
      <c r="E40" s="19"/>
      <c r="G40" s="19"/>
      <c r="H40" s="19"/>
      <c r="I40" s="19"/>
      <c r="J40" s="41"/>
      <c r="K40" s="19"/>
      <c r="L40" s="19"/>
      <c r="M40" s="19"/>
      <c r="P40" s="19"/>
      <c r="Q40" s="19"/>
      <c r="R40" s="41"/>
      <c r="S40" s="19"/>
      <c r="T40" s="19"/>
      <c r="U40" s="19"/>
      <c r="V40" s="41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1"/>
      <c r="K41" s="19"/>
      <c r="L41" s="19"/>
      <c r="M41" s="19"/>
      <c r="P41" s="19"/>
      <c r="Q41" s="19"/>
      <c r="R41" s="41"/>
      <c r="S41" s="19"/>
      <c r="T41" s="19"/>
      <c r="U41" s="19"/>
      <c r="V41" s="41"/>
      <c r="W41" s="19"/>
      <c r="X41" s="19"/>
    </row>
  </sheetData>
  <pageMargins left="0.25" right="0.25" top="0.75" bottom="0.75" header="0.3" footer="0.3"/>
  <pageSetup scale="55" orientation="landscape" r:id="rId1"/>
  <headerFooter>
    <oddHeader>&amp;RPre-Audit</oddHeader>
    <oddFooter>&amp;L&amp;C&amp;R</oddFooter>
    <evenHeader>&amp;L&amp;C&amp;R</evenHeader>
    <evenFooter>&amp;L&amp;C&amp;R</even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679768-1B9B-DAF7-17FF-249369A81089}">
  <sheetPr>
    <tabColor rgb="FFFFFF00"/>
    <outlinePr summaryBelow="0" summaryRight="0"/>
  </sheetPr>
  <dimension ref="A2:Z109"/>
  <sheetViews>
    <sheetView showGridLines="0" defaultGridColor="0" colorId="8" zoomScale="80" workbookViewId="0">
      <pane xSplit="3" ySplit="10" topLeftCell="D11" activePane="bottomRight" state="frozen"/>
      <selection activeCell="D78" sqref="D78"/>
      <selection pane="topRight" activeCell="D78" sqref="D78"/>
      <selection pane="bottomLeft" activeCell="D78" sqref="D78"/>
      <selection pane="bottomRight" activeCell="D78" sqref="D78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3" t="s">
        <v>276</v>
      </c>
    </row>
    <row r="3" spans="1:26" ht="15" customHeight="1" x14ac:dyDescent="0.3">
      <c r="D3" s="53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3" t="str">
        <f>CONCATENATE("Period ",RIGHT(202212,2),", ",2022)</f>
        <v>Period 12,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5"/>
      <c r="D5" s="60">
        <v>44742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5"/>
      <c r="B6" s="47"/>
      <c r="C6" s="47"/>
      <c r="D6" s="25" t="s">
        <v>304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4"/>
    </row>
    <row r="8" spans="1:26" ht="15" customHeight="1" x14ac:dyDescent="0.3">
      <c r="B8" s="54"/>
    </row>
    <row r="9" spans="1:26" ht="15" customHeight="1" x14ac:dyDescent="0.3">
      <c r="B9" s="12"/>
      <c r="C9" s="12"/>
      <c r="D9" s="16" t="s">
        <v>279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280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ht="15" customHeight="1" x14ac:dyDescent="0.3">
      <c r="A10" s="13"/>
      <c r="B10" s="52"/>
      <c r="C10" s="13"/>
      <c r="D10" s="40" t="s">
        <v>281</v>
      </c>
      <c r="E10" s="32"/>
      <c r="F10" s="39" t="s">
        <v>282</v>
      </c>
      <c r="G10" s="32"/>
      <c r="H10" s="45" t="s">
        <v>283</v>
      </c>
      <c r="I10" s="32"/>
      <c r="J10" s="42" t="s">
        <v>284</v>
      </c>
      <c r="K10" s="13"/>
      <c r="L10" s="40" t="s">
        <v>285</v>
      </c>
      <c r="M10" s="13"/>
      <c r="N10" s="39" t="s">
        <v>286</v>
      </c>
      <c r="O10" s="13"/>
      <c r="P10" s="55" t="s">
        <v>281</v>
      </c>
      <c r="Q10" s="32"/>
      <c r="R10" s="39" t="s">
        <v>282</v>
      </c>
      <c r="S10" s="32"/>
      <c r="T10" s="45" t="s">
        <v>283</v>
      </c>
      <c r="U10" s="32"/>
      <c r="V10" s="42" t="s">
        <v>284</v>
      </c>
      <c r="W10" s="13"/>
      <c r="X10" s="40" t="s">
        <v>285</v>
      </c>
      <c r="Y10" s="13"/>
      <c r="Z10" s="39" t="s">
        <v>286</v>
      </c>
    </row>
    <row r="11" spans="1:26" ht="16.5" customHeight="1" x14ac:dyDescent="0.3">
      <c r="A11" s="12"/>
      <c r="B11" s="58"/>
      <c r="C11" s="12"/>
      <c r="D11" s="12"/>
      <c r="E11" s="12"/>
      <c r="F11" s="10"/>
      <c r="G11" s="12"/>
      <c r="H11" s="12"/>
      <c r="I11" s="12"/>
      <c r="J11" s="43"/>
      <c r="K11" s="12"/>
      <c r="L11" s="12"/>
      <c r="M11" s="12"/>
      <c r="N11" s="10"/>
      <c r="P11" s="12"/>
      <c r="Q11" s="12"/>
      <c r="R11" s="10"/>
      <c r="S11" s="12"/>
      <c r="T11" s="12"/>
      <c r="U11" s="12"/>
      <c r="V11" s="43"/>
      <c r="W11" s="12"/>
      <c r="X11" s="12"/>
      <c r="Y11" s="12"/>
      <c r="Z11" s="10"/>
    </row>
    <row r="12" spans="1:26" s="63" customFormat="1" ht="15" customHeight="1" collapsed="1" x14ac:dyDescent="0.3">
      <c r="A12" s="13"/>
      <c r="B12" s="28" t="s">
        <v>287</v>
      </c>
      <c r="C12" s="13"/>
      <c r="D12" s="8">
        <f>SUM(OSRRefD13x_0)</f>
        <v>15518.66</v>
      </c>
      <c r="E12" s="8"/>
      <c r="F12" s="14"/>
      <c r="G12" s="8"/>
      <c r="H12" s="8">
        <f>SUM(OSRRefH13x_0)</f>
        <v>13025</v>
      </c>
      <c r="I12" s="8"/>
      <c r="J12" s="14"/>
      <c r="K12" s="8"/>
      <c r="L12" s="8">
        <f t="shared" ref="L12:L18" si="0">+D12-H12</f>
        <v>2493.66</v>
      </c>
      <c r="M12" s="8"/>
      <c r="N12" s="14">
        <f t="shared" ref="N12:N18" si="1">IF(H12=0,0,L12/H12)</f>
        <v>0.19145182341650671</v>
      </c>
      <c r="O12" s="13"/>
      <c r="P12" s="8">
        <f>SUM(OSRRefP13x_0)</f>
        <v>513482.56</v>
      </c>
      <c r="Q12" s="8"/>
      <c r="R12" s="14"/>
      <c r="S12" s="8"/>
      <c r="T12" s="8">
        <f>SUM(OSRRefT13x_0)</f>
        <v>517909</v>
      </c>
      <c r="U12" s="8"/>
      <c r="V12" s="14"/>
      <c r="W12" s="8"/>
      <c r="X12" s="8">
        <f t="shared" ref="X12:X18" si="2">+P12-T12</f>
        <v>-4426.4400000000023</v>
      </c>
      <c r="Y12" s="8"/>
      <c r="Z12" s="14">
        <f t="shared" ref="Z12:Z18" si="3">IF(T12=0,0,X12/T12)</f>
        <v>-8.5467524217574947E-3</v>
      </c>
    </row>
    <row r="13" spans="1:26" s="70" customFormat="1" ht="15" hidden="1" customHeight="1" outlineLevel="1" x14ac:dyDescent="0.3">
      <c r="A13" s="48"/>
      <c r="B13" s="9" t="str">
        <f>CONCATENATE("          ","4000"," - ","TAXABLE SALES")</f>
        <v xml:space="preserve">          4000 - TAXABLE SALES</v>
      </c>
      <c r="C13" s="9"/>
      <c r="D13" s="3">
        <f>--2209.28</f>
        <v>2209.2800000000002</v>
      </c>
      <c r="E13" s="3"/>
      <c r="F13" s="26"/>
      <c r="G13" s="3"/>
      <c r="H13" s="3">
        <v>2555</v>
      </c>
      <c r="I13" s="3"/>
      <c r="J13" s="26"/>
      <c r="K13" s="3"/>
      <c r="L13" s="3">
        <f t="shared" si="0"/>
        <v>-345.7199999999998</v>
      </c>
      <c r="M13" s="3"/>
      <c r="N13" s="26">
        <f t="shared" si="1"/>
        <v>-0.13531115459882576</v>
      </c>
      <c r="O13" s="9"/>
      <c r="P13" s="3">
        <f>--77941.32</f>
        <v>77941.320000000007</v>
      </c>
      <c r="Q13" s="3"/>
      <c r="R13" s="26"/>
      <c r="S13" s="3"/>
      <c r="T13" s="3">
        <v>101271</v>
      </c>
      <c r="U13" s="3"/>
      <c r="V13" s="26"/>
      <c r="W13" s="3"/>
      <c r="X13" s="3">
        <f t="shared" si="2"/>
        <v>-23329.679999999993</v>
      </c>
      <c r="Y13" s="3"/>
      <c r="Z13" s="26">
        <f t="shared" si="3"/>
        <v>-0.23036881239446627</v>
      </c>
    </row>
    <row r="14" spans="1:26" s="70" customFormat="1" ht="15" hidden="1" customHeight="1" outlineLevel="1" x14ac:dyDescent="0.3">
      <c r="A14" s="48"/>
      <c r="B14" s="9" t="str">
        <f>CONCATENATE("          ","4051"," - ","TAXABLE SALES-FOOD")</f>
        <v xml:space="preserve">          4051 - TAXABLE SALES-FOOD</v>
      </c>
      <c r="C14" s="9"/>
      <c r="D14" s="3">
        <f>0</f>
        <v>0</v>
      </c>
      <c r="E14" s="3"/>
      <c r="F14" s="26"/>
      <c r="G14" s="3"/>
      <c r="H14" s="3"/>
      <c r="I14" s="3"/>
      <c r="J14" s="26"/>
      <c r="K14" s="3"/>
      <c r="L14" s="3">
        <f t="shared" si="0"/>
        <v>0</v>
      </c>
      <c r="M14" s="3"/>
      <c r="N14" s="26">
        <f t="shared" si="1"/>
        <v>0</v>
      </c>
      <c r="O14" s="9"/>
      <c r="P14" s="3">
        <f>--25.17</f>
        <v>25.17</v>
      </c>
      <c r="Q14" s="3"/>
      <c r="R14" s="26"/>
      <c r="S14" s="3"/>
      <c r="T14" s="3"/>
      <c r="U14" s="3"/>
      <c r="V14" s="26"/>
      <c r="W14" s="3"/>
      <c r="X14" s="3">
        <f t="shared" si="2"/>
        <v>25.17</v>
      </c>
      <c r="Y14" s="3"/>
      <c r="Z14" s="26">
        <f t="shared" si="3"/>
        <v>0</v>
      </c>
    </row>
    <row r="15" spans="1:26" s="70" customFormat="1" ht="15" hidden="1" customHeight="1" outlineLevel="1" x14ac:dyDescent="0.3">
      <c r="A15" s="48"/>
      <c r="B15" s="9" t="str">
        <f>CONCATENATE("          ","4053"," - ","TAXABLE SALES-FOOD")</f>
        <v xml:space="preserve">          4053 - TAXABLE SALES-FOOD</v>
      </c>
      <c r="C15" s="9"/>
      <c r="D15" s="3">
        <f>0</f>
        <v>0</v>
      </c>
      <c r="E15" s="3"/>
      <c r="F15" s="26"/>
      <c r="G15" s="3"/>
      <c r="H15" s="3"/>
      <c r="I15" s="3"/>
      <c r="J15" s="26"/>
      <c r="K15" s="3"/>
      <c r="L15" s="3">
        <f t="shared" si="0"/>
        <v>0</v>
      </c>
      <c r="M15" s="3"/>
      <c r="N15" s="26">
        <f t="shared" si="1"/>
        <v>0</v>
      </c>
      <c r="O15" s="9"/>
      <c r="P15" s="3">
        <f>--1827.05</f>
        <v>1827.05</v>
      </c>
      <c r="Q15" s="3"/>
      <c r="R15" s="26"/>
      <c r="S15" s="3"/>
      <c r="T15" s="3"/>
      <c r="U15" s="3"/>
      <c r="V15" s="26"/>
      <c r="W15" s="3"/>
      <c r="X15" s="3">
        <f t="shared" si="2"/>
        <v>1827.05</v>
      </c>
      <c r="Y15" s="3"/>
      <c r="Z15" s="26">
        <f t="shared" si="3"/>
        <v>0</v>
      </c>
    </row>
    <row r="16" spans="1:26" s="70" customFormat="1" ht="15" hidden="1" customHeight="1" outlineLevel="1" x14ac:dyDescent="0.3">
      <c r="A16" s="48"/>
      <c r="B16" s="9" t="str">
        <f>CONCATENATE("          ","4100"," - ","NON-TAXABLE SALES")</f>
        <v xml:space="preserve">          4100 - NON-TAXABLE SALES</v>
      </c>
      <c r="C16" s="9"/>
      <c r="D16" s="3">
        <f>--13309.38</f>
        <v>13309.38</v>
      </c>
      <c r="E16" s="3"/>
      <c r="F16" s="26"/>
      <c r="G16" s="3"/>
      <c r="H16" s="3">
        <v>10470</v>
      </c>
      <c r="I16" s="3"/>
      <c r="J16" s="26"/>
      <c r="K16" s="3"/>
      <c r="L16" s="3">
        <f t="shared" si="0"/>
        <v>2839.3799999999992</v>
      </c>
      <c r="M16" s="3"/>
      <c r="N16" s="26">
        <f t="shared" si="1"/>
        <v>0.27119197707736381</v>
      </c>
      <c r="O16" s="9"/>
      <c r="P16" s="3">
        <f>--433482.7</f>
        <v>433482.7</v>
      </c>
      <c r="Q16" s="3"/>
      <c r="R16" s="26"/>
      <c r="S16" s="3"/>
      <c r="T16" s="3">
        <v>416638</v>
      </c>
      <c r="U16" s="3"/>
      <c r="V16" s="26"/>
      <c r="W16" s="3"/>
      <c r="X16" s="3">
        <f t="shared" si="2"/>
        <v>16844.700000000012</v>
      </c>
      <c r="Y16" s="3"/>
      <c r="Z16" s="26">
        <f t="shared" si="3"/>
        <v>4.0430061588237295E-2</v>
      </c>
    </row>
    <row r="17" spans="1:26" s="70" customFormat="1" ht="15" hidden="1" customHeight="1" outlineLevel="1" x14ac:dyDescent="0.3">
      <c r="A17" s="48"/>
      <c r="B17" s="9" t="str">
        <f>CONCATENATE("          ","4151"," - ","NON-TAXABLE SALES-FOOD")</f>
        <v xml:space="preserve">          4151 - NON-TAXABLE SALES-FOOD</v>
      </c>
      <c r="C17" s="9"/>
      <c r="D17" s="3">
        <f>0</f>
        <v>0</v>
      </c>
      <c r="E17" s="3"/>
      <c r="F17" s="26"/>
      <c r="G17" s="3"/>
      <c r="H17" s="3"/>
      <c r="I17" s="3"/>
      <c r="J17" s="26"/>
      <c r="K17" s="3"/>
      <c r="L17" s="3">
        <f t="shared" si="0"/>
        <v>0</v>
      </c>
      <c r="M17" s="3"/>
      <c r="N17" s="26">
        <f t="shared" si="1"/>
        <v>0</v>
      </c>
      <c r="O17" s="9"/>
      <c r="P17" s="3">
        <f>--206.32</f>
        <v>206.32</v>
      </c>
      <c r="Q17" s="3"/>
      <c r="R17" s="26"/>
      <c r="S17" s="3"/>
      <c r="T17" s="3"/>
      <c r="U17" s="3"/>
      <c r="V17" s="26"/>
      <c r="W17" s="3"/>
      <c r="X17" s="3">
        <f t="shared" si="2"/>
        <v>206.32</v>
      </c>
      <c r="Y17" s="3"/>
      <c r="Z17" s="26">
        <f t="shared" si="3"/>
        <v>0</v>
      </c>
    </row>
    <row r="18" spans="1:26" s="70" customFormat="1" ht="15" hidden="1" customHeight="1" outlineLevel="1" x14ac:dyDescent="0.3">
      <c r="A18" s="48"/>
      <c r="B18" s="9" t="str">
        <f>CONCATENATE("          ","4153"," - ","NON-TAXABLE SALES-FOOD")</f>
        <v xml:space="preserve">          4153 - NON-TAXABLE SALES-FOOD</v>
      </c>
      <c r="C18" s="9"/>
      <c r="D18" s="3">
        <f>0</f>
        <v>0</v>
      </c>
      <c r="E18" s="3"/>
      <c r="F18" s="26"/>
      <c r="G18" s="3"/>
      <c r="H18" s="3"/>
      <c r="I18" s="3"/>
      <c r="J18" s="26"/>
      <c r="K18" s="3"/>
      <c r="L18" s="3">
        <f t="shared" si="0"/>
        <v>0</v>
      </c>
      <c r="M18" s="3"/>
      <c r="N18" s="26">
        <f t="shared" si="1"/>
        <v>0</v>
      </c>
      <c r="O18" s="9"/>
      <c r="P18" s="3">
        <f>0</f>
        <v>0</v>
      </c>
      <c r="Q18" s="3"/>
      <c r="R18" s="26"/>
      <c r="S18" s="3"/>
      <c r="T18" s="3"/>
      <c r="U18" s="3"/>
      <c r="V18" s="26"/>
      <c r="W18" s="3"/>
      <c r="X18" s="3">
        <f t="shared" si="2"/>
        <v>0</v>
      </c>
      <c r="Y18" s="3"/>
      <c r="Z18" s="26">
        <f t="shared" si="3"/>
        <v>0</v>
      </c>
    </row>
    <row r="19" spans="1:26" ht="15" customHeight="1" x14ac:dyDescent="0.3">
      <c r="A19" s="12"/>
      <c r="B19" s="13"/>
      <c r="C19" s="12"/>
      <c r="D19" s="4"/>
      <c r="E19" s="4"/>
      <c r="F19" s="10"/>
      <c r="G19" s="4"/>
      <c r="H19" s="4"/>
      <c r="I19" s="4"/>
      <c r="J19" s="10"/>
      <c r="K19" s="4"/>
      <c r="L19" s="4"/>
      <c r="M19" s="4"/>
      <c r="N19" s="10"/>
      <c r="P19" s="4"/>
      <c r="Q19" s="4"/>
      <c r="R19" s="10"/>
      <c r="S19" s="4"/>
      <c r="T19" s="4"/>
      <c r="U19" s="4"/>
      <c r="V19" s="10"/>
      <c r="W19" s="4"/>
      <c r="X19" s="4"/>
      <c r="Y19" s="4"/>
      <c r="Z19" s="10"/>
    </row>
    <row r="20" spans="1:26" s="63" customFormat="1" ht="15" customHeight="1" collapsed="1" x14ac:dyDescent="0.3">
      <c r="A20" s="13"/>
      <c r="B20" s="28" t="s">
        <v>288</v>
      </c>
      <c r="C20" s="13"/>
      <c r="D20" s="8">
        <f>SUM(OSRRefD16x_0)</f>
        <v>23033.18</v>
      </c>
      <c r="E20" s="8"/>
      <c r="F20" s="14">
        <f>IF(D$12=0,0,D20/D$12)</f>
        <v>1.4842247977596004</v>
      </c>
      <c r="G20" s="8"/>
      <c r="H20" s="8">
        <f>SUM(OSRRefH16x_0)</f>
        <v>6383</v>
      </c>
      <c r="I20" s="8"/>
      <c r="J20" s="14">
        <f>IF(H$12=0,0,H20/H$12)</f>
        <v>0.49005758157389634</v>
      </c>
      <c r="K20" s="8"/>
      <c r="L20" s="8">
        <f>+D20-H20</f>
        <v>16650.18</v>
      </c>
      <c r="M20" s="8"/>
      <c r="N20" s="14">
        <f>IF(H20=0,0,L20/H20)</f>
        <v>2.6085195049349834</v>
      </c>
      <c r="O20" s="13"/>
      <c r="P20" s="8">
        <f>SUM(OSRRefP16x_0)</f>
        <v>249050.13</v>
      </c>
      <c r="Q20" s="8"/>
      <c r="R20" s="14">
        <f>IF(P$12=0,0,P20/P$12)</f>
        <v>0.48502159450167109</v>
      </c>
      <c r="S20" s="8"/>
      <c r="T20" s="8">
        <f>SUM(OSRRefT16x_0)</f>
        <v>253951</v>
      </c>
      <c r="U20" s="8"/>
      <c r="V20" s="14">
        <f>IF(T$12=0,0,T20/T$12)</f>
        <v>0.4903390363944245</v>
      </c>
      <c r="W20" s="8"/>
      <c r="X20" s="8">
        <f>+P20-T20</f>
        <v>-4900.8699999999953</v>
      </c>
      <c r="Y20" s="8"/>
      <c r="Z20" s="14">
        <f>IF(T20=0,0,X20/T20)</f>
        <v>-1.9298486715941247E-2</v>
      </c>
    </row>
    <row r="21" spans="1:26" s="70" customFormat="1" ht="15" hidden="1" customHeight="1" outlineLevel="1" x14ac:dyDescent="0.3">
      <c r="A21" s="48"/>
      <c r="B21" s="9" t="str">
        <f>CONCATENATE("          ","5000"," - ","PURCHASES @ COST")</f>
        <v xml:space="preserve">          5000 - PURCHASES @ COST</v>
      </c>
      <c r="C21" s="9"/>
      <c r="D21" s="3"/>
      <c r="E21" s="3"/>
      <c r="F21" s="26">
        <f>IF(D$12=0,0,D21/D$12)</f>
        <v>0</v>
      </c>
      <c r="G21" s="3"/>
      <c r="H21" s="3">
        <v>6383</v>
      </c>
      <c r="I21" s="3"/>
      <c r="J21" s="26">
        <f>IF(H$12=0,0,H21/H$12)</f>
        <v>0.49005758157389634</v>
      </c>
      <c r="K21" s="3"/>
      <c r="L21" s="3">
        <f>+D21-H21</f>
        <v>-6383</v>
      </c>
      <c r="M21" s="3"/>
      <c r="N21" s="26">
        <f>IF(H21=0,0,L21/H21)</f>
        <v>-1</v>
      </c>
      <c r="O21" s="9"/>
      <c r="P21" s="3">
        <v>-8062</v>
      </c>
      <c r="Q21" s="3"/>
      <c r="R21" s="26">
        <f>IF(P$12=0,0,P21/P$12)</f>
        <v>-1.5700630611485616E-2</v>
      </c>
      <c r="S21" s="3"/>
      <c r="T21" s="3">
        <v>253951</v>
      </c>
      <c r="U21" s="3"/>
      <c r="V21" s="26">
        <f>IF(T$12=0,0,T21/T$12)</f>
        <v>0.4903390363944245</v>
      </c>
      <c r="W21" s="3"/>
      <c r="X21" s="3">
        <f>+P21-T21</f>
        <v>-262013</v>
      </c>
      <c r="Y21" s="3"/>
      <c r="Z21" s="26">
        <f>IF(T21=0,0,X21/T21)</f>
        <v>-1.0317462817630172</v>
      </c>
    </row>
    <row r="22" spans="1:26" s="70" customFormat="1" ht="15" hidden="1" customHeight="1" outlineLevel="1" x14ac:dyDescent="0.3">
      <c r="A22" s="48"/>
      <c r="B22" s="9" t="str">
        <f>CONCATENATE("          ","5053"," - ","PURCHASES @ COST-FOOD")</f>
        <v xml:space="preserve">          5053 - PURCHASES @ COST-FOOD</v>
      </c>
      <c r="C22" s="9"/>
      <c r="D22" s="3">
        <v>442.2</v>
      </c>
      <c r="E22" s="3"/>
      <c r="F22" s="26">
        <f>IF(D$12=0,0,D22/D$12)</f>
        <v>2.8494728281952177E-2</v>
      </c>
      <c r="G22" s="3"/>
      <c r="H22" s="3"/>
      <c r="I22" s="3"/>
      <c r="J22" s="26">
        <f>IF(H$12=0,0,H22/H$12)</f>
        <v>0</v>
      </c>
      <c r="K22" s="3"/>
      <c r="L22" s="3">
        <f>+D22-H22</f>
        <v>442.2</v>
      </c>
      <c r="M22" s="3"/>
      <c r="N22" s="26">
        <f>IF(H22=0,0,L22/H22)</f>
        <v>0</v>
      </c>
      <c r="O22" s="9"/>
      <c r="P22" s="3">
        <v>47584.83</v>
      </c>
      <c r="Q22" s="3"/>
      <c r="R22" s="26">
        <f>IF(P$12=0,0,P22/P$12)</f>
        <v>9.2670781262756033E-2</v>
      </c>
      <c r="S22" s="3"/>
      <c r="T22" s="3"/>
      <c r="U22" s="3"/>
      <c r="V22" s="26">
        <f>IF(T$12=0,0,T22/T$12)</f>
        <v>0</v>
      </c>
      <c r="W22" s="3"/>
      <c r="X22" s="3">
        <f>+P22-T22</f>
        <v>47584.83</v>
      </c>
      <c r="Y22" s="3"/>
      <c r="Z22" s="26">
        <f>IF(T22=0,0,X22/T22)</f>
        <v>0</v>
      </c>
    </row>
    <row r="23" spans="1:26" s="70" customFormat="1" ht="15" hidden="1" customHeight="1" outlineLevel="1" x14ac:dyDescent="0.3">
      <c r="A23" s="48"/>
      <c r="B23" s="9" t="str">
        <f>CONCATENATE("          ","5059"," - ","PURCHASES @ COST-FOOD")</f>
        <v xml:space="preserve">          5059 - PURCHASES @ COST-FOOD</v>
      </c>
      <c r="C23" s="9"/>
      <c r="D23" s="3">
        <v>22590.98</v>
      </c>
      <c r="E23" s="3"/>
      <c r="F23" s="26">
        <f>IF(D$12=0,0,D23/D$12)</f>
        <v>1.4557300694776483</v>
      </c>
      <c r="G23" s="3"/>
      <c r="H23" s="3"/>
      <c r="I23" s="3"/>
      <c r="J23" s="26">
        <f>IF(H$12=0,0,H23/H$12)</f>
        <v>0</v>
      </c>
      <c r="K23" s="3"/>
      <c r="L23" s="3">
        <f>+D23-H23</f>
        <v>22590.98</v>
      </c>
      <c r="M23" s="3"/>
      <c r="N23" s="26">
        <f>IF(H23=0,0,L23/H23)</f>
        <v>0</v>
      </c>
      <c r="O23" s="9"/>
      <c r="P23" s="3">
        <v>209527.3</v>
      </c>
      <c r="Q23" s="3"/>
      <c r="R23" s="26">
        <f>IF(P$12=0,0,P23/P$12)</f>
        <v>0.40805144385040065</v>
      </c>
      <c r="S23" s="3"/>
      <c r="T23" s="3"/>
      <c r="U23" s="3"/>
      <c r="V23" s="26">
        <f>IF(T$12=0,0,T23/T$12)</f>
        <v>0</v>
      </c>
      <c r="W23" s="3"/>
      <c r="X23" s="3">
        <f>+P23-T23</f>
        <v>209527.3</v>
      </c>
      <c r="Y23" s="3"/>
      <c r="Z23" s="26">
        <f>IF(T23=0,0,X23/T23)</f>
        <v>0</v>
      </c>
    </row>
    <row r="24" spans="1:26" ht="15" customHeight="1" x14ac:dyDescent="0.3">
      <c r="A24" s="12"/>
      <c r="B24" s="13"/>
      <c r="C24" s="13"/>
      <c r="D24" s="4"/>
      <c r="E24" s="4"/>
      <c r="F24" s="10"/>
      <c r="G24" s="4"/>
      <c r="H24" s="4"/>
      <c r="I24" s="4"/>
      <c r="J24" s="10"/>
      <c r="K24" s="4"/>
      <c r="L24" s="4"/>
      <c r="M24" s="4"/>
      <c r="N24" s="10"/>
      <c r="O24" s="13"/>
      <c r="P24" s="4"/>
      <c r="Q24" s="4"/>
      <c r="R24" s="10"/>
      <c r="S24" s="4"/>
      <c r="T24" s="4"/>
      <c r="U24" s="4"/>
      <c r="V24" s="10"/>
      <c r="W24" s="4"/>
      <c r="X24" s="4"/>
      <c r="Y24" s="4"/>
      <c r="Z24" s="10"/>
    </row>
    <row r="25" spans="1:26" s="63" customFormat="1" ht="15" customHeight="1" x14ac:dyDescent="0.3">
      <c r="A25" s="13"/>
      <c r="B25" s="27" t="s">
        <v>289</v>
      </c>
      <c r="C25" s="27"/>
      <c r="D25" s="23">
        <f>D12-D20</f>
        <v>-7514.52</v>
      </c>
      <c r="E25" s="15"/>
      <c r="F25" s="22">
        <f>IF(D$12=0,0,D25/D$12)</f>
        <v>-0.48422479775960042</v>
      </c>
      <c r="G25" s="15"/>
      <c r="H25" s="23">
        <f>H12-H20</f>
        <v>6642</v>
      </c>
      <c r="I25" s="15"/>
      <c r="J25" s="22">
        <f>IF(H$12=0,0,H25/H$12)</f>
        <v>0.50994241842610366</v>
      </c>
      <c r="K25" s="17"/>
      <c r="L25" s="23">
        <f>+D25-H25</f>
        <v>-14156.52</v>
      </c>
      <c r="M25" s="17"/>
      <c r="N25" s="22">
        <f>IF(H25=0,0,L25/H25)</f>
        <v>-2.1313640469738031</v>
      </c>
      <c r="O25" s="28"/>
      <c r="P25" s="23">
        <f>P12-P20</f>
        <v>264432.43</v>
      </c>
      <c r="Q25" s="15"/>
      <c r="R25" s="22">
        <f>IF(P$12=0,0,P25/P$12)</f>
        <v>0.51497840549832885</v>
      </c>
      <c r="S25" s="15"/>
      <c r="T25" s="23">
        <f>T12-T20</f>
        <v>263958</v>
      </c>
      <c r="U25" s="15"/>
      <c r="V25" s="22">
        <f>IF(T$12=0,0,T25/T$12)</f>
        <v>0.50966096360557545</v>
      </c>
      <c r="W25" s="17"/>
      <c r="X25" s="23">
        <f>+P25-T25</f>
        <v>474.42999999999302</v>
      </c>
      <c r="Y25" s="17"/>
      <c r="Z25" s="22">
        <f>IF(T25=0,0,X25/T25)</f>
        <v>1.7973692784457869E-3</v>
      </c>
    </row>
    <row r="26" spans="1:26" ht="15" customHeight="1" x14ac:dyDescent="0.3">
      <c r="A26" s="12"/>
      <c r="B26" s="13"/>
      <c r="C26" s="12"/>
      <c r="D26" s="2"/>
      <c r="E26" s="2"/>
      <c r="F26" s="5"/>
      <c r="G26" s="2"/>
      <c r="H26" s="2"/>
      <c r="I26" s="2"/>
      <c r="J26" s="5"/>
      <c r="K26" s="2"/>
      <c r="L26" s="2"/>
      <c r="M26" s="2"/>
      <c r="N26" s="5"/>
      <c r="O26" s="36"/>
      <c r="P26" s="2"/>
      <c r="Q26" s="2"/>
      <c r="R26" s="5"/>
      <c r="S26" s="2"/>
      <c r="T26" s="2"/>
      <c r="U26" s="2"/>
      <c r="V26" s="5"/>
      <c r="W26" s="2"/>
      <c r="X26" s="2"/>
      <c r="Y26" s="2"/>
      <c r="Z26" s="5"/>
    </row>
    <row r="27" spans="1:26" s="63" customFormat="1" ht="15" customHeight="1" x14ac:dyDescent="0.3">
      <c r="A27" s="13"/>
      <c r="B27" s="28" t="s">
        <v>290</v>
      </c>
      <c r="C27" s="13"/>
      <c r="D27" s="24" cm="1">
        <f t="array" ref="D27">SUM(OSRRefD22x_0)</f>
        <v>35391.44999999999</v>
      </c>
      <c r="E27" s="24"/>
      <c r="F27" s="34">
        <f t="shared" ref="F27:F58" si="4">IF(D$12=0,0,D27/D$12)</f>
        <v>2.2805738382051022</v>
      </c>
      <c r="G27" s="24"/>
      <c r="H27" s="24" cm="1">
        <f t="array" ref="H27">SUM(OSRRefH22x_0)</f>
        <v>28306.54540580769</v>
      </c>
      <c r="I27" s="24"/>
      <c r="J27" s="34">
        <f t="shared" ref="J27:J58" si="5">IF(H$12=0,0,H27/H$12)</f>
        <v>2.1732472480466556</v>
      </c>
      <c r="K27" s="8"/>
      <c r="L27" s="24">
        <f t="shared" ref="L27:L58" si="6">+D27-H27</f>
        <v>7084.9045941922996</v>
      </c>
      <c r="M27" s="8"/>
      <c r="N27" s="34">
        <f t="shared" ref="N27:N58" si="7">IF(H27=0,0,L27/H27)</f>
        <v>0.25029209649647605</v>
      </c>
      <c r="O27" s="13"/>
      <c r="P27" s="24" cm="1">
        <f t="array" ref="P27">SUM(OSRRefP22x_0)</f>
        <v>406225.09000000014</v>
      </c>
      <c r="Q27" s="24"/>
      <c r="R27" s="34">
        <f t="shared" ref="R27:R58" si="8">IF(P$12=0,0,P27/P$12)</f>
        <v>0.791117599008621</v>
      </c>
      <c r="S27" s="24"/>
      <c r="T27" s="24" cm="1">
        <f t="array" ref="T27">SUM(OSRRefT22x_0)</f>
        <v>436427.20735474996</v>
      </c>
      <c r="U27" s="24"/>
      <c r="V27" s="34">
        <f t="shared" ref="V27:V58" si="9">IF(T$12=0,0,T27/T$12)</f>
        <v>0.84267160322518042</v>
      </c>
      <c r="W27" s="8"/>
      <c r="X27" s="24">
        <f t="shared" ref="X27:X58" si="10">+P27-T27</f>
        <v>-30202.117354749818</v>
      </c>
      <c r="Y27" s="8"/>
      <c r="Z27" s="34">
        <f t="shared" ref="Z27:Z58" si="11">IF(T27=0,0,X27/T27)</f>
        <v>-6.9203103852780695E-2</v>
      </c>
    </row>
    <row r="28" spans="1:26" s="69" customFormat="1" ht="15" customHeight="1" outlineLevel="1" collapsed="1" x14ac:dyDescent="0.3">
      <c r="A28" s="20"/>
      <c r="B28" s="11" t="str">
        <f>CONCATENATE("     ","*Benefits                                         ")</f>
        <v xml:space="preserve">     *Benefits                                         </v>
      </c>
      <c r="C28" s="11"/>
      <c r="D28" s="2">
        <f>SUM(OSRRefD22_0x_0)</f>
        <v>6062.03</v>
      </c>
      <c r="E28" s="2"/>
      <c r="F28" s="5">
        <f t="shared" si="4"/>
        <v>0.39062844343519348</v>
      </c>
      <c r="G28" s="2"/>
      <c r="H28" s="2">
        <f>SUM(OSRRefH22_0x_0)</f>
        <v>4152.0788750384609</v>
      </c>
      <c r="I28" s="2"/>
      <c r="J28" s="5">
        <f t="shared" si="5"/>
        <v>0.31877764875535208</v>
      </c>
      <c r="K28" s="2"/>
      <c r="L28" s="2">
        <f t="shared" si="6"/>
        <v>1909.9511249615389</v>
      </c>
      <c r="M28" s="2"/>
      <c r="N28" s="5">
        <f t="shared" si="7"/>
        <v>0.45999875783762584</v>
      </c>
      <c r="O28" s="11"/>
      <c r="P28" s="2">
        <f>SUM(OSRRefP22_0x_0)</f>
        <v>44017.26</v>
      </c>
      <c r="Q28" s="2"/>
      <c r="R28" s="5">
        <f t="shared" si="8"/>
        <v>8.5722989306589115E-2</v>
      </c>
      <c r="S28" s="2"/>
      <c r="T28" s="2">
        <f>SUM(OSRRefT22_0x_0)</f>
        <v>53694.857204749998</v>
      </c>
      <c r="U28" s="2"/>
      <c r="V28" s="5">
        <f t="shared" si="9"/>
        <v>0.10367623888511301</v>
      </c>
      <c r="W28" s="2"/>
      <c r="X28" s="2">
        <f t="shared" si="10"/>
        <v>-9677.5972047499963</v>
      </c>
      <c r="Y28" s="2"/>
      <c r="Z28" s="5">
        <f t="shared" si="11"/>
        <v>-0.18023322359992958</v>
      </c>
    </row>
    <row r="29" spans="1:26" s="70" customFormat="1" ht="15" hidden="1" customHeight="1" outlineLevel="2" x14ac:dyDescent="0.3">
      <c r="A29" s="21"/>
      <c r="B29" s="9" t="str">
        <f>CONCATENATE("          ","6111"," - ","F.I.C.A.")</f>
        <v xml:space="preserve">          6111 - F.I.C.A.</v>
      </c>
      <c r="C29" s="9"/>
      <c r="D29" s="6">
        <v>1048.46</v>
      </c>
      <c r="E29" s="3"/>
      <c r="F29" s="7">
        <f t="shared" si="4"/>
        <v>6.7561245623011273E-2</v>
      </c>
      <c r="G29" s="3"/>
      <c r="H29" s="6">
        <v>598.54319042307702</v>
      </c>
      <c r="I29" s="3"/>
      <c r="J29" s="7">
        <f t="shared" si="5"/>
        <v>4.5953411932673861E-2</v>
      </c>
      <c r="K29" s="3"/>
      <c r="L29" s="6">
        <f t="shared" si="6"/>
        <v>449.91680957692301</v>
      </c>
      <c r="M29" s="3"/>
      <c r="N29" s="7">
        <f t="shared" si="7"/>
        <v>0.75168645600813155</v>
      </c>
      <c r="O29" s="9"/>
      <c r="P29" s="6">
        <v>8268.6</v>
      </c>
      <c r="Q29" s="3"/>
      <c r="R29" s="7">
        <f t="shared" si="8"/>
        <v>1.6102981180120313E-2</v>
      </c>
      <c r="S29" s="3"/>
      <c r="T29" s="6">
        <v>7472.0505547499997</v>
      </c>
      <c r="U29" s="3"/>
      <c r="V29" s="7">
        <f t="shared" si="9"/>
        <v>1.4427342553904257E-2</v>
      </c>
      <c r="W29" s="3"/>
      <c r="X29" s="6">
        <f t="shared" si="10"/>
        <v>796.54944525000064</v>
      </c>
      <c r="Y29" s="3"/>
      <c r="Z29" s="7">
        <f t="shared" si="11"/>
        <v>0.1066038618734495</v>
      </c>
    </row>
    <row r="30" spans="1:26" s="70" customFormat="1" ht="15" hidden="1" customHeight="1" outlineLevel="2" x14ac:dyDescent="0.3">
      <c r="A30" s="21"/>
      <c r="B30" s="9" t="str">
        <f>CONCATENATE("          ","6112"," - ","COMPENSATION INSURANCE")</f>
        <v xml:space="preserve">          6112 - COMPENSATION INSURANCE</v>
      </c>
      <c r="C30" s="9"/>
      <c r="D30" s="6">
        <v>-208.71</v>
      </c>
      <c r="E30" s="3"/>
      <c r="F30" s="7">
        <f t="shared" si="4"/>
        <v>-1.3448970465233467E-2</v>
      </c>
      <c r="G30" s="3"/>
      <c r="H30" s="6">
        <v>462.76532638461498</v>
      </c>
      <c r="I30" s="3"/>
      <c r="J30" s="7">
        <f t="shared" si="5"/>
        <v>3.5529007783847599E-2</v>
      </c>
      <c r="K30" s="3"/>
      <c r="L30" s="6">
        <f t="shared" si="6"/>
        <v>-671.47532638461496</v>
      </c>
      <c r="M30" s="3"/>
      <c r="N30" s="7">
        <f t="shared" si="7"/>
        <v>-1.4510061322669976</v>
      </c>
      <c r="O30" s="9"/>
      <c r="P30" s="6">
        <v>2261.5</v>
      </c>
      <c r="Q30" s="3"/>
      <c r="R30" s="7">
        <f t="shared" si="8"/>
        <v>4.4042391624751582E-3</v>
      </c>
      <c r="S30" s="3"/>
      <c r="T30" s="6">
        <v>7100.8869605</v>
      </c>
      <c r="U30" s="3"/>
      <c r="V30" s="7">
        <f t="shared" si="9"/>
        <v>1.3710684619305708E-2</v>
      </c>
      <c r="W30" s="3"/>
      <c r="X30" s="6">
        <f t="shared" si="10"/>
        <v>-4839.3869605</v>
      </c>
      <c r="Y30" s="3"/>
      <c r="Z30" s="7">
        <f t="shared" si="11"/>
        <v>-0.68151865920693955</v>
      </c>
    </row>
    <row r="31" spans="1:26" s="70" customFormat="1" ht="15" hidden="1" customHeight="1" outlineLevel="2" x14ac:dyDescent="0.3">
      <c r="A31" s="21"/>
      <c r="B31" s="9" t="str">
        <f>CONCATENATE("          ","6113"," - ","GROUP INSURANCE")</f>
        <v xml:space="preserve">          6113 - GROUP INSURANCE</v>
      </c>
      <c r="C31" s="9"/>
      <c r="D31" s="6">
        <v>3036.65</v>
      </c>
      <c r="E31" s="3"/>
      <c r="F31" s="7">
        <f t="shared" si="4"/>
        <v>0.195677332965604</v>
      </c>
      <c r="G31" s="3"/>
      <c r="H31" s="6">
        <v>1977</v>
      </c>
      <c r="I31" s="3"/>
      <c r="J31" s="7">
        <f t="shared" si="5"/>
        <v>0.15178502879078695</v>
      </c>
      <c r="K31" s="3"/>
      <c r="L31" s="6">
        <f t="shared" si="6"/>
        <v>1059.6500000000001</v>
      </c>
      <c r="M31" s="3"/>
      <c r="N31" s="7">
        <f t="shared" si="7"/>
        <v>0.53598887202832579</v>
      </c>
      <c r="O31" s="9"/>
      <c r="P31" s="6">
        <v>18253.740000000002</v>
      </c>
      <c r="Q31" s="3"/>
      <c r="R31" s="7">
        <f t="shared" si="8"/>
        <v>3.5548899654936676E-2</v>
      </c>
      <c r="S31" s="3"/>
      <c r="T31" s="6">
        <v>23724</v>
      </c>
      <c r="U31" s="3"/>
      <c r="V31" s="7">
        <f t="shared" si="9"/>
        <v>4.5807275023218366E-2</v>
      </c>
      <c r="W31" s="3"/>
      <c r="X31" s="6">
        <f t="shared" si="10"/>
        <v>-5470.2599999999984</v>
      </c>
      <c r="Y31" s="3"/>
      <c r="Z31" s="7">
        <f t="shared" si="11"/>
        <v>-0.23057916034395542</v>
      </c>
    </row>
    <row r="32" spans="1:26" s="70" customFormat="1" ht="15" hidden="1" customHeight="1" outlineLevel="2" x14ac:dyDescent="0.3">
      <c r="A32" s="21"/>
      <c r="B32" s="9" t="str">
        <f>CONCATENATE("          ","6114"," - ","STATE UNEMPLOYMENT INSURANCE")</f>
        <v xml:space="preserve">          6114 - STATE UNEMPLOYMENT INSURANCE</v>
      </c>
      <c r="C32" s="9"/>
      <c r="D32" s="6"/>
      <c r="E32" s="3"/>
      <c r="F32" s="7">
        <f t="shared" si="4"/>
        <v>0</v>
      </c>
      <c r="G32" s="3"/>
      <c r="H32" s="6">
        <v>25.641350538461499</v>
      </c>
      <c r="I32" s="3"/>
      <c r="J32" s="7">
        <f t="shared" si="5"/>
        <v>1.968625761110288E-3</v>
      </c>
      <c r="K32" s="3"/>
      <c r="L32" s="6">
        <f t="shared" si="6"/>
        <v>-25.641350538461499</v>
      </c>
      <c r="M32" s="3"/>
      <c r="N32" s="7">
        <f t="shared" si="7"/>
        <v>-1</v>
      </c>
      <c r="O32" s="9"/>
      <c r="P32" s="6">
        <v>411.54</v>
      </c>
      <c r="Q32" s="3"/>
      <c r="R32" s="7">
        <f t="shared" si="8"/>
        <v>8.014683108224747E-4</v>
      </c>
      <c r="S32" s="3"/>
      <c r="T32" s="6">
        <v>393.45283949999998</v>
      </c>
      <c r="U32" s="3"/>
      <c r="V32" s="7">
        <f t="shared" si="9"/>
        <v>7.5969492613567249E-4</v>
      </c>
      <c r="W32" s="3"/>
      <c r="X32" s="6">
        <f t="shared" si="10"/>
        <v>18.087160500000039</v>
      </c>
      <c r="Y32" s="3"/>
      <c r="Z32" s="7">
        <f t="shared" si="11"/>
        <v>4.5970339222828352E-2</v>
      </c>
    </row>
    <row r="33" spans="1:26" s="70" customFormat="1" ht="15" hidden="1" customHeight="1" outlineLevel="2" x14ac:dyDescent="0.3">
      <c r="A33" s="21"/>
      <c r="B33" s="9" t="str">
        <f>CONCATENATE("          ","6115"," - ","P.E.R.S.")</f>
        <v xml:space="preserve">          6115 - P.E.R.S.</v>
      </c>
      <c r="C33" s="9"/>
      <c r="D33" s="6">
        <v>520.78</v>
      </c>
      <c r="E33" s="3"/>
      <c r="F33" s="7">
        <f t="shared" si="4"/>
        <v>3.3558309802521606E-2</v>
      </c>
      <c r="G33" s="3"/>
      <c r="H33" s="6">
        <v>397.928615384615</v>
      </c>
      <c r="I33" s="3"/>
      <c r="J33" s="7">
        <f t="shared" si="5"/>
        <v>3.0551141296323608E-2</v>
      </c>
      <c r="K33" s="3"/>
      <c r="L33" s="6">
        <f t="shared" si="6"/>
        <v>122.85138461538497</v>
      </c>
      <c r="M33" s="3"/>
      <c r="N33" s="7">
        <f t="shared" si="7"/>
        <v>0.30872719343554589</v>
      </c>
      <c r="O33" s="9"/>
      <c r="P33" s="6">
        <v>3508.37</v>
      </c>
      <c r="Q33" s="3"/>
      <c r="R33" s="7">
        <f t="shared" si="8"/>
        <v>6.8325007961321993E-3</v>
      </c>
      <c r="S33" s="3"/>
      <c r="T33" s="6">
        <v>5173.0720000000001</v>
      </c>
      <c r="U33" s="3"/>
      <c r="V33" s="7">
        <f t="shared" si="9"/>
        <v>9.9883801980656835E-3</v>
      </c>
      <c r="W33" s="3"/>
      <c r="X33" s="6">
        <f t="shared" si="10"/>
        <v>-1664.7020000000002</v>
      </c>
      <c r="Y33" s="3"/>
      <c r="Z33" s="7">
        <f t="shared" si="11"/>
        <v>-0.32180143636121827</v>
      </c>
    </row>
    <row r="34" spans="1:26" s="70" customFormat="1" ht="15" hidden="1" customHeight="1" outlineLevel="2" x14ac:dyDescent="0.3">
      <c r="A34" s="21"/>
      <c r="B34" s="9" t="str">
        <f>CONCATENATE("          ","6116"," - ","EDUCATIONAL BENEFITS")</f>
        <v xml:space="preserve">          6116 - EDUCATIONAL BENEFITS</v>
      </c>
      <c r="C34" s="9"/>
      <c r="D34" s="6"/>
      <c r="E34" s="3"/>
      <c r="F34" s="7">
        <f t="shared" si="4"/>
        <v>0</v>
      </c>
      <c r="G34" s="3"/>
      <c r="H34" s="6">
        <v>0</v>
      </c>
      <c r="I34" s="3"/>
      <c r="J34" s="7">
        <f t="shared" si="5"/>
        <v>0</v>
      </c>
      <c r="K34" s="3"/>
      <c r="L34" s="6">
        <f t="shared" si="6"/>
        <v>0</v>
      </c>
      <c r="M34" s="3"/>
      <c r="N34" s="7">
        <f t="shared" si="7"/>
        <v>0</v>
      </c>
      <c r="O34" s="9"/>
      <c r="P34" s="6"/>
      <c r="Q34" s="3"/>
      <c r="R34" s="7">
        <f t="shared" si="8"/>
        <v>0</v>
      </c>
      <c r="S34" s="3"/>
      <c r="T34" s="6">
        <v>0</v>
      </c>
      <c r="U34" s="3"/>
      <c r="V34" s="7">
        <f t="shared" si="9"/>
        <v>0</v>
      </c>
      <c r="W34" s="3"/>
      <c r="X34" s="6">
        <f t="shared" si="10"/>
        <v>0</v>
      </c>
      <c r="Y34" s="3"/>
      <c r="Z34" s="7">
        <f t="shared" si="11"/>
        <v>0</v>
      </c>
    </row>
    <row r="35" spans="1:26" s="70" customFormat="1" ht="15" hidden="1" customHeight="1" outlineLevel="2" x14ac:dyDescent="0.3">
      <c r="A35" s="21"/>
      <c r="B35" s="9" t="str">
        <f>CONCATENATE("          ","6117"," - ","RETIREMENT STAFF HOURLY")</f>
        <v xml:space="preserve">          6117 - RETIREMENT STAFF HOURLY</v>
      </c>
      <c r="C35" s="9"/>
      <c r="D35" s="6">
        <v>206.24</v>
      </c>
      <c r="E35" s="3"/>
      <c r="F35" s="7">
        <f t="shared" si="4"/>
        <v>1.3289807238511574E-2</v>
      </c>
      <c r="G35" s="3"/>
      <c r="H35" s="6"/>
      <c r="I35" s="3"/>
      <c r="J35" s="7">
        <f t="shared" si="5"/>
        <v>0</v>
      </c>
      <c r="K35" s="3"/>
      <c r="L35" s="6">
        <f t="shared" si="6"/>
        <v>206.24</v>
      </c>
      <c r="M35" s="3"/>
      <c r="N35" s="7">
        <f t="shared" si="7"/>
        <v>0</v>
      </c>
      <c r="O35" s="9"/>
      <c r="P35" s="6">
        <v>1386.73</v>
      </c>
      <c r="Q35" s="3"/>
      <c r="R35" s="7">
        <f t="shared" si="8"/>
        <v>2.7006369992390784E-3</v>
      </c>
      <c r="S35" s="3"/>
      <c r="T35" s="6"/>
      <c r="U35" s="3"/>
      <c r="V35" s="7">
        <f t="shared" si="9"/>
        <v>0</v>
      </c>
      <c r="W35" s="3"/>
      <c r="X35" s="6">
        <f t="shared" si="10"/>
        <v>1386.73</v>
      </c>
      <c r="Y35" s="3"/>
      <c r="Z35" s="7">
        <f t="shared" si="11"/>
        <v>0</v>
      </c>
    </row>
    <row r="36" spans="1:26" s="70" customFormat="1" ht="15" hidden="1" customHeight="1" outlineLevel="2" x14ac:dyDescent="0.3">
      <c r="A36" s="21"/>
      <c r="B36" s="9" t="str">
        <f>CONCATENATE("          ","6118"," - ","VACATION")</f>
        <v xml:space="preserve">          6118 - VACATION</v>
      </c>
      <c r="C36" s="9"/>
      <c r="D36" s="6">
        <v>570.1</v>
      </c>
      <c r="E36" s="3"/>
      <c r="F36" s="7">
        <f t="shared" si="4"/>
        <v>3.6736419252693213E-2</v>
      </c>
      <c r="G36" s="3"/>
      <c r="H36" s="6">
        <v>231.35384615384601</v>
      </c>
      <c r="I36" s="3"/>
      <c r="J36" s="7">
        <f t="shared" si="5"/>
        <v>1.7762291451350942E-2</v>
      </c>
      <c r="K36" s="3"/>
      <c r="L36" s="6">
        <f t="shared" si="6"/>
        <v>338.74615384615402</v>
      </c>
      <c r="M36" s="3"/>
      <c r="N36" s="7">
        <f t="shared" si="7"/>
        <v>1.4641907168506467</v>
      </c>
      <c r="O36" s="9"/>
      <c r="P36" s="6">
        <v>3777.62</v>
      </c>
      <c r="Q36" s="3"/>
      <c r="R36" s="7">
        <f t="shared" si="8"/>
        <v>7.3568613508509422E-3</v>
      </c>
      <c r="S36" s="3"/>
      <c r="T36" s="6">
        <v>3007.6</v>
      </c>
      <c r="U36" s="3"/>
      <c r="V36" s="7">
        <f t="shared" si="9"/>
        <v>5.8071977895730719E-3</v>
      </c>
      <c r="W36" s="3"/>
      <c r="X36" s="6">
        <f t="shared" si="10"/>
        <v>770.02</v>
      </c>
      <c r="Y36" s="3"/>
      <c r="Z36" s="7">
        <f t="shared" si="11"/>
        <v>0.25602473733209202</v>
      </c>
    </row>
    <row r="37" spans="1:26" s="70" customFormat="1" ht="15" hidden="1" customHeight="1" outlineLevel="2" x14ac:dyDescent="0.3">
      <c r="A37" s="21"/>
      <c r="B37" s="9" t="str">
        <f>CONCATENATE("          ","6119"," - ","SICK LEAVE")</f>
        <v xml:space="preserve">          6119 - SICK LEAVE</v>
      </c>
      <c r="C37" s="9"/>
      <c r="D37" s="6">
        <v>427.98</v>
      </c>
      <c r="E37" s="3"/>
      <c r="F37" s="7">
        <f t="shared" si="4"/>
        <v>2.7578412053618034E-2</v>
      </c>
      <c r="G37" s="3"/>
      <c r="H37" s="6">
        <v>458.84654615384602</v>
      </c>
      <c r="I37" s="3"/>
      <c r="J37" s="7">
        <f t="shared" si="5"/>
        <v>3.5228141739258811E-2</v>
      </c>
      <c r="K37" s="3"/>
      <c r="L37" s="6">
        <f t="shared" si="6"/>
        <v>-30.866546153846002</v>
      </c>
      <c r="M37" s="3"/>
      <c r="N37" s="7">
        <f t="shared" si="7"/>
        <v>-6.726986704504212E-2</v>
      </c>
      <c r="O37" s="9"/>
      <c r="P37" s="6">
        <v>3075.24</v>
      </c>
      <c r="Q37" s="3"/>
      <c r="R37" s="7">
        <f t="shared" si="8"/>
        <v>5.9889862666416558E-3</v>
      </c>
      <c r="S37" s="3"/>
      <c r="T37" s="6">
        <v>6823.7948500000002</v>
      </c>
      <c r="U37" s="3"/>
      <c r="V37" s="7">
        <f t="shared" si="9"/>
        <v>1.3175663774910265E-2</v>
      </c>
      <c r="W37" s="3"/>
      <c r="X37" s="6">
        <f t="shared" si="10"/>
        <v>-3748.5548500000004</v>
      </c>
      <c r="Y37" s="3"/>
      <c r="Z37" s="7">
        <f t="shared" si="11"/>
        <v>-0.54933580689343264</v>
      </c>
    </row>
    <row r="38" spans="1:26" s="70" customFormat="1" ht="15" hidden="1" customHeight="1" outlineLevel="2" x14ac:dyDescent="0.3">
      <c r="A38" s="21"/>
      <c r="B38" s="9" t="str">
        <f>CONCATENATE("          ","6156"," - ","EMPLOYEE MEALS")</f>
        <v xml:space="preserve">          6156 - EMPLOYEE MEALS</v>
      </c>
      <c r="C38" s="9"/>
      <c r="D38" s="6">
        <v>460.53</v>
      </c>
      <c r="E38" s="3"/>
      <c r="F38" s="7">
        <f t="shared" si="4"/>
        <v>2.9675886964467293E-2</v>
      </c>
      <c r="G38" s="3"/>
      <c r="H38" s="6"/>
      <c r="I38" s="3"/>
      <c r="J38" s="7">
        <f t="shared" si="5"/>
        <v>0</v>
      </c>
      <c r="K38" s="3"/>
      <c r="L38" s="6">
        <f t="shared" si="6"/>
        <v>460.53</v>
      </c>
      <c r="M38" s="3"/>
      <c r="N38" s="7">
        <f t="shared" si="7"/>
        <v>0</v>
      </c>
      <c r="O38" s="9"/>
      <c r="P38" s="6">
        <v>3073.92</v>
      </c>
      <c r="Q38" s="3"/>
      <c r="R38" s="7">
        <f t="shared" si="8"/>
        <v>5.9864155853706115E-3</v>
      </c>
      <c r="S38" s="3"/>
      <c r="T38" s="6"/>
      <c r="U38" s="3"/>
      <c r="V38" s="7">
        <f t="shared" si="9"/>
        <v>0</v>
      </c>
      <c r="W38" s="3"/>
      <c r="X38" s="6">
        <f t="shared" si="10"/>
        <v>3073.92</v>
      </c>
      <c r="Y38" s="3"/>
      <c r="Z38" s="7">
        <f t="shared" si="11"/>
        <v>0</v>
      </c>
    </row>
    <row r="39" spans="1:26" s="69" customFormat="1" ht="15" customHeight="1" outlineLevel="1" collapsed="1" x14ac:dyDescent="0.3">
      <c r="A39" s="20"/>
      <c r="B39" s="11" t="str">
        <f>CONCATENATE("     ","*Payroll                                          ")</f>
        <v xml:space="preserve">     *Payroll                                          </v>
      </c>
      <c r="C39" s="11"/>
      <c r="D39" s="2">
        <f>SUM(OSRRefD22_1x_0)</f>
        <v>12109.6</v>
      </c>
      <c r="E39" s="2"/>
      <c r="F39" s="5">
        <f t="shared" si="4"/>
        <v>0.78032510538925404</v>
      </c>
      <c r="G39" s="2"/>
      <c r="H39" s="2">
        <f>SUM(OSRRefH22_1x_0)</f>
        <v>11519.96653076923</v>
      </c>
      <c r="I39" s="2"/>
      <c r="J39" s="5">
        <f t="shared" si="5"/>
        <v>0.88445040543333819</v>
      </c>
      <c r="K39" s="2"/>
      <c r="L39" s="2">
        <f t="shared" si="6"/>
        <v>589.63346923077006</v>
      </c>
      <c r="M39" s="2"/>
      <c r="N39" s="5">
        <f t="shared" si="7"/>
        <v>5.1183609575243975E-2</v>
      </c>
      <c r="O39" s="11"/>
      <c r="P39" s="2">
        <f>SUM(OSRRefP22_1x_0)</f>
        <v>166913.24</v>
      </c>
      <c r="Q39" s="2"/>
      <c r="R39" s="5">
        <f t="shared" si="8"/>
        <v>0.32506116663436435</v>
      </c>
      <c r="S39" s="2"/>
      <c r="T39" s="2">
        <f>SUM(OSRRefT22_1x_0)</f>
        <v>177527.10015000001</v>
      </c>
      <c r="U39" s="2"/>
      <c r="V39" s="5">
        <f t="shared" si="9"/>
        <v>0.34277662707155121</v>
      </c>
      <c r="W39" s="2"/>
      <c r="X39" s="2">
        <f t="shared" si="10"/>
        <v>-10613.860150000022</v>
      </c>
      <c r="Y39" s="2"/>
      <c r="Z39" s="5">
        <f t="shared" si="11"/>
        <v>-5.9787267076586791E-2</v>
      </c>
    </row>
    <row r="40" spans="1:26" s="70" customFormat="1" ht="15" hidden="1" customHeight="1" outlineLevel="2" x14ac:dyDescent="0.3">
      <c r="A40" s="21"/>
      <c r="B40" s="9" t="str">
        <f>CONCATENATE("          ","6001"," - ","ADMINISTRATIVE SALARIES")</f>
        <v xml:space="preserve">          6001 - ADMINISTRATIVE SALARIES</v>
      </c>
      <c r="C40" s="9"/>
      <c r="D40" s="6"/>
      <c r="E40" s="3"/>
      <c r="F40" s="7">
        <f t="shared" si="4"/>
        <v>0</v>
      </c>
      <c r="G40" s="3"/>
      <c r="H40" s="6">
        <v>0</v>
      </c>
      <c r="I40" s="3"/>
      <c r="J40" s="7">
        <f t="shared" si="5"/>
        <v>0</v>
      </c>
      <c r="K40" s="3"/>
      <c r="L40" s="6">
        <f t="shared" si="6"/>
        <v>0</v>
      </c>
      <c r="M40" s="3"/>
      <c r="N40" s="7">
        <f t="shared" si="7"/>
        <v>0</v>
      </c>
      <c r="O40" s="9"/>
      <c r="P40" s="6"/>
      <c r="Q40" s="3"/>
      <c r="R40" s="7">
        <f t="shared" si="8"/>
        <v>0</v>
      </c>
      <c r="S40" s="3"/>
      <c r="T40" s="6">
        <v>0</v>
      </c>
      <c r="U40" s="3"/>
      <c r="V40" s="7">
        <f t="shared" si="9"/>
        <v>0</v>
      </c>
      <c r="W40" s="3"/>
      <c r="X40" s="6">
        <f t="shared" si="10"/>
        <v>0</v>
      </c>
      <c r="Y40" s="3"/>
      <c r="Z40" s="7">
        <f t="shared" si="11"/>
        <v>0</v>
      </c>
    </row>
    <row r="41" spans="1:26" s="70" customFormat="1" ht="15" hidden="1" customHeight="1" outlineLevel="2" x14ac:dyDescent="0.3">
      <c r="A41" s="21"/>
      <c r="B41" s="9" t="str">
        <f>CONCATENATE("          ","6002"," - ","STAFF SALARIES")</f>
        <v xml:space="preserve">          6002 - STAFF SALARIES</v>
      </c>
      <c r="C41" s="9"/>
      <c r="D41" s="6">
        <v>4030.76</v>
      </c>
      <c r="E41" s="3"/>
      <c r="F41" s="7">
        <f t="shared" si="4"/>
        <v>0.25973634321520028</v>
      </c>
      <c r="G41" s="3"/>
      <c r="H41" s="6">
        <v>4164.3692307692299</v>
      </c>
      <c r="I41" s="3"/>
      <c r="J41" s="7">
        <f t="shared" si="5"/>
        <v>0.31972124612431707</v>
      </c>
      <c r="K41" s="3"/>
      <c r="L41" s="6">
        <f t="shared" si="6"/>
        <v>-133.60923076922973</v>
      </c>
      <c r="M41" s="3"/>
      <c r="N41" s="7">
        <f t="shared" si="7"/>
        <v>-3.2083905956761145E-2</v>
      </c>
      <c r="O41" s="9"/>
      <c r="P41" s="6">
        <v>29978.84</v>
      </c>
      <c r="Q41" s="3"/>
      <c r="R41" s="7">
        <f t="shared" si="8"/>
        <v>5.8383365542152003E-2</v>
      </c>
      <c r="S41" s="3"/>
      <c r="T41" s="6">
        <v>54136.800000000003</v>
      </c>
      <c r="U41" s="3"/>
      <c r="V41" s="7">
        <f t="shared" si="9"/>
        <v>0.1045295602123153</v>
      </c>
      <c r="W41" s="3"/>
      <c r="X41" s="6">
        <f t="shared" si="10"/>
        <v>-24157.960000000003</v>
      </c>
      <c r="Y41" s="3"/>
      <c r="Z41" s="7">
        <f t="shared" si="11"/>
        <v>-0.44623915709831391</v>
      </c>
    </row>
    <row r="42" spans="1:26" s="70" customFormat="1" ht="15" hidden="1" customHeight="1" outlineLevel="2" x14ac:dyDescent="0.3">
      <c r="A42" s="21"/>
      <c r="B42" s="9" t="str">
        <f>CONCATENATE("          ","6003"," - ","STAFF HOURLY-9 MONTH")</f>
        <v xml:space="preserve">          6003 - STAFF HOURLY-9 MONTH</v>
      </c>
      <c r="C42" s="9"/>
      <c r="D42" s="6"/>
      <c r="E42" s="3"/>
      <c r="F42" s="7">
        <f t="shared" si="4"/>
        <v>0</v>
      </c>
      <c r="G42" s="3"/>
      <c r="H42" s="6">
        <v>0</v>
      </c>
      <c r="I42" s="3"/>
      <c r="J42" s="7">
        <f t="shared" si="5"/>
        <v>0</v>
      </c>
      <c r="K42" s="3"/>
      <c r="L42" s="6">
        <f t="shared" si="6"/>
        <v>0</v>
      </c>
      <c r="M42" s="3"/>
      <c r="N42" s="7">
        <f t="shared" si="7"/>
        <v>0</v>
      </c>
      <c r="O42" s="9"/>
      <c r="P42" s="6"/>
      <c r="Q42" s="3"/>
      <c r="R42" s="7">
        <f t="shared" si="8"/>
        <v>0</v>
      </c>
      <c r="S42" s="3"/>
      <c r="T42" s="6">
        <v>0</v>
      </c>
      <c r="U42" s="3"/>
      <c r="V42" s="7">
        <f t="shared" si="9"/>
        <v>0</v>
      </c>
      <c r="W42" s="3"/>
      <c r="X42" s="6">
        <f t="shared" si="10"/>
        <v>0</v>
      </c>
      <c r="Y42" s="3"/>
      <c r="Z42" s="7">
        <f t="shared" si="11"/>
        <v>0</v>
      </c>
    </row>
    <row r="43" spans="1:26" s="70" customFormat="1" ht="15" hidden="1" customHeight="1" outlineLevel="2" x14ac:dyDescent="0.3">
      <c r="A43" s="21"/>
      <c r="B43" s="9" t="str">
        <f>CONCATENATE("          ","6004"," - ","STAFF HOURLY")</f>
        <v xml:space="preserve">          6004 - STAFF HOURLY</v>
      </c>
      <c r="C43" s="9"/>
      <c r="D43" s="6">
        <v>2824.37</v>
      </c>
      <c r="E43" s="3"/>
      <c r="F43" s="7">
        <f t="shared" si="4"/>
        <v>0.18199831686498705</v>
      </c>
      <c r="G43" s="3"/>
      <c r="H43" s="6">
        <v>3098.1315</v>
      </c>
      <c r="I43" s="3"/>
      <c r="J43" s="7">
        <f t="shared" si="5"/>
        <v>0.2378603838771593</v>
      </c>
      <c r="K43" s="3"/>
      <c r="L43" s="6">
        <f t="shared" si="6"/>
        <v>-273.76150000000007</v>
      </c>
      <c r="M43" s="3"/>
      <c r="N43" s="7">
        <f t="shared" si="7"/>
        <v>-8.8363421630101913E-2</v>
      </c>
      <c r="O43" s="9"/>
      <c r="P43" s="6">
        <v>31451.45</v>
      </c>
      <c r="Q43" s="3"/>
      <c r="R43" s="7">
        <f t="shared" si="8"/>
        <v>6.125125262287389E-2</v>
      </c>
      <c r="S43" s="3"/>
      <c r="T43" s="6">
        <v>36359.067750000002</v>
      </c>
      <c r="U43" s="3"/>
      <c r="V43" s="7">
        <f t="shared" si="9"/>
        <v>7.0203583544599532E-2</v>
      </c>
      <c r="W43" s="3"/>
      <c r="X43" s="6">
        <f t="shared" si="10"/>
        <v>-4907.6177500000013</v>
      </c>
      <c r="Y43" s="3"/>
      <c r="Z43" s="7">
        <f t="shared" si="11"/>
        <v>-0.13497644614389215</v>
      </c>
    </row>
    <row r="44" spans="1:26" s="70" customFormat="1" ht="15" hidden="1" customHeight="1" outlineLevel="2" x14ac:dyDescent="0.3">
      <c r="A44" s="21"/>
      <c r="B44" s="9" t="str">
        <f>CONCATENATE("          ","6005"," - ","TEMPORARY WAGES-HOURLY")</f>
        <v xml:space="preserve">          6005 - TEMPORARY WAGES-HOURLY</v>
      </c>
      <c r="C44" s="9"/>
      <c r="D44" s="6">
        <v>3377.82</v>
      </c>
      <c r="E44" s="3"/>
      <c r="F44" s="7">
        <f t="shared" si="4"/>
        <v>0.21766183420475738</v>
      </c>
      <c r="G44" s="3"/>
      <c r="H44" s="6">
        <v>0</v>
      </c>
      <c r="I44" s="3"/>
      <c r="J44" s="7">
        <f t="shared" si="5"/>
        <v>0</v>
      </c>
      <c r="K44" s="3"/>
      <c r="L44" s="6">
        <f t="shared" si="6"/>
        <v>3377.82</v>
      </c>
      <c r="M44" s="3"/>
      <c r="N44" s="7">
        <f t="shared" si="7"/>
        <v>0</v>
      </c>
      <c r="O44" s="9"/>
      <c r="P44" s="6">
        <v>32487.97</v>
      </c>
      <c r="Q44" s="3"/>
      <c r="R44" s="7">
        <f t="shared" si="8"/>
        <v>6.3269860616103499E-2</v>
      </c>
      <c r="S44" s="3"/>
      <c r="T44" s="6">
        <v>0</v>
      </c>
      <c r="U44" s="3"/>
      <c r="V44" s="7">
        <f t="shared" si="9"/>
        <v>0</v>
      </c>
      <c r="W44" s="3"/>
      <c r="X44" s="6">
        <f t="shared" si="10"/>
        <v>32487.97</v>
      </c>
      <c r="Y44" s="3"/>
      <c r="Z44" s="7">
        <f t="shared" si="11"/>
        <v>0</v>
      </c>
    </row>
    <row r="45" spans="1:26" s="70" customFormat="1" ht="15" hidden="1" customHeight="1" outlineLevel="2" x14ac:dyDescent="0.3">
      <c r="A45" s="21"/>
      <c r="B45" s="9" t="str">
        <f>CONCATENATE("          ","6006"," - ","TEMPORARY PART TIME")</f>
        <v xml:space="preserve">          6006 - TEMPORARY PART TIME</v>
      </c>
      <c r="C45" s="9"/>
      <c r="D45" s="6">
        <v>1152</v>
      </c>
      <c r="E45" s="3"/>
      <c r="F45" s="7">
        <f t="shared" si="4"/>
        <v>7.4233213434665102E-2</v>
      </c>
      <c r="G45" s="3"/>
      <c r="H45" s="6">
        <v>0</v>
      </c>
      <c r="I45" s="3"/>
      <c r="J45" s="7">
        <f t="shared" si="5"/>
        <v>0</v>
      </c>
      <c r="K45" s="3"/>
      <c r="L45" s="6">
        <f t="shared" si="6"/>
        <v>1152</v>
      </c>
      <c r="M45" s="3"/>
      <c r="N45" s="7">
        <f t="shared" si="7"/>
        <v>0</v>
      </c>
      <c r="O45" s="9"/>
      <c r="P45" s="6">
        <v>7943.04</v>
      </c>
      <c r="Q45" s="3"/>
      <c r="R45" s="7">
        <f t="shared" si="8"/>
        <v>1.5468957699361786E-2</v>
      </c>
      <c r="S45" s="3"/>
      <c r="T45" s="6">
        <v>0</v>
      </c>
      <c r="U45" s="3"/>
      <c r="V45" s="7">
        <f t="shared" si="9"/>
        <v>0</v>
      </c>
      <c r="W45" s="3"/>
      <c r="X45" s="6">
        <f t="shared" si="10"/>
        <v>7943.04</v>
      </c>
      <c r="Y45" s="3"/>
      <c r="Z45" s="7">
        <f t="shared" si="11"/>
        <v>0</v>
      </c>
    </row>
    <row r="46" spans="1:26" s="70" customFormat="1" ht="15" hidden="1" customHeight="1" outlineLevel="2" x14ac:dyDescent="0.3">
      <c r="A46" s="21"/>
      <c r="B46" s="9" t="str">
        <f>CONCATENATE("          ","6007"," - ","STUDENT HOURLY")</f>
        <v xml:space="preserve">          6007 - STUDENT HOURLY</v>
      </c>
      <c r="C46" s="9"/>
      <c r="D46" s="6">
        <v>481.65</v>
      </c>
      <c r="E46" s="3"/>
      <c r="F46" s="7">
        <f t="shared" si="4"/>
        <v>3.1036829210769487E-2</v>
      </c>
      <c r="G46" s="3"/>
      <c r="H46" s="6">
        <v>0</v>
      </c>
      <c r="I46" s="3"/>
      <c r="J46" s="7">
        <f t="shared" si="5"/>
        <v>0</v>
      </c>
      <c r="K46" s="3"/>
      <c r="L46" s="6">
        <f t="shared" si="6"/>
        <v>481.65</v>
      </c>
      <c r="M46" s="3"/>
      <c r="N46" s="7">
        <f t="shared" si="7"/>
        <v>0</v>
      </c>
      <c r="O46" s="9"/>
      <c r="P46" s="6">
        <v>55760.38</v>
      </c>
      <c r="Q46" s="3"/>
      <c r="R46" s="7">
        <f t="shared" si="8"/>
        <v>0.10859254888812582</v>
      </c>
      <c r="S46" s="3"/>
      <c r="T46" s="6">
        <v>0</v>
      </c>
      <c r="U46" s="3"/>
      <c r="V46" s="7">
        <f t="shared" si="9"/>
        <v>0</v>
      </c>
      <c r="W46" s="3"/>
      <c r="X46" s="6">
        <f t="shared" si="10"/>
        <v>55760.38</v>
      </c>
      <c r="Y46" s="3"/>
      <c r="Z46" s="7">
        <f t="shared" si="11"/>
        <v>0</v>
      </c>
    </row>
    <row r="47" spans="1:26" s="70" customFormat="1" ht="15" hidden="1" customHeight="1" outlineLevel="2" x14ac:dyDescent="0.3">
      <c r="A47" s="21"/>
      <c r="B47" s="9" t="str">
        <f>CONCATENATE("          ","6008"," - ","STUDENT HOURLY-FICA EXEMPT")</f>
        <v xml:space="preserve">          6008 - STUDENT HOURLY-FICA EXEMPT</v>
      </c>
      <c r="C47" s="9"/>
      <c r="D47" s="6">
        <v>243</v>
      </c>
      <c r="E47" s="3"/>
      <c r="F47" s="7">
        <f t="shared" si="4"/>
        <v>1.5658568458874672E-2</v>
      </c>
      <c r="G47" s="3"/>
      <c r="H47" s="6">
        <v>4257.4657999999999</v>
      </c>
      <c r="I47" s="3"/>
      <c r="J47" s="7">
        <f t="shared" si="5"/>
        <v>0.32686877543186182</v>
      </c>
      <c r="K47" s="3"/>
      <c r="L47" s="6">
        <f t="shared" si="6"/>
        <v>-4014.4657999999999</v>
      </c>
      <c r="M47" s="3"/>
      <c r="N47" s="7">
        <f t="shared" si="7"/>
        <v>-0.94292379283469518</v>
      </c>
      <c r="O47" s="9"/>
      <c r="P47" s="6">
        <v>9291.56</v>
      </c>
      <c r="Q47" s="3"/>
      <c r="R47" s="7">
        <f t="shared" si="8"/>
        <v>1.809518126574737E-2</v>
      </c>
      <c r="S47" s="3"/>
      <c r="T47" s="6">
        <v>87031.232399999994</v>
      </c>
      <c r="U47" s="3"/>
      <c r="V47" s="7">
        <f t="shared" si="9"/>
        <v>0.16804348331463634</v>
      </c>
      <c r="W47" s="3"/>
      <c r="X47" s="6">
        <f t="shared" si="10"/>
        <v>-77739.672399999996</v>
      </c>
      <c r="Y47" s="3"/>
      <c r="Z47" s="7">
        <f t="shared" si="11"/>
        <v>-0.89323878630954556</v>
      </c>
    </row>
    <row r="48" spans="1:26" s="70" customFormat="1" ht="15" hidden="1" customHeight="1" outlineLevel="2" x14ac:dyDescent="0.3">
      <c r="A48" s="21"/>
      <c r="B48" s="9" t="str">
        <f>CONCATENATE("          ","6009"," - ","TEMPORARY-SEASONAL")</f>
        <v xml:space="preserve">          6009 - TEMPORARY-SEASONAL</v>
      </c>
      <c r="C48" s="9"/>
      <c r="D48" s="6"/>
      <c r="E48" s="3"/>
      <c r="F48" s="7">
        <f t="shared" si="4"/>
        <v>0</v>
      </c>
      <c r="G48" s="3"/>
      <c r="H48" s="6">
        <v>0</v>
      </c>
      <c r="I48" s="3"/>
      <c r="J48" s="7">
        <f t="shared" si="5"/>
        <v>0</v>
      </c>
      <c r="K48" s="3"/>
      <c r="L48" s="6">
        <f t="shared" si="6"/>
        <v>0</v>
      </c>
      <c r="M48" s="3"/>
      <c r="N48" s="7">
        <f t="shared" si="7"/>
        <v>0</v>
      </c>
      <c r="O48" s="9"/>
      <c r="P48" s="6"/>
      <c r="Q48" s="3"/>
      <c r="R48" s="7">
        <f t="shared" si="8"/>
        <v>0</v>
      </c>
      <c r="S48" s="3"/>
      <c r="T48" s="6">
        <v>0</v>
      </c>
      <c r="U48" s="3"/>
      <c r="V48" s="7">
        <f t="shared" si="9"/>
        <v>0</v>
      </c>
      <c r="W48" s="3"/>
      <c r="X48" s="6">
        <f t="shared" si="10"/>
        <v>0</v>
      </c>
      <c r="Y48" s="3"/>
      <c r="Z48" s="7">
        <f t="shared" si="11"/>
        <v>0</v>
      </c>
    </row>
    <row r="49" spans="1:26" s="70" customFormat="1" ht="15" hidden="1" customHeight="1" outlineLevel="2" x14ac:dyDescent="0.3">
      <c r="A49" s="21"/>
      <c r="B49" s="9" t="str">
        <f>CONCATENATE("          ","6010"," - ","GRATUITY")</f>
        <v xml:space="preserve">          6010 - GRATUITY</v>
      </c>
      <c r="C49" s="9"/>
      <c r="D49" s="6"/>
      <c r="E49" s="3"/>
      <c r="F49" s="7">
        <f t="shared" si="4"/>
        <v>0</v>
      </c>
      <c r="G49" s="3"/>
      <c r="H49" s="6">
        <v>0</v>
      </c>
      <c r="I49" s="3"/>
      <c r="J49" s="7">
        <f t="shared" si="5"/>
        <v>0</v>
      </c>
      <c r="K49" s="3"/>
      <c r="L49" s="6">
        <f t="shared" si="6"/>
        <v>0</v>
      </c>
      <c r="M49" s="3"/>
      <c r="N49" s="7">
        <f t="shared" si="7"/>
        <v>0</v>
      </c>
      <c r="O49" s="9"/>
      <c r="P49" s="6"/>
      <c r="Q49" s="3"/>
      <c r="R49" s="7">
        <f t="shared" si="8"/>
        <v>0</v>
      </c>
      <c r="S49" s="3"/>
      <c r="T49" s="6">
        <v>0</v>
      </c>
      <c r="U49" s="3"/>
      <c r="V49" s="7">
        <f t="shared" si="9"/>
        <v>0</v>
      </c>
      <c r="W49" s="3"/>
      <c r="X49" s="6">
        <f t="shared" si="10"/>
        <v>0</v>
      </c>
      <c r="Y49" s="3"/>
      <c r="Z49" s="7">
        <f t="shared" si="11"/>
        <v>0</v>
      </c>
    </row>
    <row r="50" spans="1:26" s="69" customFormat="1" ht="15" customHeight="1" outlineLevel="1" collapsed="1" x14ac:dyDescent="0.3">
      <c r="A50" s="20"/>
      <c r="B50" s="11" t="str">
        <f>CONCATENATE("     ","Advertising/Promo                                 ")</f>
        <v xml:space="preserve">     Advertising/Promo                                 </v>
      </c>
      <c r="C50" s="11"/>
      <c r="D50" s="2">
        <f>SUM(OSRRefD22_2x_0)</f>
        <v>0</v>
      </c>
      <c r="E50" s="2"/>
      <c r="F50" s="5">
        <f t="shared" si="4"/>
        <v>0</v>
      </c>
      <c r="G50" s="2"/>
      <c r="H50" s="2">
        <f>SUM(OSRRefH22_2x_0)</f>
        <v>0</v>
      </c>
      <c r="I50" s="2"/>
      <c r="J50" s="5">
        <f t="shared" si="5"/>
        <v>0</v>
      </c>
      <c r="K50" s="2"/>
      <c r="L50" s="2">
        <f t="shared" si="6"/>
        <v>0</v>
      </c>
      <c r="M50" s="2"/>
      <c r="N50" s="5">
        <f t="shared" si="7"/>
        <v>0</v>
      </c>
      <c r="O50" s="11"/>
      <c r="P50" s="2">
        <f>SUM(OSRRefP22_2x_0)</f>
        <v>625.16999999999996</v>
      </c>
      <c r="Q50" s="2"/>
      <c r="R50" s="5">
        <f t="shared" si="8"/>
        <v>1.2175097047112953E-3</v>
      </c>
      <c r="S50" s="2"/>
      <c r="T50" s="2">
        <f>SUM(OSRRefT22_2x_0)</f>
        <v>0</v>
      </c>
      <c r="U50" s="2"/>
      <c r="V50" s="5">
        <f t="shared" si="9"/>
        <v>0</v>
      </c>
      <c r="W50" s="2"/>
      <c r="X50" s="2">
        <f t="shared" si="10"/>
        <v>625.16999999999996</v>
      </c>
      <c r="Y50" s="2"/>
      <c r="Z50" s="5">
        <f t="shared" si="11"/>
        <v>0</v>
      </c>
    </row>
    <row r="51" spans="1:26" s="70" customFormat="1" ht="15" hidden="1" customHeight="1" outlineLevel="2" x14ac:dyDescent="0.3">
      <c r="A51" s="21"/>
      <c r="B51" s="9" t="str">
        <f>CONCATENATE("          ","6362"," - ","ADVERTISING EXPENSE")</f>
        <v xml:space="preserve">          6362 - ADVERTISING EXPENSE</v>
      </c>
      <c r="C51" s="9"/>
      <c r="D51" s="6"/>
      <c r="E51" s="3"/>
      <c r="F51" s="7">
        <f t="shared" si="4"/>
        <v>0</v>
      </c>
      <c r="G51" s="3"/>
      <c r="H51" s="6"/>
      <c r="I51" s="3"/>
      <c r="J51" s="7">
        <f t="shared" si="5"/>
        <v>0</v>
      </c>
      <c r="K51" s="3"/>
      <c r="L51" s="6">
        <f t="shared" si="6"/>
        <v>0</v>
      </c>
      <c r="M51" s="3"/>
      <c r="N51" s="7">
        <f t="shared" si="7"/>
        <v>0</v>
      </c>
      <c r="O51" s="9"/>
      <c r="P51" s="6">
        <v>625.16999999999996</v>
      </c>
      <c r="Q51" s="3"/>
      <c r="R51" s="7">
        <f t="shared" si="8"/>
        <v>1.2175097047112953E-3</v>
      </c>
      <c r="S51" s="3"/>
      <c r="T51" s="6">
        <v>0</v>
      </c>
      <c r="U51" s="3"/>
      <c r="V51" s="7">
        <f t="shared" si="9"/>
        <v>0</v>
      </c>
      <c r="W51" s="3"/>
      <c r="X51" s="6">
        <f t="shared" si="10"/>
        <v>625.16999999999996</v>
      </c>
      <c r="Y51" s="3"/>
      <c r="Z51" s="7">
        <f t="shared" si="11"/>
        <v>0</v>
      </c>
    </row>
    <row r="52" spans="1:26" s="69" customFormat="1" ht="15" customHeight="1" outlineLevel="1" collapsed="1" x14ac:dyDescent="0.3">
      <c r="A52" s="20"/>
      <c r="B52" s="11" t="str">
        <f>CONCATENATE("     ","Bad Debts/Over/Short                              ")</f>
        <v xml:space="preserve">     Bad Debts/Over/Short                              </v>
      </c>
      <c r="C52" s="11"/>
      <c r="D52" s="2">
        <f>SUM(OSRRefD22_3x_0)</f>
        <v>-99.06</v>
      </c>
      <c r="E52" s="2"/>
      <c r="F52" s="5">
        <f t="shared" si="4"/>
        <v>-6.3832830927412548E-3</v>
      </c>
      <c r="G52" s="2"/>
      <c r="H52" s="2">
        <f>SUM(OSRRefH22_3x_0)</f>
        <v>0</v>
      </c>
      <c r="I52" s="2"/>
      <c r="J52" s="5">
        <f t="shared" si="5"/>
        <v>0</v>
      </c>
      <c r="K52" s="2"/>
      <c r="L52" s="2">
        <f t="shared" si="6"/>
        <v>-99.06</v>
      </c>
      <c r="M52" s="2"/>
      <c r="N52" s="5">
        <f t="shared" si="7"/>
        <v>0</v>
      </c>
      <c r="O52" s="11"/>
      <c r="P52" s="2">
        <f>SUM(OSRRefP22_3x_0)</f>
        <v>-124.42</v>
      </c>
      <c r="Q52" s="2"/>
      <c r="R52" s="5">
        <f t="shared" si="8"/>
        <v>-2.4230618465406108E-4</v>
      </c>
      <c r="S52" s="2"/>
      <c r="T52" s="2">
        <f>SUM(OSRRefT22_3x_0)</f>
        <v>0</v>
      </c>
      <c r="U52" s="2"/>
      <c r="V52" s="5">
        <f t="shared" si="9"/>
        <v>0</v>
      </c>
      <c r="W52" s="2"/>
      <c r="X52" s="2">
        <f t="shared" si="10"/>
        <v>-124.42</v>
      </c>
      <c r="Y52" s="2"/>
      <c r="Z52" s="5">
        <f t="shared" si="11"/>
        <v>0</v>
      </c>
    </row>
    <row r="53" spans="1:26" s="70" customFormat="1" ht="15" hidden="1" customHeight="1" outlineLevel="2" x14ac:dyDescent="0.3">
      <c r="A53" s="21"/>
      <c r="B53" s="9" t="str">
        <f>CONCATENATE("          ","6272"," - ","CASH (OVER/SHORT)")</f>
        <v xml:space="preserve">          6272 - CASH (OVER/SHORT)</v>
      </c>
      <c r="C53" s="9"/>
      <c r="D53" s="6">
        <v>-99.06</v>
      </c>
      <c r="E53" s="3"/>
      <c r="F53" s="7">
        <f t="shared" si="4"/>
        <v>-6.3832830927412548E-3</v>
      </c>
      <c r="G53" s="3"/>
      <c r="H53" s="6"/>
      <c r="I53" s="3"/>
      <c r="J53" s="7">
        <f t="shared" si="5"/>
        <v>0</v>
      </c>
      <c r="K53" s="3"/>
      <c r="L53" s="6">
        <f t="shared" si="6"/>
        <v>-99.06</v>
      </c>
      <c r="M53" s="3"/>
      <c r="N53" s="7">
        <f t="shared" si="7"/>
        <v>0</v>
      </c>
      <c r="O53" s="9"/>
      <c r="P53" s="6">
        <v>-124.42</v>
      </c>
      <c r="Q53" s="3"/>
      <c r="R53" s="7">
        <f t="shared" si="8"/>
        <v>-2.4230618465406108E-4</v>
      </c>
      <c r="S53" s="3"/>
      <c r="T53" s="6">
        <v>0</v>
      </c>
      <c r="U53" s="3"/>
      <c r="V53" s="7">
        <f t="shared" si="9"/>
        <v>0</v>
      </c>
      <c r="W53" s="3"/>
      <c r="X53" s="6">
        <f t="shared" si="10"/>
        <v>-124.42</v>
      </c>
      <c r="Y53" s="3"/>
      <c r="Z53" s="7">
        <f t="shared" si="11"/>
        <v>0</v>
      </c>
    </row>
    <row r="54" spans="1:26" s="69" customFormat="1" ht="15" customHeight="1" outlineLevel="1" collapsed="1" x14ac:dyDescent="0.3">
      <c r="A54" s="20"/>
      <c r="B54" s="11" t="str">
        <f>CONCATENATE("     ","Bank/card Fees                                    ")</f>
        <v xml:space="preserve">     Bank/card Fees                                    </v>
      </c>
      <c r="C54" s="11"/>
      <c r="D54" s="2">
        <f>SUM(OSRRefD22_4x_0)</f>
        <v>614.46</v>
      </c>
      <c r="E54" s="2"/>
      <c r="F54" s="5">
        <f t="shared" si="4"/>
        <v>3.9594913478354449E-2</v>
      </c>
      <c r="G54" s="2"/>
      <c r="H54" s="2">
        <f>SUM(OSRRefH22_4x_0)</f>
        <v>681.5</v>
      </c>
      <c r="I54" s="2"/>
      <c r="J54" s="5">
        <f t="shared" si="5"/>
        <v>5.2322456813819578E-2</v>
      </c>
      <c r="K54" s="2"/>
      <c r="L54" s="2">
        <f t="shared" si="6"/>
        <v>-67.039999999999964</v>
      </c>
      <c r="M54" s="2"/>
      <c r="N54" s="5">
        <f t="shared" si="7"/>
        <v>-9.8371239911958855E-2</v>
      </c>
      <c r="O54" s="11"/>
      <c r="P54" s="2">
        <f>SUM(OSRRefP22_4x_0)</f>
        <v>22487.07</v>
      </c>
      <c r="Q54" s="2"/>
      <c r="R54" s="5">
        <f t="shared" si="8"/>
        <v>4.3793249764899511E-2</v>
      </c>
      <c r="S54" s="2"/>
      <c r="T54" s="2">
        <f>SUM(OSRRefT22_4x_0)</f>
        <v>24459.25</v>
      </c>
      <c r="U54" s="2"/>
      <c r="V54" s="5">
        <f t="shared" si="9"/>
        <v>4.7226925965758462E-2</v>
      </c>
      <c r="W54" s="2"/>
      <c r="X54" s="2">
        <f t="shared" si="10"/>
        <v>-1972.1800000000003</v>
      </c>
      <c r="Y54" s="2"/>
      <c r="Z54" s="5">
        <f t="shared" si="11"/>
        <v>-8.0631254024551055E-2</v>
      </c>
    </row>
    <row r="55" spans="1:26" s="70" customFormat="1" ht="15" hidden="1" customHeight="1" outlineLevel="2" x14ac:dyDescent="0.3">
      <c r="A55" s="21"/>
      <c r="B55" s="9" t="str">
        <f>CONCATENATE("          ","6381"," - ","BANK/CREDIT CARD FEES")</f>
        <v xml:space="preserve">          6381 - BANK/CREDIT CARD FEES</v>
      </c>
      <c r="C55" s="9"/>
      <c r="D55" s="6">
        <v>614.46</v>
      </c>
      <c r="E55" s="3"/>
      <c r="F55" s="7">
        <f t="shared" si="4"/>
        <v>3.9594913478354449E-2</v>
      </c>
      <c r="G55" s="3"/>
      <c r="H55" s="6">
        <v>681.5</v>
      </c>
      <c r="I55" s="3"/>
      <c r="J55" s="7">
        <f t="shared" si="5"/>
        <v>5.2322456813819578E-2</v>
      </c>
      <c r="K55" s="3"/>
      <c r="L55" s="6">
        <f t="shared" si="6"/>
        <v>-67.039999999999964</v>
      </c>
      <c r="M55" s="3"/>
      <c r="N55" s="7">
        <f t="shared" si="7"/>
        <v>-9.8371239911958855E-2</v>
      </c>
      <c r="O55" s="9"/>
      <c r="P55" s="6">
        <v>22487.07</v>
      </c>
      <c r="Q55" s="3"/>
      <c r="R55" s="7">
        <f t="shared" si="8"/>
        <v>4.3793249764899511E-2</v>
      </c>
      <c r="S55" s="3"/>
      <c r="T55" s="6">
        <v>24459.25</v>
      </c>
      <c r="U55" s="3"/>
      <c r="V55" s="7">
        <f t="shared" si="9"/>
        <v>4.7226925965758462E-2</v>
      </c>
      <c r="W55" s="3"/>
      <c r="X55" s="6">
        <f t="shared" si="10"/>
        <v>-1972.1800000000003</v>
      </c>
      <c r="Y55" s="3"/>
      <c r="Z55" s="7">
        <f t="shared" si="11"/>
        <v>-8.0631254024551055E-2</v>
      </c>
    </row>
    <row r="56" spans="1:26" s="69" customFormat="1" ht="15" customHeight="1" outlineLevel="1" collapsed="1" x14ac:dyDescent="0.3">
      <c r="A56" s="20"/>
      <c r="B56" s="11" t="str">
        <f>CONCATENATE("     ","Depreciation                                      ")</f>
        <v xml:space="preserve">     Depreciation                                      </v>
      </c>
      <c r="C56" s="11"/>
      <c r="D56" s="2">
        <f>SUM(OSRRefD22_5x_0)</f>
        <v>6166.5999999999995</v>
      </c>
      <c r="E56" s="2"/>
      <c r="F56" s="5">
        <f t="shared" si="4"/>
        <v>0.39736678295677585</v>
      </c>
      <c r="G56" s="2"/>
      <c r="H56" s="2">
        <f>SUM(OSRRefH22_5x_0)</f>
        <v>6166</v>
      </c>
      <c r="I56" s="2"/>
      <c r="J56" s="5">
        <f t="shared" si="5"/>
        <v>0.47339731285988484</v>
      </c>
      <c r="K56" s="2"/>
      <c r="L56" s="2">
        <f t="shared" si="6"/>
        <v>0.5999999999994543</v>
      </c>
      <c r="M56" s="2"/>
      <c r="N56" s="5">
        <f t="shared" si="7"/>
        <v>9.730781706121542E-5</v>
      </c>
      <c r="O56" s="11"/>
      <c r="P56" s="2">
        <f>SUM(OSRRefP22_5x_0)</f>
        <v>78171.17</v>
      </c>
      <c r="Q56" s="2"/>
      <c r="R56" s="5">
        <f t="shared" si="8"/>
        <v>0.15223724443533193</v>
      </c>
      <c r="S56" s="2"/>
      <c r="T56" s="2">
        <f>SUM(OSRRefT22_5x_0)</f>
        <v>78160</v>
      </c>
      <c r="U56" s="2"/>
      <c r="V56" s="5">
        <f t="shared" si="9"/>
        <v>0.15091454290232453</v>
      </c>
      <c r="W56" s="2"/>
      <c r="X56" s="2">
        <f t="shared" si="10"/>
        <v>11.169999999998254</v>
      </c>
      <c r="Y56" s="2"/>
      <c r="Z56" s="5">
        <f t="shared" si="11"/>
        <v>1.4291197543498277E-4</v>
      </c>
    </row>
    <row r="57" spans="1:26" s="70" customFormat="1" ht="15" hidden="1" customHeight="1" outlineLevel="2" x14ac:dyDescent="0.3">
      <c r="A57" s="21"/>
      <c r="B57" s="9" t="str">
        <f>CONCATENATE("          ","6321"," - ","BUILDING DEPRECIATION")</f>
        <v xml:space="preserve">          6321 - BUILDING DEPRECIATION</v>
      </c>
      <c r="C57" s="9"/>
      <c r="D57" s="6">
        <v>5080.4799999999996</v>
      </c>
      <c r="E57" s="3"/>
      <c r="F57" s="7">
        <f t="shared" si="4"/>
        <v>0.32737878141540566</v>
      </c>
      <c r="G57" s="3"/>
      <c r="H57" s="6"/>
      <c r="I57" s="3"/>
      <c r="J57" s="7">
        <f t="shared" si="5"/>
        <v>0</v>
      </c>
      <c r="K57" s="3"/>
      <c r="L57" s="6">
        <f t="shared" si="6"/>
        <v>5080.4799999999996</v>
      </c>
      <c r="M57" s="3"/>
      <c r="N57" s="7">
        <f t="shared" si="7"/>
        <v>0</v>
      </c>
      <c r="O57" s="9"/>
      <c r="P57" s="6">
        <v>60966.09</v>
      </c>
      <c r="Q57" s="3"/>
      <c r="R57" s="7">
        <f t="shared" si="8"/>
        <v>0.11873059525137523</v>
      </c>
      <c r="S57" s="3"/>
      <c r="T57" s="6"/>
      <c r="U57" s="3"/>
      <c r="V57" s="7">
        <f t="shared" si="9"/>
        <v>0</v>
      </c>
      <c r="W57" s="3"/>
      <c r="X57" s="6">
        <f t="shared" si="10"/>
        <v>60966.09</v>
      </c>
      <c r="Y57" s="3"/>
      <c r="Z57" s="7">
        <f t="shared" si="11"/>
        <v>0</v>
      </c>
    </row>
    <row r="58" spans="1:26" s="70" customFormat="1" ht="15" hidden="1" customHeight="1" outlineLevel="2" x14ac:dyDescent="0.3">
      <c r="A58" s="21"/>
      <c r="B58" s="9" t="str">
        <f>CONCATENATE("          ","6322"," - ","EQUIPMENT DEPRECIATION EXPENSE")</f>
        <v xml:space="preserve">          6322 - EQUIPMENT DEPRECIATION EXPENSE</v>
      </c>
      <c r="C58" s="9"/>
      <c r="D58" s="6">
        <v>1086.1199999999999</v>
      </c>
      <c r="E58" s="3"/>
      <c r="F58" s="7">
        <f t="shared" si="4"/>
        <v>6.9988001541370193E-2</v>
      </c>
      <c r="G58" s="3"/>
      <c r="H58" s="6">
        <v>6166</v>
      </c>
      <c r="I58" s="3"/>
      <c r="J58" s="7">
        <f t="shared" si="5"/>
        <v>0.47339731285988484</v>
      </c>
      <c r="K58" s="3"/>
      <c r="L58" s="6">
        <f t="shared" si="6"/>
        <v>-5079.88</v>
      </c>
      <c r="M58" s="3"/>
      <c r="N58" s="7">
        <f t="shared" si="7"/>
        <v>-0.8238533895556277</v>
      </c>
      <c r="O58" s="9"/>
      <c r="P58" s="6">
        <v>17205.080000000002</v>
      </c>
      <c r="Q58" s="3"/>
      <c r="R58" s="7">
        <f t="shared" si="8"/>
        <v>3.350664918395671E-2</v>
      </c>
      <c r="S58" s="3"/>
      <c r="T58" s="6">
        <v>78160</v>
      </c>
      <c r="U58" s="3"/>
      <c r="V58" s="7">
        <f t="shared" si="9"/>
        <v>0.15091454290232453</v>
      </c>
      <c r="W58" s="3"/>
      <c r="X58" s="6">
        <f t="shared" si="10"/>
        <v>-60954.92</v>
      </c>
      <c r="Y58" s="3"/>
      <c r="Z58" s="7">
        <f t="shared" si="11"/>
        <v>-0.77987359263050149</v>
      </c>
    </row>
    <row r="59" spans="1:26" s="69" customFormat="1" ht="15" customHeight="1" outlineLevel="1" collapsed="1" x14ac:dyDescent="0.3">
      <c r="A59" s="20"/>
      <c r="B59" s="11" t="str">
        <f>CONCATENATE("     ","Employees' Appreciation                           ")</f>
        <v xml:space="preserve">     Employees' Appreciation                           </v>
      </c>
      <c r="C59" s="11"/>
      <c r="D59" s="2">
        <f>SUM(OSRRefD22_6x_0)</f>
        <v>0</v>
      </c>
      <c r="E59" s="2"/>
      <c r="F59" s="5">
        <f t="shared" ref="F59:F93" si="12">IF(D$12=0,0,D59/D$12)</f>
        <v>0</v>
      </c>
      <c r="G59" s="2"/>
      <c r="H59" s="2">
        <f>SUM(OSRRefH22_6x_0)</f>
        <v>0</v>
      </c>
      <c r="I59" s="2"/>
      <c r="J59" s="5">
        <f t="shared" ref="J59:J93" si="13">IF(H$12=0,0,H59/H$12)</f>
        <v>0</v>
      </c>
      <c r="K59" s="2"/>
      <c r="L59" s="2">
        <f t="shared" ref="L59:L93" si="14">+D59-H59</f>
        <v>0</v>
      </c>
      <c r="M59" s="2"/>
      <c r="N59" s="5">
        <f t="shared" ref="N59:N93" si="15">IF(H59=0,0,L59/H59)</f>
        <v>0</v>
      </c>
      <c r="O59" s="11"/>
      <c r="P59" s="2">
        <f>SUM(OSRRefP22_6x_0)</f>
        <v>16.2</v>
      </c>
      <c r="Q59" s="2"/>
      <c r="R59" s="5">
        <f t="shared" ref="R59:R93" si="16">IF(P$12=0,0,P59/P$12)</f>
        <v>3.1549270144637433E-5</v>
      </c>
      <c r="S59" s="2"/>
      <c r="T59" s="2">
        <f>SUM(OSRRefT22_6x_0)</f>
        <v>100</v>
      </c>
      <c r="U59" s="2"/>
      <c r="V59" s="5">
        <f t="shared" ref="V59:V93" si="17">IF(T$12=0,0,T59/T$12)</f>
        <v>1.9308411323224736E-4</v>
      </c>
      <c r="W59" s="2"/>
      <c r="X59" s="2">
        <f t="shared" ref="X59:X93" si="18">+P59-T59</f>
        <v>-83.8</v>
      </c>
      <c r="Y59" s="2"/>
      <c r="Z59" s="5">
        <f t="shared" ref="Z59:Z93" si="19">IF(T59=0,0,X59/T59)</f>
        <v>-0.83799999999999997</v>
      </c>
    </row>
    <row r="60" spans="1:26" s="70" customFormat="1" ht="15" hidden="1" customHeight="1" outlineLevel="2" x14ac:dyDescent="0.3">
      <c r="A60" s="21"/>
      <c r="B60" s="9" t="str">
        <f>CONCATENATE("          ","6277"," - ","EMPLOYEE APPRECIATION")</f>
        <v xml:space="preserve">          6277 - EMPLOYEE APPRECIATION</v>
      </c>
      <c r="C60" s="9"/>
      <c r="D60" s="6"/>
      <c r="E60" s="3"/>
      <c r="F60" s="7">
        <f t="shared" si="12"/>
        <v>0</v>
      </c>
      <c r="G60" s="3"/>
      <c r="H60" s="6"/>
      <c r="I60" s="3"/>
      <c r="J60" s="7">
        <f t="shared" si="13"/>
        <v>0</v>
      </c>
      <c r="K60" s="3"/>
      <c r="L60" s="6">
        <f t="shared" si="14"/>
        <v>0</v>
      </c>
      <c r="M60" s="3"/>
      <c r="N60" s="7">
        <f t="shared" si="15"/>
        <v>0</v>
      </c>
      <c r="O60" s="9"/>
      <c r="P60" s="6">
        <v>16.2</v>
      </c>
      <c r="Q60" s="3"/>
      <c r="R60" s="7">
        <f t="shared" si="16"/>
        <v>3.1549270144637433E-5</v>
      </c>
      <c r="S60" s="3"/>
      <c r="T60" s="6">
        <v>100</v>
      </c>
      <c r="U60" s="3"/>
      <c r="V60" s="7">
        <f t="shared" si="17"/>
        <v>1.9308411323224736E-4</v>
      </c>
      <c r="W60" s="3"/>
      <c r="X60" s="6">
        <f t="shared" si="18"/>
        <v>-83.8</v>
      </c>
      <c r="Y60" s="3"/>
      <c r="Z60" s="7">
        <f t="shared" si="19"/>
        <v>-0.83799999999999997</v>
      </c>
    </row>
    <row r="61" spans="1:26" s="69" customFormat="1" ht="15" customHeight="1" outlineLevel="1" collapsed="1" x14ac:dyDescent="0.3">
      <c r="A61" s="20"/>
      <c r="B61" s="11" t="str">
        <f>CONCATENATE("     ","Equipment Rental                                  ")</f>
        <v xml:space="preserve">     Equipment Rental                                  </v>
      </c>
      <c r="C61" s="11"/>
      <c r="D61" s="2">
        <f>SUM(OSRRefD22_7x_0)</f>
        <v>0</v>
      </c>
      <c r="E61" s="2"/>
      <c r="F61" s="5">
        <f t="shared" si="12"/>
        <v>0</v>
      </c>
      <c r="G61" s="2"/>
      <c r="H61" s="2">
        <f>SUM(OSRRefH22_7x_0)</f>
        <v>176</v>
      </c>
      <c r="I61" s="2"/>
      <c r="J61" s="5">
        <f t="shared" si="13"/>
        <v>1.3512476007677543E-2</v>
      </c>
      <c r="K61" s="2"/>
      <c r="L61" s="2">
        <f t="shared" si="14"/>
        <v>-176</v>
      </c>
      <c r="M61" s="2"/>
      <c r="N61" s="5">
        <f t="shared" si="15"/>
        <v>-1</v>
      </c>
      <c r="O61" s="11"/>
      <c r="P61" s="2">
        <f>SUM(OSRRefP22_7x_0)</f>
        <v>30</v>
      </c>
      <c r="Q61" s="2"/>
      <c r="R61" s="5">
        <f t="shared" si="16"/>
        <v>5.8424574341921172E-5</v>
      </c>
      <c r="S61" s="2"/>
      <c r="T61" s="2">
        <f>SUM(OSRRefT22_7x_0)</f>
        <v>2112</v>
      </c>
      <c r="U61" s="2"/>
      <c r="V61" s="5">
        <f t="shared" si="17"/>
        <v>4.0779364714650639E-3</v>
      </c>
      <c r="W61" s="2"/>
      <c r="X61" s="2">
        <f t="shared" si="18"/>
        <v>-2082</v>
      </c>
      <c r="Y61" s="2"/>
      <c r="Z61" s="5">
        <f t="shared" si="19"/>
        <v>-0.98579545454545459</v>
      </c>
    </row>
    <row r="62" spans="1:26" s="70" customFormat="1" ht="15" hidden="1" customHeight="1" outlineLevel="2" x14ac:dyDescent="0.3">
      <c r="A62" s="21"/>
      <c r="B62" s="9" t="str">
        <f>CONCATENATE("          ","6351"," - ","EQUIPMENT RENTAL")</f>
        <v xml:space="preserve">          6351 - EQUIPMENT RENTAL</v>
      </c>
      <c r="C62" s="9"/>
      <c r="D62" s="6"/>
      <c r="E62" s="3"/>
      <c r="F62" s="7">
        <f t="shared" si="12"/>
        <v>0</v>
      </c>
      <c r="G62" s="3"/>
      <c r="H62" s="6">
        <v>176</v>
      </c>
      <c r="I62" s="3"/>
      <c r="J62" s="7">
        <f t="shared" si="13"/>
        <v>1.3512476007677543E-2</v>
      </c>
      <c r="K62" s="3"/>
      <c r="L62" s="6">
        <f t="shared" si="14"/>
        <v>-176</v>
      </c>
      <c r="M62" s="3"/>
      <c r="N62" s="7">
        <f t="shared" si="15"/>
        <v>-1</v>
      </c>
      <c r="O62" s="9"/>
      <c r="P62" s="6">
        <v>30</v>
      </c>
      <c r="Q62" s="3"/>
      <c r="R62" s="7">
        <f t="shared" si="16"/>
        <v>5.8424574341921172E-5</v>
      </c>
      <c r="S62" s="3"/>
      <c r="T62" s="6">
        <v>2112</v>
      </c>
      <c r="U62" s="3"/>
      <c r="V62" s="7">
        <f t="shared" si="17"/>
        <v>4.0779364714650639E-3</v>
      </c>
      <c r="W62" s="3"/>
      <c r="X62" s="6">
        <f t="shared" si="18"/>
        <v>-2082</v>
      </c>
      <c r="Y62" s="3"/>
      <c r="Z62" s="7">
        <f t="shared" si="19"/>
        <v>-0.98579545454545459</v>
      </c>
    </row>
    <row r="63" spans="1:26" s="69" customFormat="1" ht="15" customHeight="1" outlineLevel="1" collapsed="1" x14ac:dyDescent="0.3">
      <c r="A63" s="20"/>
      <c r="B63" s="11" t="str">
        <f>CONCATENATE("     ","General                                           ")</f>
        <v xml:space="preserve">     General                                           </v>
      </c>
      <c r="C63" s="11"/>
      <c r="D63" s="2">
        <f>SUM(OSRRefD22_8x_0)</f>
        <v>0</v>
      </c>
      <c r="E63" s="2"/>
      <c r="F63" s="5">
        <f t="shared" si="12"/>
        <v>0</v>
      </c>
      <c r="G63" s="2"/>
      <c r="H63" s="2">
        <f>SUM(OSRRefH22_8x_0)</f>
        <v>0</v>
      </c>
      <c r="I63" s="2"/>
      <c r="J63" s="5">
        <f t="shared" si="13"/>
        <v>0</v>
      </c>
      <c r="K63" s="2"/>
      <c r="L63" s="2">
        <f t="shared" si="14"/>
        <v>0</v>
      </c>
      <c r="M63" s="2"/>
      <c r="N63" s="5">
        <f t="shared" si="15"/>
        <v>0</v>
      </c>
      <c r="O63" s="11"/>
      <c r="P63" s="2">
        <f>SUM(OSRRefP22_8x_0)</f>
        <v>4018.7</v>
      </c>
      <c r="Q63" s="2"/>
      <c r="R63" s="5">
        <f t="shared" si="16"/>
        <v>7.8263612302626202E-3</v>
      </c>
      <c r="S63" s="2"/>
      <c r="T63" s="2">
        <f>SUM(OSRRefT22_8x_0)</f>
        <v>1210</v>
      </c>
      <c r="U63" s="2"/>
      <c r="V63" s="5">
        <f t="shared" si="17"/>
        <v>2.3363177701101931E-3</v>
      </c>
      <c r="W63" s="2"/>
      <c r="X63" s="2">
        <f t="shared" si="18"/>
        <v>2808.7</v>
      </c>
      <c r="Y63" s="2"/>
      <c r="Z63" s="5">
        <f t="shared" si="19"/>
        <v>2.3212396694214874</v>
      </c>
    </row>
    <row r="64" spans="1:26" s="70" customFormat="1" ht="15" hidden="1" customHeight="1" outlineLevel="2" x14ac:dyDescent="0.3">
      <c r="A64" s="21"/>
      <c r="B64" s="9" t="str">
        <f>CONCATENATE("          ","6279"," - ","GENERAL EXPENSE")</f>
        <v xml:space="preserve">          6279 - GENERAL EXPENSE</v>
      </c>
      <c r="C64" s="9"/>
      <c r="D64" s="6"/>
      <c r="E64" s="3"/>
      <c r="F64" s="7">
        <f t="shared" si="12"/>
        <v>0</v>
      </c>
      <c r="G64" s="3"/>
      <c r="H64" s="6"/>
      <c r="I64" s="3"/>
      <c r="J64" s="7">
        <f t="shared" si="13"/>
        <v>0</v>
      </c>
      <c r="K64" s="3"/>
      <c r="L64" s="6">
        <f t="shared" si="14"/>
        <v>0</v>
      </c>
      <c r="M64" s="3"/>
      <c r="N64" s="7">
        <f t="shared" si="15"/>
        <v>0</v>
      </c>
      <c r="O64" s="9"/>
      <c r="P64" s="6">
        <v>4018.7</v>
      </c>
      <c r="Q64" s="3"/>
      <c r="R64" s="7">
        <f t="shared" si="16"/>
        <v>7.8263612302626202E-3</v>
      </c>
      <c r="S64" s="3"/>
      <c r="T64" s="6">
        <v>1210</v>
      </c>
      <c r="U64" s="3"/>
      <c r="V64" s="7">
        <f t="shared" si="17"/>
        <v>2.3363177701101931E-3</v>
      </c>
      <c r="W64" s="3"/>
      <c r="X64" s="6">
        <f t="shared" si="18"/>
        <v>2808.7</v>
      </c>
      <c r="Y64" s="3"/>
      <c r="Z64" s="7">
        <f t="shared" si="19"/>
        <v>2.3212396694214874</v>
      </c>
    </row>
    <row r="65" spans="1:26" s="69" customFormat="1" ht="15" customHeight="1" outlineLevel="1" collapsed="1" x14ac:dyDescent="0.3">
      <c r="A65" s="20"/>
      <c r="B65" s="11" t="str">
        <f>CONCATENATE("     ","Insurance                                         ")</f>
        <v xml:space="preserve">     Insurance                                         </v>
      </c>
      <c r="C65" s="11"/>
      <c r="D65" s="2">
        <f>SUM(OSRRefD22_9x_0)</f>
        <v>-102.81</v>
      </c>
      <c r="E65" s="2"/>
      <c r="F65" s="5">
        <f t="shared" si="12"/>
        <v>-6.6249276677238884E-3</v>
      </c>
      <c r="G65" s="2"/>
      <c r="H65" s="2">
        <f>SUM(OSRRefH22_9x_0)</f>
        <v>330</v>
      </c>
      <c r="I65" s="2"/>
      <c r="J65" s="5">
        <f t="shared" si="13"/>
        <v>2.5335892514395393E-2</v>
      </c>
      <c r="K65" s="2"/>
      <c r="L65" s="2">
        <f t="shared" si="14"/>
        <v>-432.81</v>
      </c>
      <c r="M65" s="2"/>
      <c r="N65" s="5">
        <f t="shared" si="15"/>
        <v>-1.3115454545454546</v>
      </c>
      <c r="O65" s="11"/>
      <c r="P65" s="2">
        <f>SUM(OSRRefP22_9x_0)</f>
        <v>3538.3</v>
      </c>
      <c r="Q65" s="2"/>
      <c r="R65" s="5">
        <f t="shared" si="16"/>
        <v>6.8907890464673235E-3</v>
      </c>
      <c r="S65" s="2"/>
      <c r="T65" s="2">
        <f>SUM(OSRRefT22_9x_0)</f>
        <v>3960</v>
      </c>
      <c r="U65" s="2"/>
      <c r="V65" s="5">
        <f t="shared" si="17"/>
        <v>7.6461308839969955E-3</v>
      </c>
      <c r="W65" s="2"/>
      <c r="X65" s="2">
        <f t="shared" si="18"/>
        <v>-421.69999999999982</v>
      </c>
      <c r="Y65" s="2"/>
      <c r="Z65" s="5">
        <f t="shared" si="19"/>
        <v>-0.10648989898989894</v>
      </c>
    </row>
    <row r="66" spans="1:26" s="70" customFormat="1" ht="15" hidden="1" customHeight="1" outlineLevel="2" x14ac:dyDescent="0.3">
      <c r="A66" s="21"/>
      <c r="B66" s="9" t="str">
        <f>CONCATENATE("          ","6314"," - ","LIABILITY INSURANCE")</f>
        <v xml:space="preserve">          6314 - LIABILITY INSURANCE</v>
      </c>
      <c r="C66" s="9"/>
      <c r="D66" s="6">
        <v>-102.81</v>
      </c>
      <c r="E66" s="3"/>
      <c r="F66" s="7">
        <f t="shared" si="12"/>
        <v>-6.6249276677238884E-3</v>
      </c>
      <c r="G66" s="3"/>
      <c r="H66" s="6">
        <v>330</v>
      </c>
      <c r="I66" s="3"/>
      <c r="J66" s="7">
        <f t="shared" si="13"/>
        <v>2.5335892514395393E-2</v>
      </c>
      <c r="K66" s="3"/>
      <c r="L66" s="6">
        <f t="shared" si="14"/>
        <v>-432.81</v>
      </c>
      <c r="M66" s="3"/>
      <c r="N66" s="7">
        <f t="shared" si="15"/>
        <v>-1.3115454545454546</v>
      </c>
      <c r="O66" s="9"/>
      <c r="P66" s="6">
        <v>3538.3</v>
      </c>
      <c r="Q66" s="3"/>
      <c r="R66" s="7">
        <f t="shared" si="16"/>
        <v>6.8907890464673235E-3</v>
      </c>
      <c r="S66" s="3"/>
      <c r="T66" s="6">
        <v>3960</v>
      </c>
      <c r="U66" s="3"/>
      <c r="V66" s="7">
        <f t="shared" si="17"/>
        <v>7.6461308839969955E-3</v>
      </c>
      <c r="W66" s="3"/>
      <c r="X66" s="6">
        <f t="shared" si="18"/>
        <v>-421.69999999999982</v>
      </c>
      <c r="Y66" s="3"/>
      <c r="Z66" s="7">
        <f t="shared" si="19"/>
        <v>-0.10648989898989894</v>
      </c>
    </row>
    <row r="67" spans="1:26" s="69" customFormat="1" ht="15" customHeight="1" outlineLevel="1" collapsed="1" x14ac:dyDescent="0.3">
      <c r="A67" s="20"/>
      <c r="B67" s="11" t="str">
        <f>CONCATENATE("     ","Interest                                          ")</f>
        <v xml:space="preserve">     Interest                                          </v>
      </c>
      <c r="C67" s="11"/>
      <c r="D67" s="2">
        <f>SUM(OSRRefD22_10x_0)</f>
        <v>3905</v>
      </c>
      <c r="E67" s="2"/>
      <c r="F67" s="5">
        <f t="shared" si="12"/>
        <v>0.25163255074858265</v>
      </c>
      <c r="G67" s="2"/>
      <c r="H67" s="2">
        <f>SUM(OSRRefH22_10x_0)</f>
        <v>3760</v>
      </c>
      <c r="I67" s="2"/>
      <c r="J67" s="5">
        <f t="shared" si="13"/>
        <v>0.28867562380038386</v>
      </c>
      <c r="K67" s="2"/>
      <c r="L67" s="2">
        <f t="shared" si="14"/>
        <v>145</v>
      </c>
      <c r="M67" s="2"/>
      <c r="N67" s="5">
        <f t="shared" si="15"/>
        <v>3.8563829787234043E-2</v>
      </c>
      <c r="O67" s="11"/>
      <c r="P67" s="2">
        <f>SUM(OSRRefP22_10x_0)</f>
        <v>45710</v>
      </c>
      <c r="Q67" s="2"/>
      <c r="R67" s="5">
        <f t="shared" si="16"/>
        <v>8.9019576438973902E-2</v>
      </c>
      <c r="S67" s="2"/>
      <c r="T67" s="2">
        <f>SUM(OSRRefT22_10x_0)</f>
        <v>46570</v>
      </c>
      <c r="U67" s="2"/>
      <c r="V67" s="5">
        <f t="shared" si="17"/>
        <v>8.9919271532257594E-2</v>
      </c>
      <c r="W67" s="2"/>
      <c r="X67" s="2">
        <f t="shared" si="18"/>
        <v>-860</v>
      </c>
      <c r="Y67" s="2"/>
      <c r="Z67" s="5">
        <f t="shared" si="19"/>
        <v>-1.8466824135709683E-2</v>
      </c>
    </row>
    <row r="68" spans="1:26" s="70" customFormat="1" ht="15" hidden="1" customHeight="1" outlineLevel="2" x14ac:dyDescent="0.3">
      <c r="A68" s="21"/>
      <c r="B68" s="9" t="str">
        <f>CONCATENATE("          ","6401"," - ","INTEREST EXPENSE")</f>
        <v xml:space="preserve">          6401 - INTEREST EXPENSE</v>
      </c>
      <c r="C68" s="9"/>
      <c r="D68" s="6">
        <v>3905</v>
      </c>
      <c r="E68" s="3"/>
      <c r="F68" s="7">
        <f t="shared" si="12"/>
        <v>0.25163255074858265</v>
      </c>
      <c r="G68" s="3"/>
      <c r="H68" s="6">
        <v>3760</v>
      </c>
      <c r="I68" s="3"/>
      <c r="J68" s="7">
        <f t="shared" si="13"/>
        <v>0.28867562380038386</v>
      </c>
      <c r="K68" s="3"/>
      <c r="L68" s="6">
        <f t="shared" si="14"/>
        <v>145</v>
      </c>
      <c r="M68" s="3"/>
      <c r="N68" s="7">
        <f t="shared" si="15"/>
        <v>3.8563829787234043E-2</v>
      </c>
      <c r="O68" s="9"/>
      <c r="P68" s="6">
        <v>45710</v>
      </c>
      <c r="Q68" s="3"/>
      <c r="R68" s="7">
        <f t="shared" si="16"/>
        <v>8.9019576438973902E-2</v>
      </c>
      <c r="S68" s="3"/>
      <c r="T68" s="6">
        <v>46570</v>
      </c>
      <c r="U68" s="3"/>
      <c r="V68" s="7">
        <f t="shared" si="17"/>
        <v>8.9919271532257594E-2</v>
      </c>
      <c r="W68" s="3"/>
      <c r="X68" s="6">
        <f t="shared" si="18"/>
        <v>-860</v>
      </c>
      <c r="Y68" s="3"/>
      <c r="Z68" s="7">
        <f t="shared" si="19"/>
        <v>-1.8466824135709683E-2</v>
      </c>
    </row>
    <row r="69" spans="1:26" s="69" customFormat="1" ht="15" customHeight="1" outlineLevel="1" collapsed="1" x14ac:dyDescent="0.3">
      <c r="A69" s="20"/>
      <c r="B69" s="11" t="str">
        <f>CONCATENATE("     ","Repair and Maintenance                            ")</f>
        <v xml:space="preserve">     Repair and Maintenance                            </v>
      </c>
      <c r="C69" s="11"/>
      <c r="D69" s="2">
        <f>SUM(OSRRefD22_11x_0)</f>
        <v>2029.55</v>
      </c>
      <c r="E69" s="2"/>
      <c r="F69" s="5">
        <f t="shared" si="12"/>
        <v>0.13078126590826786</v>
      </c>
      <c r="G69" s="2"/>
      <c r="H69" s="2">
        <f>SUM(OSRRefH22_11x_0)</f>
        <v>215</v>
      </c>
      <c r="I69" s="2"/>
      <c r="J69" s="5">
        <f t="shared" si="13"/>
        <v>1.6506717850287907E-2</v>
      </c>
      <c r="K69" s="2"/>
      <c r="L69" s="2">
        <f t="shared" si="14"/>
        <v>1814.55</v>
      </c>
      <c r="M69" s="2"/>
      <c r="N69" s="5">
        <f t="shared" si="15"/>
        <v>8.4397674418604645</v>
      </c>
      <c r="O69" s="11"/>
      <c r="P69" s="2">
        <f>SUM(OSRRefP22_11x_0)</f>
        <v>9155.9</v>
      </c>
      <c r="Q69" s="2"/>
      <c r="R69" s="5">
        <f t="shared" si="16"/>
        <v>1.7830985340573202E-2</v>
      </c>
      <c r="S69" s="2"/>
      <c r="T69" s="2">
        <f>SUM(OSRRefT22_11x_0)</f>
        <v>8107</v>
      </c>
      <c r="U69" s="2"/>
      <c r="V69" s="5">
        <f t="shared" si="17"/>
        <v>1.5653329059738295E-2</v>
      </c>
      <c r="W69" s="2"/>
      <c r="X69" s="2">
        <f t="shared" si="18"/>
        <v>1048.8999999999996</v>
      </c>
      <c r="Y69" s="2"/>
      <c r="Z69" s="5">
        <f t="shared" si="19"/>
        <v>0.12938201554212406</v>
      </c>
    </row>
    <row r="70" spans="1:26" s="70" customFormat="1" ht="15" hidden="1" customHeight="1" outlineLevel="2" x14ac:dyDescent="0.3">
      <c r="A70" s="21"/>
      <c r="B70" s="9" t="str">
        <f>CONCATENATE("          ","6371"," - ","COMPUTER SOFTWARE MAINTENANCE")</f>
        <v xml:space="preserve">          6371 - COMPUTER SOFTWARE MAINTENANCE</v>
      </c>
      <c r="C70" s="9"/>
      <c r="D70" s="6"/>
      <c r="E70" s="3"/>
      <c r="F70" s="7">
        <f t="shared" si="12"/>
        <v>0</v>
      </c>
      <c r="G70" s="3"/>
      <c r="H70" s="6"/>
      <c r="I70" s="3"/>
      <c r="J70" s="7">
        <f t="shared" si="13"/>
        <v>0</v>
      </c>
      <c r="K70" s="3"/>
      <c r="L70" s="6">
        <f t="shared" si="14"/>
        <v>0</v>
      </c>
      <c r="M70" s="3"/>
      <c r="N70" s="7">
        <f t="shared" si="15"/>
        <v>0</v>
      </c>
      <c r="O70" s="9"/>
      <c r="P70" s="6"/>
      <c r="Q70" s="3"/>
      <c r="R70" s="7">
        <f t="shared" si="16"/>
        <v>0</v>
      </c>
      <c r="S70" s="3"/>
      <c r="T70" s="6">
        <v>2623</v>
      </c>
      <c r="U70" s="3"/>
      <c r="V70" s="7">
        <f t="shared" si="17"/>
        <v>5.0645962900818485E-3</v>
      </c>
      <c r="W70" s="3"/>
      <c r="X70" s="6">
        <f t="shared" si="18"/>
        <v>-2623</v>
      </c>
      <c r="Y70" s="3"/>
      <c r="Z70" s="7">
        <f t="shared" si="19"/>
        <v>-1</v>
      </c>
    </row>
    <row r="71" spans="1:26" s="70" customFormat="1" ht="15" hidden="1" customHeight="1" outlineLevel="2" x14ac:dyDescent="0.3">
      <c r="A71" s="21"/>
      <c r="B71" s="9" t="str">
        <f>CONCATENATE("          ","6373"," - ","MAINTENANCE CONTRACTS")</f>
        <v xml:space="preserve">          6373 - MAINTENANCE CONTRACTS</v>
      </c>
      <c r="C71" s="9"/>
      <c r="D71" s="6"/>
      <c r="E71" s="3"/>
      <c r="F71" s="7">
        <f t="shared" si="12"/>
        <v>0</v>
      </c>
      <c r="G71" s="3"/>
      <c r="H71" s="6"/>
      <c r="I71" s="3"/>
      <c r="J71" s="7">
        <f t="shared" si="13"/>
        <v>0</v>
      </c>
      <c r="K71" s="3"/>
      <c r="L71" s="6">
        <f t="shared" si="14"/>
        <v>0</v>
      </c>
      <c r="M71" s="3"/>
      <c r="N71" s="7">
        <f t="shared" si="15"/>
        <v>0</v>
      </c>
      <c r="O71" s="9"/>
      <c r="P71" s="6">
        <v>1413.39</v>
      </c>
      <c r="Q71" s="3"/>
      <c r="R71" s="7">
        <f t="shared" si="16"/>
        <v>2.7525569709709323E-3</v>
      </c>
      <c r="S71" s="3"/>
      <c r="T71" s="6">
        <v>1274</v>
      </c>
      <c r="U71" s="3"/>
      <c r="V71" s="7">
        <f t="shared" si="17"/>
        <v>2.4598916025788315E-3</v>
      </c>
      <c r="W71" s="3"/>
      <c r="X71" s="6">
        <f t="shared" si="18"/>
        <v>139.3900000000001</v>
      </c>
      <c r="Y71" s="3"/>
      <c r="Z71" s="7">
        <f t="shared" si="19"/>
        <v>0.10941130298273163</v>
      </c>
    </row>
    <row r="72" spans="1:26" s="70" customFormat="1" ht="15" hidden="1" customHeight="1" outlineLevel="2" x14ac:dyDescent="0.3">
      <c r="A72" s="21"/>
      <c r="B72" s="9" t="str">
        <f>CONCATENATE("          ","6375"," - ","OUTSIDE REPAIRS &amp; MAINTENANCE")</f>
        <v xml:space="preserve">          6375 - OUTSIDE REPAIRS &amp; MAINTENANCE</v>
      </c>
      <c r="C72" s="9"/>
      <c r="D72" s="6">
        <v>2029.55</v>
      </c>
      <c r="E72" s="3"/>
      <c r="F72" s="7">
        <f t="shared" si="12"/>
        <v>0.13078126590826786</v>
      </c>
      <c r="G72" s="3"/>
      <c r="H72" s="6">
        <v>215</v>
      </c>
      <c r="I72" s="3"/>
      <c r="J72" s="7">
        <f t="shared" si="13"/>
        <v>1.6506717850287907E-2</v>
      </c>
      <c r="K72" s="3"/>
      <c r="L72" s="6">
        <f t="shared" si="14"/>
        <v>1814.55</v>
      </c>
      <c r="M72" s="3"/>
      <c r="N72" s="7">
        <f t="shared" si="15"/>
        <v>8.4397674418604645</v>
      </c>
      <c r="O72" s="9"/>
      <c r="P72" s="6">
        <v>7742.51</v>
      </c>
      <c r="Q72" s="3"/>
      <c r="R72" s="7">
        <f t="shared" si="16"/>
        <v>1.507842836960227E-2</v>
      </c>
      <c r="S72" s="3"/>
      <c r="T72" s="6">
        <v>4210</v>
      </c>
      <c r="U72" s="3"/>
      <c r="V72" s="7">
        <f t="shared" si="17"/>
        <v>8.1288411670776134E-3</v>
      </c>
      <c r="W72" s="3"/>
      <c r="X72" s="6">
        <f t="shared" si="18"/>
        <v>3532.51</v>
      </c>
      <c r="Y72" s="3"/>
      <c r="Z72" s="7">
        <f t="shared" si="19"/>
        <v>0.83907600950118766</v>
      </c>
    </row>
    <row r="73" spans="1:26" s="69" customFormat="1" ht="15" customHeight="1" outlineLevel="1" collapsed="1" x14ac:dyDescent="0.3">
      <c r="A73" s="20"/>
      <c r="B73" s="11" t="str">
        <f>CONCATENATE("     ","Royalty &amp; Commissions                             ")</f>
        <v xml:space="preserve">     Royalty &amp; Commissions                             </v>
      </c>
      <c r="C73" s="11"/>
      <c r="D73" s="2">
        <f>SUM(OSRRefD22_12x_0)</f>
        <v>0</v>
      </c>
      <c r="E73" s="2"/>
      <c r="F73" s="5">
        <f t="shared" si="12"/>
        <v>0</v>
      </c>
      <c r="G73" s="2"/>
      <c r="H73" s="2">
        <f>SUM(OSRRefH22_12x_0)</f>
        <v>336</v>
      </c>
      <c r="I73" s="2"/>
      <c r="J73" s="5">
        <f t="shared" si="13"/>
        <v>2.579654510556622E-2</v>
      </c>
      <c r="K73" s="2"/>
      <c r="L73" s="2">
        <f t="shared" si="14"/>
        <v>-336</v>
      </c>
      <c r="M73" s="2"/>
      <c r="N73" s="5">
        <f t="shared" si="15"/>
        <v>-1</v>
      </c>
      <c r="O73" s="11"/>
      <c r="P73" s="2">
        <f>SUM(OSRRefP22_12x_0)</f>
        <v>4367.51</v>
      </c>
      <c r="Q73" s="2"/>
      <c r="R73" s="5">
        <f t="shared" si="16"/>
        <v>8.5056637561361382E-3</v>
      </c>
      <c r="S73" s="2"/>
      <c r="T73" s="2">
        <f>SUM(OSRRefT22_12x_0)</f>
        <v>14170</v>
      </c>
      <c r="U73" s="2"/>
      <c r="V73" s="5">
        <f t="shared" si="17"/>
        <v>2.7360018845009451E-2</v>
      </c>
      <c r="W73" s="2"/>
      <c r="X73" s="2">
        <f t="shared" si="18"/>
        <v>-9802.49</v>
      </c>
      <c r="Y73" s="2"/>
      <c r="Z73" s="5">
        <f t="shared" si="19"/>
        <v>-0.69177769936485534</v>
      </c>
    </row>
    <row r="74" spans="1:26" s="70" customFormat="1" ht="15" hidden="1" customHeight="1" outlineLevel="2" x14ac:dyDescent="0.3">
      <c r="A74" s="21"/>
      <c r="B74" s="9" t="str">
        <f>CONCATENATE("          ","6254"," - ","ROYALTY &amp; COMMISSIONS")</f>
        <v xml:space="preserve">          6254 - ROYALTY &amp; COMMISSIONS</v>
      </c>
      <c r="C74" s="9"/>
      <c r="D74" s="6"/>
      <c r="E74" s="3"/>
      <c r="F74" s="7">
        <f t="shared" si="12"/>
        <v>0</v>
      </c>
      <c r="G74" s="3"/>
      <c r="H74" s="6"/>
      <c r="I74" s="3"/>
      <c r="J74" s="7">
        <f t="shared" si="13"/>
        <v>0</v>
      </c>
      <c r="K74" s="3"/>
      <c r="L74" s="6">
        <f t="shared" si="14"/>
        <v>0</v>
      </c>
      <c r="M74" s="3"/>
      <c r="N74" s="7">
        <f t="shared" si="15"/>
        <v>0</v>
      </c>
      <c r="O74" s="9"/>
      <c r="P74" s="6">
        <v>4367.51</v>
      </c>
      <c r="Q74" s="3"/>
      <c r="R74" s="7">
        <f t="shared" si="16"/>
        <v>8.5056637561361382E-3</v>
      </c>
      <c r="S74" s="3"/>
      <c r="T74" s="6"/>
      <c r="U74" s="3"/>
      <c r="V74" s="7">
        <f t="shared" si="17"/>
        <v>0</v>
      </c>
      <c r="W74" s="3"/>
      <c r="X74" s="6">
        <f t="shared" si="18"/>
        <v>4367.51</v>
      </c>
      <c r="Y74" s="3"/>
      <c r="Z74" s="7">
        <f t="shared" si="19"/>
        <v>0</v>
      </c>
    </row>
    <row r="75" spans="1:26" s="70" customFormat="1" ht="15" hidden="1" customHeight="1" outlineLevel="2" x14ac:dyDescent="0.3">
      <c r="A75" s="21"/>
      <c r="B75" s="9" t="str">
        <f>CONCATENATE("          ","6259"," - ","ROYALTY &amp; COMMISSIONS")</f>
        <v xml:space="preserve">          6259 - ROYALTY &amp; COMMISSIONS</v>
      </c>
      <c r="C75" s="9"/>
      <c r="D75" s="6"/>
      <c r="E75" s="3"/>
      <c r="F75" s="7">
        <f t="shared" si="12"/>
        <v>0</v>
      </c>
      <c r="G75" s="3"/>
      <c r="H75" s="6">
        <v>336</v>
      </c>
      <c r="I75" s="3"/>
      <c r="J75" s="7">
        <f t="shared" si="13"/>
        <v>2.579654510556622E-2</v>
      </c>
      <c r="K75" s="3"/>
      <c r="L75" s="6">
        <f t="shared" si="14"/>
        <v>-336</v>
      </c>
      <c r="M75" s="3"/>
      <c r="N75" s="7">
        <f t="shared" si="15"/>
        <v>-1</v>
      </c>
      <c r="O75" s="9"/>
      <c r="P75" s="6"/>
      <c r="Q75" s="3"/>
      <c r="R75" s="7">
        <f t="shared" si="16"/>
        <v>0</v>
      </c>
      <c r="S75" s="3"/>
      <c r="T75" s="6">
        <v>14170</v>
      </c>
      <c r="U75" s="3"/>
      <c r="V75" s="7">
        <f t="shared" si="17"/>
        <v>2.7360018845009451E-2</v>
      </c>
      <c r="W75" s="3"/>
      <c r="X75" s="6">
        <f t="shared" si="18"/>
        <v>-14170</v>
      </c>
      <c r="Y75" s="3"/>
      <c r="Z75" s="7">
        <f t="shared" si="19"/>
        <v>-1</v>
      </c>
    </row>
    <row r="76" spans="1:26" s="69" customFormat="1" ht="15" customHeight="1" outlineLevel="1" collapsed="1" x14ac:dyDescent="0.3">
      <c r="A76" s="20"/>
      <c r="B76" s="11" t="str">
        <f>CONCATENATE("     ","Services                                          ")</f>
        <v xml:space="preserve">     Services                                          </v>
      </c>
      <c r="C76" s="11"/>
      <c r="D76" s="2">
        <f>SUM(OSRRefD22_13x_0)</f>
        <v>4980.95</v>
      </c>
      <c r="E76" s="2"/>
      <c r="F76" s="5">
        <f t="shared" si="12"/>
        <v>0.32096521220259994</v>
      </c>
      <c r="G76" s="2"/>
      <c r="H76" s="2">
        <f>SUM(OSRRefH22_13x_0)</f>
        <v>292</v>
      </c>
      <c r="I76" s="2"/>
      <c r="J76" s="5">
        <f t="shared" si="13"/>
        <v>2.2418426103646832E-2</v>
      </c>
      <c r="K76" s="2"/>
      <c r="L76" s="2">
        <f t="shared" si="14"/>
        <v>4688.95</v>
      </c>
      <c r="M76" s="2"/>
      <c r="N76" s="5">
        <f t="shared" si="15"/>
        <v>16.05804794520548</v>
      </c>
      <c r="O76" s="11"/>
      <c r="P76" s="2">
        <f>SUM(OSRRefP22_13x_0)</f>
        <v>17619.78</v>
      </c>
      <c r="Q76" s="2"/>
      <c r="R76" s="5">
        <f t="shared" si="16"/>
        <v>3.4314271549943196E-2</v>
      </c>
      <c r="S76" s="2"/>
      <c r="T76" s="2">
        <f>SUM(OSRRefT22_13x_0)</f>
        <v>3221</v>
      </c>
      <c r="U76" s="2"/>
      <c r="V76" s="5">
        <f t="shared" si="17"/>
        <v>6.2192392872106872E-3</v>
      </c>
      <c r="W76" s="2"/>
      <c r="X76" s="2">
        <f t="shared" si="18"/>
        <v>14398.779999999999</v>
      </c>
      <c r="Y76" s="2"/>
      <c r="Z76" s="5">
        <f t="shared" si="19"/>
        <v>4.470282520956224</v>
      </c>
    </row>
    <row r="77" spans="1:26" s="70" customFormat="1" ht="15" hidden="1" customHeight="1" outlineLevel="2" x14ac:dyDescent="0.3">
      <c r="A77" s="21"/>
      <c r="B77" s="9" t="str">
        <f>CONCATENATE("          ","6282"," - ","JANITORIAL/EXTERMINATOR EXPENS")</f>
        <v xml:space="preserve">          6282 - JANITORIAL/EXTERMINATOR EXPENS</v>
      </c>
      <c r="C77" s="9"/>
      <c r="D77" s="6">
        <v>666.55</v>
      </c>
      <c r="E77" s="3"/>
      <c r="F77" s="7">
        <f t="shared" si="12"/>
        <v>4.295151772124655E-2</v>
      </c>
      <c r="G77" s="3"/>
      <c r="H77" s="6">
        <v>258</v>
      </c>
      <c r="I77" s="3"/>
      <c r="J77" s="7">
        <f t="shared" si="13"/>
        <v>1.9808061420345489E-2</v>
      </c>
      <c r="K77" s="3"/>
      <c r="L77" s="6">
        <f t="shared" si="14"/>
        <v>408.54999999999995</v>
      </c>
      <c r="M77" s="3"/>
      <c r="N77" s="7">
        <f t="shared" si="15"/>
        <v>1.5835271317829456</v>
      </c>
      <c r="O77" s="9"/>
      <c r="P77" s="6">
        <v>4418.75</v>
      </c>
      <c r="Q77" s="3"/>
      <c r="R77" s="7">
        <f t="shared" si="16"/>
        <v>8.6054529291121392E-3</v>
      </c>
      <c r="S77" s="3"/>
      <c r="T77" s="6">
        <v>2838</v>
      </c>
      <c r="U77" s="3"/>
      <c r="V77" s="7">
        <f t="shared" si="17"/>
        <v>5.4797271335311802E-3</v>
      </c>
      <c r="W77" s="3"/>
      <c r="X77" s="6">
        <f t="shared" si="18"/>
        <v>1580.75</v>
      </c>
      <c r="Y77" s="3"/>
      <c r="Z77" s="7">
        <f t="shared" si="19"/>
        <v>0.55699436222692034</v>
      </c>
    </row>
    <row r="78" spans="1:26" s="70" customFormat="1" ht="15" hidden="1" customHeight="1" outlineLevel="2" x14ac:dyDescent="0.3">
      <c r="A78" s="21"/>
      <c r="B78" s="9" t="str">
        <f>CONCATENATE("          ","6285"," - ","JANITORIAL SERVICES")</f>
        <v xml:space="preserve">          6285 - JANITORIAL SERVICES</v>
      </c>
      <c r="C78" s="9"/>
      <c r="D78" s="6">
        <v>4210.9399999999996</v>
      </c>
      <c r="E78" s="3"/>
      <c r="F78" s="7">
        <f t="shared" si="12"/>
        <v>0.27134688175396587</v>
      </c>
      <c r="G78" s="3"/>
      <c r="H78" s="6"/>
      <c r="I78" s="3"/>
      <c r="J78" s="7">
        <f t="shared" si="13"/>
        <v>0</v>
      </c>
      <c r="K78" s="3"/>
      <c r="L78" s="6">
        <f t="shared" si="14"/>
        <v>4210.9399999999996</v>
      </c>
      <c r="M78" s="3"/>
      <c r="N78" s="7">
        <f t="shared" si="15"/>
        <v>0</v>
      </c>
      <c r="O78" s="9"/>
      <c r="P78" s="6">
        <v>11949.78</v>
      </c>
      <c r="Q78" s="3"/>
      <c r="R78" s="7">
        <f t="shared" si="16"/>
        <v>2.3272026999320097E-2</v>
      </c>
      <c r="S78" s="3"/>
      <c r="T78" s="6"/>
      <c r="U78" s="3"/>
      <c r="V78" s="7">
        <f t="shared" si="17"/>
        <v>0</v>
      </c>
      <c r="W78" s="3"/>
      <c r="X78" s="6">
        <f t="shared" si="18"/>
        <v>11949.78</v>
      </c>
      <c r="Y78" s="3"/>
      <c r="Z78" s="7">
        <f t="shared" si="19"/>
        <v>0</v>
      </c>
    </row>
    <row r="79" spans="1:26" s="70" customFormat="1" ht="15" hidden="1" customHeight="1" outlineLevel="2" x14ac:dyDescent="0.3">
      <c r="A79" s="21"/>
      <c r="B79" s="9" t="str">
        <f>CONCATENATE("          ","6286"," - ","LAUNDRY EXPENSE")</f>
        <v xml:space="preserve">          6286 - LAUNDRY EXPENSE</v>
      </c>
      <c r="C79" s="9"/>
      <c r="D79" s="6">
        <v>103.46</v>
      </c>
      <c r="E79" s="3"/>
      <c r="F79" s="7">
        <f t="shared" si="12"/>
        <v>6.6668127273875446E-3</v>
      </c>
      <c r="G79" s="3"/>
      <c r="H79" s="6">
        <v>34</v>
      </c>
      <c r="I79" s="3"/>
      <c r="J79" s="7">
        <f t="shared" si="13"/>
        <v>2.6103646833013435E-3</v>
      </c>
      <c r="K79" s="3"/>
      <c r="L79" s="6">
        <f t="shared" si="14"/>
        <v>69.459999999999994</v>
      </c>
      <c r="M79" s="3"/>
      <c r="N79" s="7">
        <f t="shared" si="15"/>
        <v>2.0429411764705883</v>
      </c>
      <c r="O79" s="9"/>
      <c r="P79" s="6">
        <v>1251.25</v>
      </c>
      <c r="Q79" s="3"/>
      <c r="R79" s="7">
        <f t="shared" si="16"/>
        <v>2.4367916215109623E-3</v>
      </c>
      <c r="S79" s="3"/>
      <c r="T79" s="6">
        <v>383</v>
      </c>
      <c r="U79" s="3"/>
      <c r="V79" s="7">
        <f t="shared" si="17"/>
        <v>7.3951215367950738E-4</v>
      </c>
      <c r="W79" s="3"/>
      <c r="X79" s="6">
        <f t="shared" si="18"/>
        <v>868.25</v>
      </c>
      <c r="Y79" s="3"/>
      <c r="Z79" s="7">
        <f t="shared" si="19"/>
        <v>2.2669712793733683</v>
      </c>
    </row>
    <row r="80" spans="1:26" s="69" customFormat="1" ht="15" customHeight="1" outlineLevel="1" collapsed="1" x14ac:dyDescent="0.3">
      <c r="A80" s="20"/>
      <c r="B80" s="11" t="str">
        <f>CONCATENATE("     ","Supplies                                          ")</f>
        <v xml:space="preserve">     Supplies                                          </v>
      </c>
      <c r="C80" s="11"/>
      <c r="D80" s="2">
        <f>SUM(OSRRefD22_14x_0)</f>
        <v>206.14</v>
      </c>
      <c r="E80" s="2"/>
      <c r="F80" s="5">
        <f t="shared" si="12"/>
        <v>1.3283363383178702E-2</v>
      </c>
      <c r="G80" s="2"/>
      <c r="H80" s="2">
        <f>SUM(OSRRefH22_14x_0)</f>
        <v>500</v>
      </c>
      <c r="I80" s="2"/>
      <c r="J80" s="5">
        <f t="shared" si="13"/>
        <v>3.8387715930902108E-2</v>
      </c>
      <c r="K80" s="2"/>
      <c r="L80" s="2">
        <f t="shared" si="14"/>
        <v>-293.86</v>
      </c>
      <c r="M80" s="2"/>
      <c r="N80" s="5">
        <f t="shared" si="15"/>
        <v>-0.58772000000000002</v>
      </c>
      <c r="O80" s="11"/>
      <c r="P80" s="2">
        <f>SUM(OSRRefP22_14x_0)</f>
        <v>6697.24</v>
      </c>
      <c r="Q80" s="2"/>
      <c r="R80" s="5">
        <f t="shared" si="16"/>
        <v>1.3042779875522938E-2</v>
      </c>
      <c r="S80" s="2"/>
      <c r="T80" s="2">
        <f>SUM(OSRRefT22_14x_0)</f>
        <v>20850</v>
      </c>
      <c r="U80" s="2"/>
      <c r="V80" s="5">
        <f t="shared" si="17"/>
        <v>4.0258037608923575E-2</v>
      </c>
      <c r="W80" s="2"/>
      <c r="X80" s="2">
        <f t="shared" si="18"/>
        <v>-14152.76</v>
      </c>
      <c r="Y80" s="2"/>
      <c r="Z80" s="5">
        <f t="shared" si="19"/>
        <v>-0.678789448441247</v>
      </c>
    </row>
    <row r="81" spans="1:26" s="70" customFormat="1" ht="15" hidden="1" customHeight="1" outlineLevel="2" x14ac:dyDescent="0.3">
      <c r="A81" s="21"/>
      <c r="B81" s="9" t="str">
        <f>CONCATENATE("          ","6234"," - ","EXPENDABLE SUPPLIES &amp; EQUIPMEN")</f>
        <v xml:space="preserve">          6234 - EXPENDABLE SUPPLIES &amp; EQUIPMEN</v>
      </c>
      <c r="C81" s="9"/>
      <c r="D81" s="6"/>
      <c r="E81" s="3"/>
      <c r="F81" s="7">
        <f t="shared" si="12"/>
        <v>0</v>
      </c>
      <c r="G81" s="3"/>
      <c r="H81" s="6">
        <v>50</v>
      </c>
      <c r="I81" s="3"/>
      <c r="J81" s="7">
        <f t="shared" si="13"/>
        <v>3.838771593090211E-3</v>
      </c>
      <c r="K81" s="3"/>
      <c r="L81" s="6">
        <f t="shared" si="14"/>
        <v>-50</v>
      </c>
      <c r="M81" s="3"/>
      <c r="N81" s="7">
        <f t="shared" si="15"/>
        <v>-1</v>
      </c>
      <c r="O81" s="9"/>
      <c r="P81" s="6">
        <v>1194.8900000000001</v>
      </c>
      <c r="Q81" s="3"/>
      <c r="R81" s="7">
        <f t="shared" si="16"/>
        <v>2.3270313211806067E-3</v>
      </c>
      <c r="S81" s="3"/>
      <c r="T81" s="6">
        <v>850</v>
      </c>
      <c r="U81" s="3"/>
      <c r="V81" s="7">
        <f t="shared" si="17"/>
        <v>1.6412149624741026E-3</v>
      </c>
      <c r="W81" s="3"/>
      <c r="X81" s="6">
        <f t="shared" si="18"/>
        <v>344.8900000000001</v>
      </c>
      <c r="Y81" s="3"/>
      <c r="Z81" s="7">
        <f t="shared" si="19"/>
        <v>0.40575294117647071</v>
      </c>
    </row>
    <row r="82" spans="1:26" s="70" customFormat="1" ht="15" hidden="1" customHeight="1" outlineLevel="2" x14ac:dyDescent="0.3">
      <c r="A82" s="21"/>
      <c r="B82" s="9" t="str">
        <f>CONCATENATE("          ","6235"," - ","COVID-19 EXPENSES")</f>
        <v xml:space="preserve">          6235 - COVID-19 EXPENSES</v>
      </c>
      <c r="C82" s="9"/>
      <c r="D82" s="6"/>
      <c r="E82" s="3"/>
      <c r="F82" s="7">
        <f t="shared" si="12"/>
        <v>0</v>
      </c>
      <c r="G82" s="3"/>
      <c r="H82" s="6"/>
      <c r="I82" s="3"/>
      <c r="J82" s="7">
        <f t="shared" si="13"/>
        <v>0</v>
      </c>
      <c r="K82" s="3"/>
      <c r="L82" s="6">
        <f t="shared" si="14"/>
        <v>0</v>
      </c>
      <c r="M82" s="3"/>
      <c r="N82" s="7">
        <f t="shared" si="15"/>
        <v>0</v>
      </c>
      <c r="O82" s="9"/>
      <c r="P82" s="6">
        <v>71.45</v>
      </c>
      <c r="Q82" s="3"/>
      <c r="R82" s="7">
        <f t="shared" si="16"/>
        <v>1.3914786122434228E-4</v>
      </c>
      <c r="S82" s="3"/>
      <c r="T82" s="6"/>
      <c r="U82" s="3"/>
      <c r="V82" s="7">
        <f t="shared" si="17"/>
        <v>0</v>
      </c>
      <c r="W82" s="3"/>
      <c r="X82" s="6">
        <f t="shared" si="18"/>
        <v>71.45</v>
      </c>
      <c r="Y82" s="3"/>
      <c r="Z82" s="7">
        <f t="shared" si="19"/>
        <v>0</v>
      </c>
    </row>
    <row r="83" spans="1:26" s="70" customFormat="1" ht="15" hidden="1" customHeight="1" outlineLevel="2" x14ac:dyDescent="0.3">
      <c r="A83" s="21"/>
      <c r="B83" s="9" t="str">
        <f>CONCATENATE("          ","6237"," - ","JANITORIAL SUPPLIES")</f>
        <v xml:space="preserve">          6237 - JANITORIAL SUPPLIES</v>
      </c>
      <c r="C83" s="9"/>
      <c r="D83" s="6">
        <v>156.44</v>
      </c>
      <c r="E83" s="3"/>
      <c r="F83" s="7">
        <f t="shared" si="12"/>
        <v>1.0080767282742195E-2</v>
      </c>
      <c r="G83" s="3"/>
      <c r="H83" s="6">
        <v>0</v>
      </c>
      <c r="I83" s="3"/>
      <c r="J83" s="7">
        <f t="shared" si="13"/>
        <v>0</v>
      </c>
      <c r="K83" s="3"/>
      <c r="L83" s="6">
        <f t="shared" si="14"/>
        <v>156.44</v>
      </c>
      <c r="M83" s="3"/>
      <c r="N83" s="7">
        <f t="shared" si="15"/>
        <v>0</v>
      </c>
      <c r="O83" s="9"/>
      <c r="P83" s="6">
        <v>1291.51</v>
      </c>
      <c r="Q83" s="3"/>
      <c r="R83" s="7">
        <f t="shared" si="16"/>
        <v>2.5151974002778207E-3</v>
      </c>
      <c r="S83" s="3"/>
      <c r="T83" s="6">
        <v>250</v>
      </c>
      <c r="U83" s="3"/>
      <c r="V83" s="7">
        <f t="shared" si="17"/>
        <v>4.8271028308061843E-4</v>
      </c>
      <c r="W83" s="3"/>
      <c r="X83" s="6">
        <f t="shared" si="18"/>
        <v>1041.51</v>
      </c>
      <c r="Y83" s="3"/>
      <c r="Z83" s="7">
        <f t="shared" si="19"/>
        <v>4.1660399999999997</v>
      </c>
    </row>
    <row r="84" spans="1:26" s="70" customFormat="1" ht="15" hidden="1" customHeight="1" outlineLevel="2" x14ac:dyDescent="0.3">
      <c r="A84" s="21"/>
      <c r="B84" s="9" t="str">
        <f>CONCATENATE("          ","6241"," - ","OFFICE EXPENSE")</f>
        <v xml:space="preserve">          6241 - OFFICE EXPENSE</v>
      </c>
      <c r="C84" s="9"/>
      <c r="D84" s="6"/>
      <c r="E84" s="3"/>
      <c r="F84" s="7">
        <f t="shared" si="12"/>
        <v>0</v>
      </c>
      <c r="G84" s="3"/>
      <c r="H84" s="6"/>
      <c r="I84" s="3"/>
      <c r="J84" s="7">
        <f t="shared" si="13"/>
        <v>0</v>
      </c>
      <c r="K84" s="3"/>
      <c r="L84" s="6">
        <f t="shared" si="14"/>
        <v>0</v>
      </c>
      <c r="M84" s="3"/>
      <c r="N84" s="7">
        <f t="shared" si="15"/>
        <v>0</v>
      </c>
      <c r="O84" s="9"/>
      <c r="P84" s="6">
        <v>476.56</v>
      </c>
      <c r="Q84" s="3"/>
      <c r="R84" s="7">
        <f t="shared" si="16"/>
        <v>9.2809383827953179E-4</v>
      </c>
      <c r="S84" s="3"/>
      <c r="T84" s="6"/>
      <c r="U84" s="3"/>
      <c r="V84" s="7">
        <f t="shared" si="17"/>
        <v>0</v>
      </c>
      <c r="W84" s="3"/>
      <c r="X84" s="6">
        <f t="shared" si="18"/>
        <v>476.56</v>
      </c>
      <c r="Y84" s="3"/>
      <c r="Z84" s="7">
        <f t="shared" si="19"/>
        <v>0</v>
      </c>
    </row>
    <row r="85" spans="1:26" s="70" customFormat="1" ht="15" hidden="1" customHeight="1" outlineLevel="2" x14ac:dyDescent="0.3">
      <c r="A85" s="21"/>
      <c r="B85" s="9" t="str">
        <f>CONCATENATE("          ","6243"," - ","PAPER SUPPLIES")</f>
        <v xml:space="preserve">          6243 - PAPER SUPPLIES</v>
      </c>
      <c r="C85" s="9"/>
      <c r="D85" s="6"/>
      <c r="E85" s="3"/>
      <c r="F85" s="7">
        <f t="shared" si="12"/>
        <v>0</v>
      </c>
      <c r="G85" s="3"/>
      <c r="H85" s="6">
        <v>200</v>
      </c>
      <c r="I85" s="3"/>
      <c r="J85" s="7">
        <f t="shared" si="13"/>
        <v>1.5355086372360844E-2</v>
      </c>
      <c r="K85" s="3"/>
      <c r="L85" s="6">
        <f t="shared" si="14"/>
        <v>-200</v>
      </c>
      <c r="M85" s="3"/>
      <c r="N85" s="7">
        <f t="shared" si="15"/>
        <v>-1</v>
      </c>
      <c r="O85" s="9"/>
      <c r="P85" s="6">
        <v>721.5</v>
      </c>
      <c r="Q85" s="3"/>
      <c r="R85" s="7">
        <f t="shared" si="16"/>
        <v>1.4051110129232043E-3</v>
      </c>
      <c r="S85" s="3"/>
      <c r="T85" s="6">
        <v>2200</v>
      </c>
      <c r="U85" s="3"/>
      <c r="V85" s="7">
        <f t="shared" si="17"/>
        <v>4.2478504911094422E-3</v>
      </c>
      <c r="W85" s="3"/>
      <c r="X85" s="6">
        <f t="shared" si="18"/>
        <v>-1478.5</v>
      </c>
      <c r="Y85" s="3"/>
      <c r="Z85" s="7">
        <f t="shared" si="19"/>
        <v>-0.6720454545454545</v>
      </c>
    </row>
    <row r="86" spans="1:26" s="70" customFormat="1" ht="15" hidden="1" customHeight="1" outlineLevel="2" x14ac:dyDescent="0.3">
      <c r="A86" s="21"/>
      <c r="B86" s="9" t="str">
        <f>CONCATENATE("          ","6247"," - ","STORE SUPPLIES")</f>
        <v xml:space="preserve">          6247 - STORE SUPPLIES</v>
      </c>
      <c r="C86" s="9"/>
      <c r="D86" s="6">
        <v>49.7</v>
      </c>
      <c r="E86" s="3"/>
      <c r="F86" s="7">
        <f t="shared" si="12"/>
        <v>3.202596100436507E-3</v>
      </c>
      <c r="G86" s="3"/>
      <c r="H86" s="6">
        <v>250</v>
      </c>
      <c r="I86" s="3"/>
      <c r="J86" s="7">
        <f t="shared" si="13"/>
        <v>1.9193857965451054E-2</v>
      </c>
      <c r="K86" s="3"/>
      <c r="L86" s="6">
        <f t="shared" si="14"/>
        <v>-200.3</v>
      </c>
      <c r="M86" s="3"/>
      <c r="N86" s="7">
        <f t="shared" si="15"/>
        <v>-0.80120000000000002</v>
      </c>
      <c r="O86" s="9"/>
      <c r="P86" s="6">
        <v>2941.33</v>
      </c>
      <c r="Q86" s="3"/>
      <c r="R86" s="7">
        <f t="shared" si="16"/>
        <v>5.7281984416374335E-3</v>
      </c>
      <c r="S86" s="3"/>
      <c r="T86" s="6">
        <v>17550</v>
      </c>
      <c r="U86" s="3"/>
      <c r="V86" s="7">
        <f t="shared" si="17"/>
        <v>3.3886261872259411E-2</v>
      </c>
      <c r="W86" s="3"/>
      <c r="X86" s="6">
        <f t="shared" si="18"/>
        <v>-14608.67</v>
      </c>
      <c r="Y86" s="3"/>
      <c r="Z86" s="7">
        <f t="shared" si="19"/>
        <v>-0.832402849002849</v>
      </c>
    </row>
    <row r="87" spans="1:26" s="69" customFormat="1" ht="15" customHeight="1" outlineLevel="1" collapsed="1" x14ac:dyDescent="0.3">
      <c r="A87" s="20"/>
      <c r="B87" s="11" t="str">
        <f>CONCATENATE("     ","Telephone/Data Lines                              ")</f>
        <v xml:space="preserve">     Telephone/Data Lines                              </v>
      </c>
      <c r="C87" s="11"/>
      <c r="D87" s="2">
        <f>SUM(OSRRefD22_15x_0)</f>
        <v>103.5</v>
      </c>
      <c r="E87" s="2"/>
      <c r="F87" s="5">
        <f t="shared" si="12"/>
        <v>6.669390269520693E-3</v>
      </c>
      <c r="G87" s="2"/>
      <c r="H87" s="2">
        <f>SUM(OSRRefH22_15x_0)</f>
        <v>178</v>
      </c>
      <c r="I87" s="2"/>
      <c r="J87" s="5">
        <f t="shared" si="13"/>
        <v>1.3666026871401152E-2</v>
      </c>
      <c r="K87" s="2"/>
      <c r="L87" s="2">
        <f t="shared" si="14"/>
        <v>-74.5</v>
      </c>
      <c r="M87" s="2"/>
      <c r="N87" s="5">
        <f t="shared" si="15"/>
        <v>-0.41853932584269665</v>
      </c>
      <c r="O87" s="11"/>
      <c r="P87" s="2">
        <f>SUM(OSRRefP22_15x_0)</f>
        <v>2003.5</v>
      </c>
      <c r="Q87" s="2"/>
      <c r="R87" s="5">
        <f t="shared" si="16"/>
        <v>3.9017878231346358E-3</v>
      </c>
      <c r="S87" s="2"/>
      <c r="T87" s="2">
        <f>SUM(OSRRefT22_15x_0)</f>
        <v>2136</v>
      </c>
      <c r="U87" s="2"/>
      <c r="V87" s="5">
        <f t="shared" si="17"/>
        <v>4.1242766586408039E-3</v>
      </c>
      <c r="W87" s="2"/>
      <c r="X87" s="2">
        <f t="shared" si="18"/>
        <v>-132.5</v>
      </c>
      <c r="Y87" s="2"/>
      <c r="Z87" s="5">
        <f t="shared" si="19"/>
        <v>-6.2031835205992508E-2</v>
      </c>
    </row>
    <row r="88" spans="1:26" s="70" customFormat="1" ht="15" hidden="1" customHeight="1" outlineLevel="2" x14ac:dyDescent="0.3">
      <c r="A88" s="21"/>
      <c r="B88" s="9" t="str">
        <f>CONCATENATE("          ","6303"," - ","DATA PHONE LINES")</f>
        <v xml:space="preserve">          6303 - DATA PHONE LINES</v>
      </c>
      <c r="C88" s="9"/>
      <c r="D88" s="6"/>
      <c r="E88" s="3"/>
      <c r="F88" s="7">
        <f t="shared" si="12"/>
        <v>0</v>
      </c>
      <c r="G88" s="3"/>
      <c r="H88" s="6">
        <v>50</v>
      </c>
      <c r="I88" s="3"/>
      <c r="J88" s="7">
        <f t="shared" si="13"/>
        <v>3.838771593090211E-3</v>
      </c>
      <c r="K88" s="3"/>
      <c r="L88" s="6">
        <f t="shared" si="14"/>
        <v>-50</v>
      </c>
      <c r="M88" s="3"/>
      <c r="N88" s="7">
        <f t="shared" si="15"/>
        <v>-1</v>
      </c>
      <c r="O88" s="9"/>
      <c r="P88" s="6"/>
      <c r="Q88" s="3"/>
      <c r="R88" s="7">
        <f t="shared" si="16"/>
        <v>0</v>
      </c>
      <c r="S88" s="3"/>
      <c r="T88" s="6">
        <v>600</v>
      </c>
      <c r="U88" s="3"/>
      <c r="V88" s="7">
        <f t="shared" si="17"/>
        <v>1.1585046793934843E-3</v>
      </c>
      <c r="W88" s="3"/>
      <c r="X88" s="6">
        <f t="shared" si="18"/>
        <v>-600</v>
      </c>
      <c r="Y88" s="3"/>
      <c r="Z88" s="7">
        <f t="shared" si="19"/>
        <v>-1</v>
      </c>
    </row>
    <row r="89" spans="1:26" s="70" customFormat="1" ht="15" hidden="1" customHeight="1" outlineLevel="2" x14ac:dyDescent="0.3">
      <c r="A89" s="21"/>
      <c r="B89" s="9" t="str">
        <f>CONCATENATE("          ","6309"," - ","TELEPHONE")</f>
        <v xml:space="preserve">          6309 - TELEPHONE</v>
      </c>
      <c r="C89" s="9"/>
      <c r="D89" s="6">
        <v>103.5</v>
      </c>
      <c r="E89" s="3"/>
      <c r="F89" s="7">
        <f t="shared" si="12"/>
        <v>6.669390269520693E-3</v>
      </c>
      <c r="G89" s="3"/>
      <c r="H89" s="6">
        <v>128</v>
      </c>
      <c r="I89" s="3"/>
      <c r="J89" s="7">
        <f t="shared" si="13"/>
        <v>9.8272552783109403E-3</v>
      </c>
      <c r="K89" s="3"/>
      <c r="L89" s="6">
        <f t="shared" si="14"/>
        <v>-24.5</v>
      </c>
      <c r="M89" s="3"/>
      <c r="N89" s="7">
        <f t="shared" si="15"/>
        <v>-0.19140625</v>
      </c>
      <c r="O89" s="9"/>
      <c r="P89" s="6">
        <v>2003.5</v>
      </c>
      <c r="Q89" s="3"/>
      <c r="R89" s="7">
        <f t="shared" si="16"/>
        <v>3.9017878231346358E-3</v>
      </c>
      <c r="S89" s="3"/>
      <c r="T89" s="6">
        <v>1536</v>
      </c>
      <c r="U89" s="3"/>
      <c r="V89" s="7">
        <f t="shared" si="17"/>
        <v>2.9657719792473194E-3</v>
      </c>
      <c r="W89" s="3"/>
      <c r="X89" s="6">
        <f t="shared" si="18"/>
        <v>467.5</v>
      </c>
      <c r="Y89" s="3"/>
      <c r="Z89" s="7">
        <f t="shared" si="19"/>
        <v>0.30436197916666669</v>
      </c>
    </row>
    <row r="90" spans="1:26" s="69" customFormat="1" ht="15" customHeight="1" outlineLevel="1" collapsed="1" x14ac:dyDescent="0.3">
      <c r="A90" s="20"/>
      <c r="B90" s="11" t="str">
        <f>CONCATENATE("     ","Training                                          ")</f>
        <v xml:space="preserve">     Training                                          </v>
      </c>
      <c r="C90" s="11"/>
      <c r="D90" s="2">
        <f>SUM(OSRRefD22_16x_0)</f>
        <v>0</v>
      </c>
      <c r="E90" s="2"/>
      <c r="F90" s="5">
        <f t="shared" si="12"/>
        <v>0</v>
      </c>
      <c r="G90" s="2"/>
      <c r="H90" s="2">
        <f>SUM(OSRRefH22_16x_0)</f>
        <v>0</v>
      </c>
      <c r="I90" s="2"/>
      <c r="J90" s="5">
        <f t="shared" si="13"/>
        <v>0</v>
      </c>
      <c r="K90" s="2"/>
      <c r="L90" s="2">
        <f t="shared" si="14"/>
        <v>0</v>
      </c>
      <c r="M90" s="2"/>
      <c r="N90" s="5">
        <f t="shared" si="15"/>
        <v>0</v>
      </c>
      <c r="O90" s="11"/>
      <c r="P90" s="2">
        <f>SUM(OSRRefP22_16x_0)</f>
        <v>320</v>
      </c>
      <c r="Q90" s="2"/>
      <c r="R90" s="5">
        <f t="shared" si="16"/>
        <v>6.231954596471592E-4</v>
      </c>
      <c r="S90" s="2"/>
      <c r="T90" s="2">
        <f>SUM(OSRRefT22_16x_0)</f>
        <v>150</v>
      </c>
      <c r="U90" s="2"/>
      <c r="V90" s="5">
        <f t="shared" si="17"/>
        <v>2.8962616984837107E-4</v>
      </c>
      <c r="W90" s="2"/>
      <c r="X90" s="2">
        <f t="shared" si="18"/>
        <v>170</v>
      </c>
      <c r="Y90" s="2"/>
      <c r="Z90" s="5">
        <f t="shared" si="19"/>
        <v>1.1333333333333333</v>
      </c>
    </row>
    <row r="91" spans="1:26" s="70" customFormat="1" ht="15" hidden="1" customHeight="1" outlineLevel="2" x14ac:dyDescent="0.3">
      <c r="A91" s="21"/>
      <c r="B91" s="9" t="str">
        <f>CONCATENATE("          ","6376"," - ","TRAINING")</f>
        <v xml:space="preserve">          6376 - TRAINING</v>
      </c>
      <c r="C91" s="9"/>
      <c r="D91" s="6"/>
      <c r="E91" s="3"/>
      <c r="F91" s="7">
        <f t="shared" si="12"/>
        <v>0</v>
      </c>
      <c r="G91" s="3"/>
      <c r="H91" s="6"/>
      <c r="I91" s="3"/>
      <c r="J91" s="7">
        <f t="shared" si="13"/>
        <v>0</v>
      </c>
      <c r="K91" s="3"/>
      <c r="L91" s="6">
        <f t="shared" si="14"/>
        <v>0</v>
      </c>
      <c r="M91" s="3"/>
      <c r="N91" s="7">
        <f t="shared" si="15"/>
        <v>0</v>
      </c>
      <c r="O91" s="9"/>
      <c r="P91" s="6">
        <v>320</v>
      </c>
      <c r="Q91" s="3"/>
      <c r="R91" s="7">
        <f t="shared" si="16"/>
        <v>6.231954596471592E-4</v>
      </c>
      <c r="S91" s="3"/>
      <c r="T91" s="6">
        <v>150</v>
      </c>
      <c r="U91" s="3"/>
      <c r="V91" s="7">
        <f t="shared" si="17"/>
        <v>2.8962616984837107E-4</v>
      </c>
      <c r="W91" s="3"/>
      <c r="X91" s="6">
        <f t="shared" si="18"/>
        <v>170</v>
      </c>
      <c r="Y91" s="3"/>
      <c r="Z91" s="7">
        <f t="shared" si="19"/>
        <v>1.1333333333333333</v>
      </c>
    </row>
    <row r="92" spans="1:26" s="69" customFormat="1" ht="15" customHeight="1" outlineLevel="1" collapsed="1" x14ac:dyDescent="0.3">
      <c r="A92" s="20"/>
      <c r="B92" s="11" t="str">
        <f>CONCATENATE("     ","Utilities                                         ")</f>
        <v xml:space="preserve">     Utilities                                         </v>
      </c>
      <c r="C92" s="11"/>
      <c r="D92" s="2">
        <f>SUM(OSRRefD22_17x_0)</f>
        <v>-584.51</v>
      </c>
      <c r="E92" s="2"/>
      <c r="F92" s="5">
        <f t="shared" si="12"/>
        <v>-3.7664978806159807E-2</v>
      </c>
      <c r="G92" s="2"/>
      <c r="H92" s="2">
        <f>SUM(OSRRefH22_17x_0)</f>
        <v>0</v>
      </c>
      <c r="I92" s="2"/>
      <c r="J92" s="5">
        <f t="shared" si="13"/>
        <v>0</v>
      </c>
      <c r="K92" s="2"/>
      <c r="L92" s="2">
        <f t="shared" si="14"/>
        <v>-584.51</v>
      </c>
      <c r="M92" s="2"/>
      <c r="N92" s="5">
        <f t="shared" si="15"/>
        <v>0</v>
      </c>
      <c r="O92" s="11"/>
      <c r="P92" s="2">
        <f>SUM(OSRRefP22_17x_0)</f>
        <v>658.47</v>
      </c>
      <c r="Q92" s="2"/>
      <c r="R92" s="5">
        <f t="shared" si="16"/>
        <v>1.2823609822308279E-3</v>
      </c>
      <c r="S92" s="2"/>
      <c r="T92" s="2">
        <f>SUM(OSRRefT22_17x_0)</f>
        <v>0</v>
      </c>
      <c r="U92" s="2"/>
      <c r="V92" s="5">
        <f t="shared" si="17"/>
        <v>0</v>
      </c>
      <c r="W92" s="2"/>
      <c r="X92" s="2">
        <f t="shared" si="18"/>
        <v>658.47</v>
      </c>
      <c r="Y92" s="2"/>
      <c r="Z92" s="5">
        <f t="shared" si="19"/>
        <v>0</v>
      </c>
    </row>
    <row r="93" spans="1:26" s="70" customFormat="1" ht="15" hidden="1" customHeight="1" outlineLevel="2" x14ac:dyDescent="0.3">
      <c r="A93" s="21"/>
      <c r="B93" s="9" t="str">
        <f>CONCATENATE("          ","6274"," - ","UTILITIES")</f>
        <v xml:space="preserve">          6274 - UTILITIES</v>
      </c>
      <c r="C93" s="9"/>
      <c r="D93" s="6">
        <v>-584.51</v>
      </c>
      <c r="E93" s="3"/>
      <c r="F93" s="7">
        <f t="shared" si="12"/>
        <v>-3.7664978806159807E-2</v>
      </c>
      <c r="G93" s="3"/>
      <c r="H93" s="6">
        <v>0</v>
      </c>
      <c r="I93" s="3"/>
      <c r="J93" s="7">
        <f t="shared" si="13"/>
        <v>0</v>
      </c>
      <c r="K93" s="3"/>
      <c r="L93" s="6">
        <f t="shared" si="14"/>
        <v>-584.51</v>
      </c>
      <c r="M93" s="3"/>
      <c r="N93" s="7">
        <f t="shared" si="15"/>
        <v>0</v>
      </c>
      <c r="O93" s="9"/>
      <c r="P93" s="6">
        <v>658.47</v>
      </c>
      <c r="Q93" s="3"/>
      <c r="R93" s="7">
        <f t="shared" si="16"/>
        <v>1.2823609822308279E-3</v>
      </c>
      <c r="S93" s="3"/>
      <c r="T93" s="6">
        <v>0</v>
      </c>
      <c r="U93" s="3"/>
      <c r="V93" s="7">
        <f t="shared" si="17"/>
        <v>0</v>
      </c>
      <c r="W93" s="3"/>
      <c r="X93" s="6">
        <f t="shared" si="18"/>
        <v>658.47</v>
      </c>
      <c r="Y93" s="3"/>
      <c r="Z93" s="7">
        <f t="shared" si="19"/>
        <v>0</v>
      </c>
    </row>
    <row r="94" spans="1:26" s="65" customFormat="1" ht="15" customHeight="1" x14ac:dyDescent="0.3">
      <c r="A94" s="36"/>
      <c r="B94" s="36"/>
      <c r="C94" s="36"/>
      <c r="D94" s="2"/>
      <c r="E94" s="2"/>
      <c r="F94" s="5"/>
      <c r="G94" s="2"/>
      <c r="H94" s="2"/>
      <c r="I94" s="2"/>
      <c r="J94" s="5"/>
      <c r="K94" s="2"/>
      <c r="L94" s="2"/>
      <c r="M94" s="2"/>
      <c r="N94" s="5"/>
      <c r="O94" s="36"/>
      <c r="P94" s="2"/>
      <c r="Q94" s="2"/>
      <c r="R94" s="5"/>
      <c r="S94" s="2"/>
      <c r="T94" s="2"/>
      <c r="U94" s="2"/>
      <c r="V94" s="5"/>
      <c r="W94" s="2"/>
      <c r="X94" s="2"/>
      <c r="Y94" s="2"/>
      <c r="Z94" s="5"/>
    </row>
    <row r="95" spans="1:26" s="63" customFormat="1" ht="15" customHeight="1" x14ac:dyDescent="0.3">
      <c r="A95" s="13"/>
      <c r="B95" s="28" t="s">
        <v>291</v>
      </c>
      <c r="C95" s="13"/>
      <c r="D95" s="8">
        <f>SUM(0)</f>
        <v>0</v>
      </c>
      <c r="E95" s="8"/>
      <c r="F95" s="14">
        <f>IF(D$12=0,0,D95/D$12)</f>
        <v>0</v>
      </c>
      <c r="G95" s="8"/>
      <c r="H95" s="8">
        <f>SUM(0)</f>
        <v>0</v>
      </c>
      <c r="I95" s="8"/>
      <c r="J95" s="14">
        <f>IF(H$12=0,0,H95/H$12)</f>
        <v>0</v>
      </c>
      <c r="K95" s="8"/>
      <c r="L95" s="8">
        <f>+D95-H95</f>
        <v>0</v>
      </c>
      <c r="M95" s="8"/>
      <c r="N95" s="14">
        <f>IF(H95=0,0,L95/H95)</f>
        <v>0</v>
      </c>
      <c r="O95" s="13"/>
      <c r="P95" s="8">
        <f>SUM(0)</f>
        <v>0</v>
      </c>
      <c r="Q95" s="8"/>
      <c r="R95" s="14">
        <f>IF(P$12=0,0,P95/P$12)</f>
        <v>0</v>
      </c>
      <c r="S95" s="8"/>
      <c r="T95" s="8">
        <f>SUM(0)</f>
        <v>0</v>
      </c>
      <c r="U95" s="8"/>
      <c r="V95" s="14">
        <f>IF(T$12=0,0,T95/T$12)</f>
        <v>0</v>
      </c>
      <c r="W95" s="8"/>
      <c r="X95" s="8">
        <f>+P95-T95</f>
        <v>0</v>
      </c>
      <c r="Y95" s="8"/>
      <c r="Z95" s="14">
        <f>IF(T95=0,0,X95/T95)</f>
        <v>0</v>
      </c>
    </row>
    <row r="96" spans="1:26" ht="15" customHeight="1" x14ac:dyDescent="0.3">
      <c r="A96" s="12"/>
      <c r="B96" s="13"/>
      <c r="C96" s="13"/>
      <c r="D96" s="4"/>
      <c r="E96" s="4"/>
      <c r="F96" s="10"/>
      <c r="G96" s="4"/>
      <c r="H96" s="4"/>
      <c r="I96" s="4"/>
      <c r="J96" s="10"/>
      <c r="K96" s="4"/>
      <c r="L96" s="4"/>
      <c r="M96" s="4"/>
      <c r="N96" s="10"/>
      <c r="O96" s="13"/>
      <c r="P96" s="4"/>
      <c r="Q96" s="4"/>
      <c r="R96" s="10"/>
      <c r="S96" s="4"/>
      <c r="T96" s="4"/>
      <c r="U96" s="4"/>
      <c r="V96" s="10"/>
      <c r="W96" s="4"/>
      <c r="X96" s="4"/>
      <c r="Y96" s="4"/>
      <c r="Z96" s="10"/>
    </row>
    <row r="97" spans="1:26" s="63" customFormat="1" ht="15" customHeight="1" x14ac:dyDescent="0.3">
      <c r="A97" s="13"/>
      <c r="B97" s="27" t="s">
        <v>292</v>
      </c>
      <c r="C97" s="27"/>
      <c r="D97" s="23">
        <f>+D25-D27+D95</f>
        <v>-42905.969999999987</v>
      </c>
      <c r="E97" s="15"/>
      <c r="F97" s="22">
        <f>IF(D$12=0,0,D97/D$12)</f>
        <v>-2.7647986359647021</v>
      </c>
      <c r="G97" s="15"/>
      <c r="H97" s="23">
        <f>+H25-H27+H95</f>
        <v>-21664.54540580769</v>
      </c>
      <c r="I97" s="15"/>
      <c r="J97" s="22">
        <f>IF(H$12=0,0,H97/H$12)</f>
        <v>-1.6633048296205519</v>
      </c>
      <c r="K97" s="17"/>
      <c r="L97" s="23">
        <f>+D97-H97</f>
        <v>-21241.424594192296</v>
      </c>
      <c r="M97" s="17"/>
      <c r="N97" s="22">
        <f>IF(H97=0,0,L97/H97)</f>
        <v>0.98046943502899597</v>
      </c>
      <c r="O97" s="28"/>
      <c r="P97" s="23">
        <f>+P25-P27+P95</f>
        <v>-141792.66000000015</v>
      </c>
      <c r="Q97" s="15"/>
      <c r="R97" s="22">
        <f>IF(P$12=0,0,P97/P$12)</f>
        <v>-0.27613919351029204</v>
      </c>
      <c r="S97" s="15"/>
      <c r="T97" s="23">
        <f>+T25-T27+T95</f>
        <v>-172469.20735474996</v>
      </c>
      <c r="U97" s="15"/>
      <c r="V97" s="22">
        <f>IF(T$12=0,0,T97/T$12)</f>
        <v>-0.33301063961960492</v>
      </c>
      <c r="W97" s="17"/>
      <c r="X97" s="23">
        <f>+P97-T97</f>
        <v>30676.547354749811</v>
      </c>
      <c r="Y97" s="17"/>
      <c r="Z97" s="22">
        <f>IF(T97=0,0,X97/T97)</f>
        <v>-0.1778668077928344</v>
      </c>
    </row>
    <row r="98" spans="1:26" ht="15" customHeight="1" x14ac:dyDescent="0.3">
      <c r="A98" s="12"/>
      <c r="B98" s="13"/>
      <c r="C98" s="12"/>
      <c r="D98" s="4"/>
      <c r="E98" s="4"/>
      <c r="F98" s="10"/>
      <c r="G98" s="4"/>
      <c r="H98" s="4"/>
      <c r="I98" s="4"/>
      <c r="J98" s="10"/>
      <c r="K98" s="4"/>
      <c r="L98" s="4"/>
      <c r="M98" s="4"/>
      <c r="N98" s="10"/>
      <c r="P98" s="4"/>
      <c r="Q98" s="4"/>
      <c r="R98" s="10"/>
      <c r="S98" s="4"/>
      <c r="T98" s="4"/>
      <c r="U98" s="4"/>
      <c r="V98" s="10"/>
      <c r="W98" s="4"/>
      <c r="X98" s="4"/>
      <c r="Y98" s="4"/>
      <c r="Z98" s="10"/>
    </row>
    <row r="99" spans="1:26" s="63" customFormat="1" ht="15" customHeight="1" x14ac:dyDescent="0.3">
      <c r="A99" s="49"/>
      <c r="B99" s="13" t="s">
        <v>293</v>
      </c>
      <c r="C99" s="13"/>
      <c r="D99" s="8">
        <v>-115182.53</v>
      </c>
      <c r="E99" s="8"/>
      <c r="F99" s="14">
        <f>IF(D$12=0,0,D99/D$12)</f>
        <v>-7.4221956019398583</v>
      </c>
      <c r="G99" s="8"/>
      <c r="H99" s="8">
        <v>-3859</v>
      </c>
      <c r="I99" s="8"/>
      <c r="J99" s="14">
        <f>IF(H$12=0,0,H99/H$12)</f>
        <v>-0.29627639155470248</v>
      </c>
      <c r="K99" s="8"/>
      <c r="L99" s="8">
        <f>+D99-H99</f>
        <v>-111323.53</v>
      </c>
      <c r="M99" s="8"/>
      <c r="N99" s="14">
        <f>IF(H99=0,0,L99/H99)</f>
        <v>28.847766260689298</v>
      </c>
      <c r="O99" s="13"/>
      <c r="P99" s="8">
        <v>-59198.76</v>
      </c>
      <c r="Q99" s="8"/>
      <c r="R99" s="14">
        <f>IF(P$12=0,0,P99/P$12)</f>
        <v>-0.11528874515231832</v>
      </c>
      <c r="S99" s="8"/>
      <c r="T99" s="8">
        <v>58726</v>
      </c>
      <c r="U99" s="8"/>
      <c r="V99" s="14">
        <f>IF(T$12=0,0,T99/T$12)</f>
        <v>0.11339057633676959</v>
      </c>
      <c r="W99" s="8"/>
      <c r="X99" s="8">
        <f>+P99-T99</f>
        <v>-117924.76000000001</v>
      </c>
      <c r="Y99" s="8"/>
      <c r="Z99" s="14">
        <f>IF(T99=0,0,X99/T99)</f>
        <v>-2.0080502673432554</v>
      </c>
    </row>
    <row r="100" spans="1:26" ht="15" customHeight="1" x14ac:dyDescent="0.3">
      <c r="A100" s="12"/>
      <c r="B100" s="13"/>
      <c r="C100" s="13"/>
      <c r="D100" s="4"/>
      <c r="E100" s="4"/>
      <c r="F100" s="10"/>
      <c r="G100" s="4"/>
      <c r="H100" s="4"/>
      <c r="I100" s="4"/>
      <c r="J100" s="10"/>
      <c r="K100" s="4"/>
      <c r="L100" s="4"/>
      <c r="M100" s="4"/>
      <c r="N100" s="10"/>
      <c r="O100" s="13"/>
      <c r="P100" s="4"/>
      <c r="Q100" s="4"/>
      <c r="R100" s="10"/>
      <c r="S100" s="4"/>
      <c r="T100" s="4"/>
      <c r="U100" s="4"/>
      <c r="V100" s="10"/>
      <c r="W100" s="4"/>
      <c r="X100" s="4"/>
      <c r="Y100" s="4"/>
      <c r="Z100" s="10"/>
    </row>
    <row r="101" spans="1:26" s="63" customFormat="1" ht="15" customHeight="1" x14ac:dyDescent="0.3">
      <c r="A101" s="13"/>
      <c r="B101" s="27" t="s">
        <v>294</v>
      </c>
      <c r="C101" s="27"/>
      <c r="D101" s="30">
        <f>+D97-D99</f>
        <v>72276.560000000012</v>
      </c>
      <c r="E101" s="15"/>
      <c r="F101" s="35">
        <f>IF(D$12=0,0,D101/D$12)</f>
        <v>4.6573969659751562</v>
      </c>
      <c r="G101" s="15"/>
      <c r="H101" s="30">
        <f>+H97-H99</f>
        <v>-17805.54540580769</v>
      </c>
      <c r="I101" s="15"/>
      <c r="J101" s="35">
        <f>IF(H$12=0,0,H101/H$12)</f>
        <v>-1.3670284380658495</v>
      </c>
      <c r="K101" s="17"/>
      <c r="L101" s="30">
        <f>D101-H101</f>
        <v>90082.105405807699</v>
      </c>
      <c r="M101" s="17"/>
      <c r="N101" s="35">
        <f>IF(H101=0,0,L101/H101)</f>
        <v>-5.059216292044912</v>
      </c>
      <c r="O101" s="28"/>
      <c r="P101" s="30">
        <f>+P97-P99</f>
        <v>-82593.90000000014</v>
      </c>
      <c r="Q101" s="15"/>
      <c r="R101" s="35">
        <f>IF(P$12=0,0,P101/P$12)</f>
        <v>-0.16085044835797371</v>
      </c>
      <c r="S101" s="15"/>
      <c r="T101" s="30">
        <f>+T97-T99</f>
        <v>-231195.20735474996</v>
      </c>
      <c r="U101" s="15"/>
      <c r="V101" s="35">
        <f>IF(T$12=0,0,T101/T$12)</f>
        <v>-0.4464012159563745</v>
      </c>
      <c r="W101" s="17"/>
      <c r="X101" s="30">
        <f>P101-T101</f>
        <v>148601.30735474982</v>
      </c>
      <c r="Y101" s="17"/>
      <c r="Z101" s="35">
        <f>IF(T101=0,0,X101/T101)</f>
        <v>-0.64275254255912573</v>
      </c>
    </row>
    <row r="102" spans="1:26" ht="15" customHeight="1" x14ac:dyDescent="0.3">
      <c r="A102" s="12"/>
      <c r="B102" s="12"/>
      <c r="C102" s="12"/>
      <c r="D102" s="4"/>
      <c r="E102" s="4"/>
      <c r="F102" s="10"/>
      <c r="G102" s="4"/>
      <c r="H102" s="4"/>
      <c r="I102" s="4"/>
      <c r="J102" s="10"/>
      <c r="K102" s="4"/>
      <c r="L102" s="4"/>
      <c r="M102" s="4"/>
      <c r="N102" s="10"/>
      <c r="P102" s="4"/>
      <c r="Q102" s="4"/>
      <c r="R102" s="10"/>
      <c r="S102" s="4"/>
      <c r="T102" s="4"/>
      <c r="U102" s="4"/>
      <c r="V102" s="10"/>
      <c r="W102" s="4"/>
      <c r="X102" s="4"/>
      <c r="Y102" s="4"/>
      <c r="Z102" s="10"/>
    </row>
    <row r="103" spans="1:26" ht="15" customHeight="1" x14ac:dyDescent="0.3">
      <c r="A103" s="12"/>
      <c r="B103" s="12"/>
      <c r="C103" s="12"/>
      <c r="D103" s="4"/>
      <c r="E103" s="4"/>
      <c r="F103" s="10"/>
      <c r="G103" s="4"/>
      <c r="H103" s="4"/>
      <c r="I103" s="4"/>
      <c r="J103" s="10"/>
      <c r="K103" s="4"/>
      <c r="L103" s="4"/>
      <c r="M103" s="4"/>
      <c r="N103" s="10"/>
      <c r="P103" s="4"/>
      <c r="Q103" s="4"/>
      <c r="R103" s="10"/>
      <c r="S103" s="4"/>
      <c r="T103" s="4"/>
      <c r="U103" s="4"/>
      <c r="V103" s="10"/>
      <c r="W103" s="4"/>
      <c r="X103" s="4"/>
      <c r="Y103" s="4"/>
      <c r="Z103" s="10"/>
    </row>
    <row r="104" spans="1:26" s="63" customFormat="1" ht="15" customHeight="1" x14ac:dyDescent="0.3">
      <c r="A104" s="13"/>
      <c r="B104" s="27" t="s">
        <v>297</v>
      </c>
      <c r="C104" s="27"/>
      <c r="D104" s="33">
        <f>SUM(D101:D103)</f>
        <v>72276.560000000012</v>
      </c>
      <c r="E104" s="15"/>
      <c r="F104" s="31">
        <f>IF(D$12=0,0,D104/D$12)</f>
        <v>4.6573969659751562</v>
      </c>
      <c r="G104" s="15"/>
      <c r="H104" s="33">
        <f>SUM(H101:H103)</f>
        <v>-17805.54540580769</v>
      </c>
      <c r="I104" s="15"/>
      <c r="J104" s="31">
        <f>IF(H$12=0,0,H104/H$12)</f>
        <v>-1.3670284380658495</v>
      </c>
      <c r="K104" s="17"/>
      <c r="L104" s="33">
        <f>+D104-H104</f>
        <v>90082.105405807699</v>
      </c>
      <c r="M104" s="17"/>
      <c r="N104" s="31">
        <f>IF(H104=0,0,L104/H104)</f>
        <v>-5.059216292044912</v>
      </c>
      <c r="O104" s="28"/>
      <c r="P104" s="33">
        <f>SUM(P101:P103)</f>
        <v>-82593.90000000014</v>
      </c>
      <c r="Q104" s="15"/>
      <c r="R104" s="31">
        <f>IF(P$12=0,0,P104/P$12)</f>
        <v>-0.16085044835797371</v>
      </c>
      <c r="S104" s="15"/>
      <c r="T104" s="33">
        <f>SUM(T101:T103)</f>
        <v>-231195.20735474996</v>
      </c>
      <c r="U104" s="15"/>
      <c r="V104" s="31">
        <f>IF(T$12=0,0,T104/T$12)</f>
        <v>-0.4464012159563745</v>
      </c>
      <c r="W104" s="17"/>
      <c r="X104" s="33">
        <f>+P104-T104</f>
        <v>148601.30735474982</v>
      </c>
      <c r="Y104" s="17"/>
      <c r="Z104" s="31">
        <f>IF(T104=0,0,X104/T104)</f>
        <v>-0.64275254255912573</v>
      </c>
    </row>
    <row r="105" spans="1:26" ht="15" customHeight="1" x14ac:dyDescent="0.3">
      <c r="A105" s="12"/>
      <c r="C105" s="12"/>
      <c r="D105" s="19"/>
      <c r="E105" s="19"/>
      <c r="G105" s="19"/>
      <c r="H105" s="19"/>
      <c r="I105" s="19"/>
      <c r="J105" s="41"/>
      <c r="K105" s="19"/>
      <c r="L105" s="19"/>
      <c r="M105" s="19"/>
      <c r="P105" s="19"/>
      <c r="Q105" s="19"/>
      <c r="R105" s="41"/>
      <c r="S105" s="19"/>
      <c r="T105" s="19"/>
      <c r="U105" s="19"/>
      <c r="V105" s="41"/>
      <c r="W105" s="19"/>
      <c r="X105" s="19"/>
    </row>
    <row r="106" spans="1:26" ht="15" customHeight="1" x14ac:dyDescent="0.3">
      <c r="A106" s="12"/>
      <c r="B106" s="50">
        <v>44767.799508680553</v>
      </c>
      <c r="D106" s="19"/>
      <c r="E106" s="19"/>
      <c r="G106" s="19"/>
      <c r="H106" s="19"/>
      <c r="I106" s="19"/>
      <c r="J106" s="41"/>
      <c r="K106" s="19"/>
      <c r="L106" s="19"/>
      <c r="M106" s="19"/>
      <c r="P106" s="19"/>
      <c r="Q106" s="19"/>
      <c r="R106" s="41"/>
      <c r="S106" s="19"/>
      <c r="T106" s="19"/>
      <c r="U106" s="19"/>
      <c r="V106" s="41"/>
      <c r="W106" s="19"/>
      <c r="X106" s="19"/>
    </row>
    <row r="107" spans="1:26" ht="15" customHeight="1" x14ac:dyDescent="0.3">
      <c r="A107" s="12"/>
      <c r="B107" s="57" t="s">
        <v>298</v>
      </c>
      <c r="D107" s="19"/>
      <c r="E107" s="19"/>
      <c r="G107" s="19"/>
      <c r="H107" s="19"/>
      <c r="I107" s="19"/>
      <c r="J107" s="41"/>
      <c r="K107" s="19"/>
      <c r="L107" s="19"/>
      <c r="M107" s="19"/>
      <c r="P107" s="19"/>
      <c r="Q107" s="19"/>
      <c r="R107" s="41"/>
      <c r="S107" s="19"/>
      <c r="T107" s="19"/>
      <c r="U107" s="19"/>
      <c r="V107" s="41"/>
      <c r="W107" s="19"/>
      <c r="X107" s="19"/>
    </row>
    <row r="108" spans="1:26" ht="15" customHeight="1" x14ac:dyDescent="0.3">
      <c r="A108" s="12"/>
      <c r="B108" s="51"/>
      <c r="D108" s="19"/>
      <c r="E108" s="19"/>
      <c r="G108" s="19"/>
      <c r="H108" s="19"/>
      <c r="I108" s="19"/>
      <c r="J108" s="41"/>
      <c r="K108" s="19"/>
      <c r="L108" s="19"/>
      <c r="M108" s="19"/>
      <c r="P108" s="19"/>
      <c r="Q108" s="19"/>
      <c r="R108" s="41"/>
      <c r="S108" s="19"/>
      <c r="T108" s="19"/>
      <c r="U108" s="19"/>
      <c r="V108" s="41"/>
      <c r="W108" s="19"/>
      <c r="X108" s="19"/>
    </row>
    <row r="109" spans="1:26" ht="15" customHeight="1" x14ac:dyDescent="0.3">
      <c r="D109" s="19"/>
      <c r="E109" s="19"/>
      <c r="G109" s="19"/>
      <c r="H109" s="19"/>
      <c r="I109" s="19"/>
      <c r="J109" s="41"/>
      <c r="K109" s="19"/>
      <c r="L109" s="19"/>
      <c r="M109" s="19"/>
      <c r="P109" s="19"/>
      <c r="Q109" s="19"/>
      <c r="R109" s="41"/>
      <c r="S109" s="19"/>
      <c r="T109" s="19"/>
      <c r="U109" s="19"/>
      <c r="V109" s="41"/>
      <c r="W109" s="19"/>
      <c r="X109" s="19"/>
    </row>
  </sheetData>
  <pageMargins left="0.25" right="0.25" top="0.75" bottom="0.75" header="0.3" footer="0.3"/>
  <pageSetup scale="55" orientation="landscape" r:id="rId1"/>
  <headerFooter>
    <oddHeader>&amp;RPre-Audit</oddHeader>
    <oddFooter>&amp;L&amp;C&amp;R</oddFooter>
    <evenHeader>&amp;L&amp;C&amp;R</evenHeader>
    <evenFooter>&amp;L&amp;C&amp;R</even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4A8D95-6D7B-B7B5-A30B-6816CD093376}">
  <sheetPr>
    <tabColor rgb="FF92D050"/>
    <outlinePr summaryBelow="0" summaryRight="0"/>
  </sheetPr>
  <dimension ref="A2:Z71"/>
  <sheetViews>
    <sheetView showGridLines="0" defaultGridColor="0" colorId="8" zoomScale="80" workbookViewId="0">
      <pane xSplit="3" ySplit="10" topLeftCell="D11" activePane="bottomRight" state="frozen"/>
      <selection activeCell="D78" sqref="D78"/>
      <selection pane="topRight" activeCell="D78" sqref="D78"/>
      <selection pane="bottomLeft" activeCell="D78" sqref="D78"/>
      <selection pane="bottomRight" activeCell="D78" sqref="D78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3" t="s">
        <v>276</v>
      </c>
    </row>
    <row r="3" spans="1:26" ht="15" customHeight="1" x14ac:dyDescent="0.3">
      <c r="D3" s="53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3" t="str">
        <f>CONCATENATE("Period ",RIGHT(202212,2),", ",2022)</f>
        <v>Period 12,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5"/>
      <c r="D5" s="60">
        <v>44742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5"/>
      <c r="B6" s="47"/>
      <c r="C6" s="47"/>
      <c r="D6" s="25" t="str">
        <f>CONCATENATE("Department ","309"," - ","Carts")</f>
        <v>Department 309 - Carts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4"/>
    </row>
    <row r="8" spans="1:26" ht="15" customHeight="1" x14ac:dyDescent="0.3">
      <c r="B8" s="54"/>
    </row>
    <row r="9" spans="1:26" ht="15" customHeight="1" x14ac:dyDescent="0.3">
      <c r="B9" s="12"/>
      <c r="C9" s="12"/>
      <c r="D9" s="16" t="s">
        <v>279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280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ht="15" customHeight="1" x14ac:dyDescent="0.3">
      <c r="A10" s="13"/>
      <c r="B10" s="52"/>
      <c r="C10" s="13"/>
      <c r="D10" s="40" t="s">
        <v>281</v>
      </c>
      <c r="E10" s="32"/>
      <c r="F10" s="39" t="s">
        <v>282</v>
      </c>
      <c r="G10" s="32"/>
      <c r="H10" s="45" t="s">
        <v>283</v>
      </c>
      <c r="I10" s="32"/>
      <c r="J10" s="42" t="s">
        <v>284</v>
      </c>
      <c r="K10" s="13"/>
      <c r="L10" s="40" t="s">
        <v>285</v>
      </c>
      <c r="M10" s="13"/>
      <c r="N10" s="39" t="s">
        <v>286</v>
      </c>
      <c r="O10" s="13"/>
      <c r="P10" s="55" t="s">
        <v>281</v>
      </c>
      <c r="Q10" s="32"/>
      <c r="R10" s="39" t="s">
        <v>282</v>
      </c>
      <c r="S10" s="32"/>
      <c r="T10" s="45" t="s">
        <v>283</v>
      </c>
      <c r="U10" s="32"/>
      <c r="V10" s="42" t="s">
        <v>284</v>
      </c>
      <c r="W10" s="13"/>
      <c r="X10" s="40" t="s">
        <v>285</v>
      </c>
      <c r="Y10" s="13"/>
      <c r="Z10" s="39" t="s">
        <v>286</v>
      </c>
    </row>
    <row r="11" spans="1:26" ht="16.5" customHeight="1" x14ac:dyDescent="0.3">
      <c r="A11" s="12"/>
      <c r="B11" s="58"/>
      <c r="C11" s="12"/>
      <c r="D11" s="12"/>
      <c r="E11" s="12"/>
      <c r="F11" s="10"/>
      <c r="G11" s="12"/>
      <c r="H11" s="12"/>
      <c r="I11" s="12"/>
      <c r="J11" s="43"/>
      <c r="K11" s="12"/>
      <c r="L11" s="12"/>
      <c r="M11" s="12"/>
      <c r="N11" s="10"/>
      <c r="P11" s="12"/>
      <c r="Q11" s="12"/>
      <c r="R11" s="10"/>
      <c r="S11" s="12"/>
      <c r="T11" s="12"/>
      <c r="U11" s="12"/>
      <c r="V11" s="43"/>
      <c r="W11" s="12"/>
      <c r="X11" s="12"/>
      <c r="Y11" s="12"/>
      <c r="Z11" s="10"/>
    </row>
    <row r="12" spans="1:26" s="63" customFormat="1" ht="15" customHeight="1" collapsed="1" x14ac:dyDescent="0.3">
      <c r="A12" s="13"/>
      <c r="B12" s="28" t="s">
        <v>287</v>
      </c>
      <c r="C12" s="13"/>
      <c r="D12" s="8">
        <f>SUM(OSRRefD13x_0)</f>
        <v>0</v>
      </c>
      <c r="E12" s="8"/>
      <c r="F12" s="14"/>
      <c r="G12" s="8"/>
      <c r="H12" s="8">
        <f>SUM(OSRRefH13x_0)</f>
        <v>0</v>
      </c>
      <c r="I12" s="8"/>
      <c r="J12" s="14"/>
      <c r="K12" s="8"/>
      <c r="L12" s="8">
        <f>+D12-H12</f>
        <v>0</v>
      </c>
      <c r="M12" s="8"/>
      <c r="N12" s="14">
        <f>IF(H12=0,0,L12/H12)</f>
        <v>0</v>
      </c>
      <c r="O12" s="13"/>
      <c r="P12" s="8">
        <f>SUM(OSRRefP13x_0)</f>
        <v>92376.910000000018</v>
      </c>
      <c r="Q12" s="8"/>
      <c r="R12" s="14"/>
      <c r="S12" s="8"/>
      <c r="T12" s="8">
        <f>SUM(OSRRefT13x_0)</f>
        <v>0</v>
      </c>
      <c r="U12" s="8"/>
      <c r="V12" s="14"/>
      <c r="W12" s="8"/>
      <c r="X12" s="8">
        <f>+P12-T12</f>
        <v>92376.910000000018</v>
      </c>
      <c r="Y12" s="8"/>
      <c r="Z12" s="14">
        <f>IF(T12=0,0,X12/T12)</f>
        <v>0</v>
      </c>
    </row>
    <row r="13" spans="1:26" s="70" customFormat="1" ht="15" hidden="1" customHeight="1" outlineLevel="1" x14ac:dyDescent="0.3">
      <c r="A13" s="48"/>
      <c r="B13" s="9" t="str">
        <f>CONCATENATE("          ","4000"," - ","TAXABLE SALES")</f>
        <v xml:space="preserve">          4000 - TAXABLE SALES</v>
      </c>
      <c r="C13" s="9"/>
      <c r="D13" s="3">
        <f>0</f>
        <v>0</v>
      </c>
      <c r="E13" s="3"/>
      <c r="F13" s="26"/>
      <c r="G13" s="3"/>
      <c r="H13" s="3"/>
      <c r="I13" s="3"/>
      <c r="J13" s="26"/>
      <c r="K13" s="3"/>
      <c r="L13" s="3">
        <f>+D13-H13</f>
        <v>0</v>
      </c>
      <c r="M13" s="3"/>
      <c r="N13" s="26">
        <f>IF(H13=0,0,L13/H13)</f>
        <v>0</v>
      </c>
      <c r="O13" s="9"/>
      <c r="P13" s="3">
        <f>--14961.18</f>
        <v>14961.18</v>
      </c>
      <c r="Q13" s="3"/>
      <c r="R13" s="26"/>
      <c r="S13" s="3"/>
      <c r="T13" s="3"/>
      <c r="U13" s="3"/>
      <c r="V13" s="26"/>
      <c r="W13" s="3"/>
      <c r="X13" s="3">
        <f>+P13-T13</f>
        <v>14961.18</v>
      </c>
      <c r="Y13" s="3"/>
      <c r="Z13" s="26">
        <f>IF(T13=0,0,X13/T13)</f>
        <v>0</v>
      </c>
    </row>
    <row r="14" spans="1:26" s="70" customFormat="1" ht="15" hidden="1" customHeight="1" outlineLevel="1" x14ac:dyDescent="0.3">
      <c r="A14" s="48"/>
      <c r="B14" s="9" t="str">
        <f>CONCATENATE("          ","4051"," - ","TAXABLE SALES-FOOD")</f>
        <v xml:space="preserve">          4051 - TAXABLE SALES-FOOD</v>
      </c>
      <c r="C14" s="9"/>
      <c r="D14" s="3">
        <f>0</f>
        <v>0</v>
      </c>
      <c r="E14" s="3"/>
      <c r="F14" s="26"/>
      <c r="G14" s="3"/>
      <c r="H14" s="3"/>
      <c r="I14" s="3"/>
      <c r="J14" s="26"/>
      <c r="K14" s="3"/>
      <c r="L14" s="3">
        <f>+D14-H14</f>
        <v>0</v>
      </c>
      <c r="M14" s="3"/>
      <c r="N14" s="26">
        <f>IF(H14=0,0,L14/H14)</f>
        <v>0</v>
      </c>
      <c r="O14" s="9"/>
      <c r="P14" s="3">
        <f>--25.17</f>
        <v>25.17</v>
      </c>
      <c r="Q14" s="3"/>
      <c r="R14" s="26"/>
      <c r="S14" s="3"/>
      <c r="T14" s="3"/>
      <c r="U14" s="3"/>
      <c r="V14" s="26"/>
      <c r="W14" s="3"/>
      <c r="X14" s="3">
        <f>+P14-T14</f>
        <v>25.17</v>
      </c>
      <c r="Y14" s="3"/>
      <c r="Z14" s="26">
        <f>IF(T14=0,0,X14/T14)</f>
        <v>0</v>
      </c>
    </row>
    <row r="15" spans="1:26" s="70" customFormat="1" ht="15" hidden="1" customHeight="1" outlineLevel="1" x14ac:dyDescent="0.3">
      <c r="A15" s="48"/>
      <c r="B15" s="9" t="str">
        <f>CONCATENATE("          ","4100"," - ","NON-TAXABLE SALES")</f>
        <v xml:space="preserve">          4100 - NON-TAXABLE SALES</v>
      </c>
      <c r="C15" s="9"/>
      <c r="D15" s="3">
        <f>0</f>
        <v>0</v>
      </c>
      <c r="E15" s="3"/>
      <c r="F15" s="26"/>
      <c r="G15" s="3"/>
      <c r="H15" s="3"/>
      <c r="I15" s="3"/>
      <c r="J15" s="26"/>
      <c r="K15" s="3"/>
      <c r="L15" s="3">
        <f>+D15-H15</f>
        <v>0</v>
      </c>
      <c r="M15" s="3"/>
      <c r="N15" s="26">
        <f>IF(H15=0,0,L15/H15)</f>
        <v>0</v>
      </c>
      <c r="O15" s="9"/>
      <c r="P15" s="3">
        <f>--77184.24</f>
        <v>77184.240000000005</v>
      </c>
      <c r="Q15" s="3"/>
      <c r="R15" s="26"/>
      <c r="S15" s="3"/>
      <c r="T15" s="3"/>
      <c r="U15" s="3"/>
      <c r="V15" s="26"/>
      <c r="W15" s="3"/>
      <c r="X15" s="3">
        <f>+P15-T15</f>
        <v>77184.240000000005</v>
      </c>
      <c r="Y15" s="3"/>
      <c r="Z15" s="26">
        <f>IF(T15=0,0,X15/T15)</f>
        <v>0</v>
      </c>
    </row>
    <row r="16" spans="1:26" s="70" customFormat="1" ht="15" hidden="1" customHeight="1" outlineLevel="1" x14ac:dyDescent="0.3">
      <c r="A16" s="48"/>
      <c r="B16" s="9" t="str">
        <f>CONCATENATE("          ","4151"," - ","NON-TAXABLE SALES-FOOD")</f>
        <v xml:space="preserve">          4151 - NON-TAXABLE SALES-FOOD</v>
      </c>
      <c r="C16" s="9"/>
      <c r="D16" s="3">
        <f>0</f>
        <v>0</v>
      </c>
      <c r="E16" s="3"/>
      <c r="F16" s="26"/>
      <c r="G16" s="3"/>
      <c r="H16" s="3"/>
      <c r="I16" s="3"/>
      <c r="J16" s="26"/>
      <c r="K16" s="3"/>
      <c r="L16" s="3">
        <f>+D16-H16</f>
        <v>0</v>
      </c>
      <c r="M16" s="3"/>
      <c r="N16" s="26">
        <f>IF(H16=0,0,L16/H16)</f>
        <v>0</v>
      </c>
      <c r="O16" s="9"/>
      <c r="P16" s="3">
        <f>--206.32</f>
        <v>206.32</v>
      </c>
      <c r="Q16" s="3"/>
      <c r="R16" s="26"/>
      <c r="S16" s="3"/>
      <c r="T16" s="3"/>
      <c r="U16" s="3"/>
      <c r="V16" s="26"/>
      <c r="W16" s="3"/>
      <c r="X16" s="3">
        <f>+P16-T16</f>
        <v>206.32</v>
      </c>
      <c r="Y16" s="3"/>
      <c r="Z16" s="26">
        <f>IF(T16=0,0,X16/T16)</f>
        <v>0</v>
      </c>
    </row>
    <row r="17" spans="1:26" ht="15" customHeight="1" x14ac:dyDescent="0.3">
      <c r="A17" s="12"/>
      <c r="B17" s="13"/>
      <c r="C17" s="12"/>
      <c r="D17" s="4"/>
      <c r="E17" s="4"/>
      <c r="F17" s="10"/>
      <c r="G17" s="4"/>
      <c r="H17" s="4"/>
      <c r="I17" s="4"/>
      <c r="J17" s="10"/>
      <c r="K17" s="4"/>
      <c r="L17" s="4"/>
      <c r="M17" s="4"/>
      <c r="N17" s="10"/>
      <c r="P17" s="4"/>
      <c r="Q17" s="4"/>
      <c r="R17" s="10"/>
      <c r="S17" s="4"/>
      <c r="T17" s="4"/>
      <c r="U17" s="4"/>
      <c r="V17" s="10"/>
      <c r="W17" s="4"/>
      <c r="X17" s="4"/>
      <c r="Y17" s="4"/>
      <c r="Z17" s="10"/>
    </row>
    <row r="18" spans="1:26" s="63" customFormat="1" ht="15" customHeight="1" collapsed="1" x14ac:dyDescent="0.3">
      <c r="A18" s="13"/>
      <c r="B18" s="28" t="s">
        <v>288</v>
      </c>
      <c r="C18" s="13"/>
      <c r="D18" s="8">
        <f>SUM(OSRRefD16x_0)</f>
        <v>850</v>
      </c>
      <c r="E18" s="8"/>
      <c r="F18" s="14">
        <f>IF(D$12=0,0,D18/D$12)</f>
        <v>0</v>
      </c>
      <c r="G18" s="8"/>
      <c r="H18" s="8">
        <f>SUM(OSRRefH16x_0)</f>
        <v>0</v>
      </c>
      <c r="I18" s="8"/>
      <c r="J18" s="14">
        <f>IF(H$12=0,0,H18/H$12)</f>
        <v>0</v>
      </c>
      <c r="K18" s="8"/>
      <c r="L18" s="8">
        <f>+D18-H18</f>
        <v>850</v>
      </c>
      <c r="M18" s="8"/>
      <c r="N18" s="14">
        <f>IF(H18=0,0,L18/H18)</f>
        <v>0</v>
      </c>
      <c r="O18" s="13"/>
      <c r="P18" s="8">
        <f>SUM(OSRRefP16x_0)</f>
        <v>41822.97</v>
      </c>
      <c r="Q18" s="8"/>
      <c r="R18" s="14">
        <f>IF(P$12=0,0,P18/P$12)</f>
        <v>0.45274268212695135</v>
      </c>
      <c r="S18" s="8"/>
      <c r="T18" s="8">
        <f>SUM(OSRRefT16x_0)</f>
        <v>0</v>
      </c>
      <c r="U18" s="8"/>
      <c r="V18" s="14">
        <f>IF(T$12=0,0,T18/T$12)</f>
        <v>0</v>
      </c>
      <c r="W18" s="8"/>
      <c r="X18" s="8">
        <f>+P18-T18</f>
        <v>41822.97</v>
      </c>
      <c r="Y18" s="8"/>
      <c r="Z18" s="14">
        <f>IF(T18=0,0,X18/T18)</f>
        <v>0</v>
      </c>
    </row>
    <row r="19" spans="1:26" s="70" customFormat="1" ht="15" hidden="1" customHeight="1" outlineLevel="1" x14ac:dyDescent="0.3">
      <c r="A19" s="48"/>
      <c r="B19" s="9" t="str">
        <f>CONCATENATE("          ","5000"," - ","PURCHASES @ COST")</f>
        <v xml:space="preserve">          5000 - PURCHASES @ COST</v>
      </c>
      <c r="C19" s="9"/>
      <c r="D19" s="3"/>
      <c r="E19" s="3"/>
      <c r="F19" s="26">
        <f>IF(D$12=0,0,D19/D$12)</f>
        <v>0</v>
      </c>
      <c r="G19" s="3"/>
      <c r="H19" s="3"/>
      <c r="I19" s="3"/>
      <c r="J19" s="26">
        <f>IF(H$12=0,0,H19/H$12)</f>
        <v>0</v>
      </c>
      <c r="K19" s="3"/>
      <c r="L19" s="3">
        <f>+D19-H19</f>
        <v>0</v>
      </c>
      <c r="M19" s="3"/>
      <c r="N19" s="26">
        <f>IF(H19=0,0,L19/H19)</f>
        <v>0</v>
      </c>
      <c r="O19" s="9"/>
      <c r="P19" s="3">
        <v>0</v>
      </c>
      <c r="Q19" s="3"/>
      <c r="R19" s="26">
        <f>IF(P$12=0,0,P19/P$12)</f>
        <v>0</v>
      </c>
      <c r="S19" s="3"/>
      <c r="T19" s="3"/>
      <c r="U19" s="3"/>
      <c r="V19" s="26">
        <f>IF(T$12=0,0,T19/T$12)</f>
        <v>0</v>
      </c>
      <c r="W19" s="3"/>
      <c r="X19" s="3">
        <f>+P19-T19</f>
        <v>0</v>
      </c>
      <c r="Y19" s="3"/>
      <c r="Z19" s="26">
        <f>IF(T19=0,0,X19/T19)</f>
        <v>0</v>
      </c>
    </row>
    <row r="20" spans="1:26" s="70" customFormat="1" ht="15" hidden="1" customHeight="1" outlineLevel="1" x14ac:dyDescent="0.3">
      <c r="A20" s="48"/>
      <c r="B20" s="9" t="str">
        <f>CONCATENATE("          ","5059"," - ","PURCHASES @ COST-FOOD")</f>
        <v xml:space="preserve">          5059 - PURCHASES @ COST-FOOD</v>
      </c>
      <c r="C20" s="9"/>
      <c r="D20" s="3">
        <v>850</v>
      </c>
      <c r="E20" s="3"/>
      <c r="F20" s="26">
        <f>IF(D$12=0,0,D20/D$12)</f>
        <v>0</v>
      </c>
      <c r="G20" s="3"/>
      <c r="H20" s="3"/>
      <c r="I20" s="3"/>
      <c r="J20" s="26">
        <f>IF(H$12=0,0,H20/H$12)</f>
        <v>0</v>
      </c>
      <c r="K20" s="3"/>
      <c r="L20" s="3">
        <f>+D20-H20</f>
        <v>850</v>
      </c>
      <c r="M20" s="3"/>
      <c r="N20" s="26">
        <f>IF(H20=0,0,L20/H20)</f>
        <v>0</v>
      </c>
      <c r="O20" s="9"/>
      <c r="P20" s="3">
        <v>41822.97</v>
      </c>
      <c r="Q20" s="3"/>
      <c r="R20" s="26">
        <f>IF(P$12=0,0,P20/P$12)</f>
        <v>0.45274268212695135</v>
      </c>
      <c r="S20" s="3"/>
      <c r="T20" s="3"/>
      <c r="U20" s="3"/>
      <c r="V20" s="26">
        <f>IF(T$12=0,0,T20/T$12)</f>
        <v>0</v>
      </c>
      <c r="W20" s="3"/>
      <c r="X20" s="3">
        <f>+P20-T20</f>
        <v>41822.97</v>
      </c>
      <c r="Y20" s="3"/>
      <c r="Z20" s="26">
        <f>IF(T20=0,0,X20/T20)</f>
        <v>0</v>
      </c>
    </row>
    <row r="21" spans="1:26" ht="15" customHeight="1" x14ac:dyDescent="0.3">
      <c r="A21" s="12"/>
      <c r="B21" s="13"/>
      <c r="C21" s="13"/>
      <c r="D21" s="4"/>
      <c r="E21" s="4"/>
      <c r="F21" s="10"/>
      <c r="G21" s="4"/>
      <c r="H21" s="4"/>
      <c r="I21" s="4"/>
      <c r="J21" s="10"/>
      <c r="K21" s="4"/>
      <c r="L21" s="4"/>
      <c r="M21" s="4"/>
      <c r="N21" s="10"/>
      <c r="O21" s="13"/>
      <c r="P21" s="4"/>
      <c r="Q21" s="4"/>
      <c r="R21" s="10"/>
      <c r="S21" s="4"/>
      <c r="T21" s="4"/>
      <c r="U21" s="4"/>
      <c r="V21" s="10"/>
      <c r="W21" s="4"/>
      <c r="X21" s="4"/>
      <c r="Y21" s="4"/>
      <c r="Z21" s="10"/>
    </row>
    <row r="22" spans="1:26" s="63" customFormat="1" ht="15" customHeight="1" x14ac:dyDescent="0.3">
      <c r="A22" s="13"/>
      <c r="B22" s="27" t="s">
        <v>289</v>
      </c>
      <c r="C22" s="27"/>
      <c r="D22" s="23">
        <f>D12-D18</f>
        <v>-850</v>
      </c>
      <c r="E22" s="15"/>
      <c r="F22" s="22">
        <f>IF(D$12=0,0,D22/D$12)</f>
        <v>0</v>
      </c>
      <c r="G22" s="15"/>
      <c r="H22" s="23">
        <f>H12-H18</f>
        <v>0</v>
      </c>
      <c r="I22" s="15"/>
      <c r="J22" s="22">
        <f>IF(H$12=0,0,H22/H$12)</f>
        <v>0</v>
      </c>
      <c r="K22" s="17"/>
      <c r="L22" s="23">
        <f>+D22-H22</f>
        <v>-850</v>
      </c>
      <c r="M22" s="17"/>
      <c r="N22" s="22">
        <f>IF(H22=0,0,L22/H22)</f>
        <v>0</v>
      </c>
      <c r="O22" s="28"/>
      <c r="P22" s="23">
        <f>P12-P18</f>
        <v>50553.940000000017</v>
      </c>
      <c r="Q22" s="15"/>
      <c r="R22" s="22">
        <f>IF(P$12=0,0,P22/P$12)</f>
        <v>0.54725731787304865</v>
      </c>
      <c r="S22" s="15"/>
      <c r="T22" s="23">
        <f>T12-T18</f>
        <v>0</v>
      </c>
      <c r="U22" s="15"/>
      <c r="V22" s="22">
        <f>IF(T$12=0,0,T22/T$12)</f>
        <v>0</v>
      </c>
      <c r="W22" s="17"/>
      <c r="X22" s="23">
        <f>+P22-T22</f>
        <v>50553.940000000017</v>
      </c>
      <c r="Y22" s="17"/>
      <c r="Z22" s="22">
        <f>IF(T22=0,0,X22/T22)</f>
        <v>0</v>
      </c>
    </row>
    <row r="23" spans="1:26" ht="15" customHeight="1" x14ac:dyDescent="0.3">
      <c r="A23" s="12"/>
      <c r="B23" s="13"/>
      <c r="C23" s="12"/>
      <c r="D23" s="2"/>
      <c r="E23" s="2"/>
      <c r="F23" s="5"/>
      <c r="G23" s="2"/>
      <c r="H23" s="2"/>
      <c r="I23" s="2"/>
      <c r="J23" s="5"/>
      <c r="K23" s="2"/>
      <c r="L23" s="2"/>
      <c r="M23" s="2"/>
      <c r="N23" s="5"/>
      <c r="O23" s="36"/>
      <c r="P23" s="2"/>
      <c r="Q23" s="2"/>
      <c r="R23" s="5"/>
      <c r="S23" s="2"/>
      <c r="T23" s="2"/>
      <c r="U23" s="2"/>
      <c r="V23" s="5"/>
      <c r="W23" s="2"/>
      <c r="X23" s="2"/>
      <c r="Y23" s="2"/>
      <c r="Z23" s="5"/>
    </row>
    <row r="24" spans="1:26" s="63" customFormat="1" ht="15" customHeight="1" x14ac:dyDescent="0.3">
      <c r="A24" s="13"/>
      <c r="B24" s="28" t="s">
        <v>290</v>
      </c>
      <c r="C24" s="13"/>
      <c r="D24" s="24" cm="1">
        <f t="array" ref="D24">SUM(OSRRefD22x_0)</f>
        <v>1232.3599999999999</v>
      </c>
      <c r="E24" s="24"/>
      <c r="F24" s="34">
        <f t="shared" ref="F24:F55" si="0">IF(D$12=0,0,D24/D$12)</f>
        <v>0</v>
      </c>
      <c r="G24" s="24"/>
      <c r="H24" s="24" cm="1">
        <f t="array" ref="H24">SUM(OSRRefH22x_0)</f>
        <v>588</v>
      </c>
      <c r="I24" s="24"/>
      <c r="J24" s="34">
        <f t="shared" ref="J24:J55" si="1">IF(H$12=0,0,H24/H$12)</f>
        <v>0</v>
      </c>
      <c r="K24" s="8"/>
      <c r="L24" s="24">
        <f t="shared" ref="L24:L55" si="2">+D24-H24</f>
        <v>644.3599999999999</v>
      </c>
      <c r="M24" s="8"/>
      <c r="N24" s="34">
        <f t="shared" ref="N24:N55" si="3">IF(H24=0,0,L24/H24)</f>
        <v>1.0958503401360542</v>
      </c>
      <c r="O24" s="13"/>
      <c r="P24" s="24" cm="1">
        <f t="array" ref="P24">SUM(OSRRefP22x_0)</f>
        <v>37739.17</v>
      </c>
      <c r="Q24" s="24"/>
      <c r="R24" s="34">
        <f t="shared" ref="R24:R55" si="4">IF(P$12=0,0,P24/P$12)</f>
        <v>0.40853466521016985</v>
      </c>
      <c r="S24" s="24"/>
      <c r="T24" s="24" cm="1">
        <f t="array" ref="T24">SUM(OSRRefT22x_0)</f>
        <v>7056</v>
      </c>
      <c r="U24" s="24"/>
      <c r="V24" s="34">
        <f t="shared" ref="V24:V55" si="5">IF(T$12=0,0,T24/T$12)</f>
        <v>0</v>
      </c>
      <c r="W24" s="8"/>
      <c r="X24" s="24">
        <f t="shared" ref="X24:X55" si="6">+P24-T24</f>
        <v>30683.17</v>
      </c>
      <c r="Y24" s="8"/>
      <c r="Z24" s="34">
        <f t="shared" ref="Z24:Z55" si="7">IF(T24=0,0,X24/T24)</f>
        <v>4.3485218253968254</v>
      </c>
    </row>
    <row r="25" spans="1:26" s="69" customFormat="1" ht="15" customHeight="1" outlineLevel="1" collapsed="1" x14ac:dyDescent="0.3">
      <c r="A25" s="20"/>
      <c r="B25" s="11" t="str">
        <f>CONCATENATE("     ","*Benefits                                         ")</f>
        <v xml:space="preserve">     *Benefits                                         </v>
      </c>
      <c r="C25" s="11"/>
      <c r="D25" s="2">
        <f>SUM(OSRRefD22_0x_0)</f>
        <v>0</v>
      </c>
      <c r="E25" s="2"/>
      <c r="F25" s="5">
        <f t="shared" si="0"/>
        <v>0</v>
      </c>
      <c r="G25" s="2"/>
      <c r="H25" s="2">
        <f>SUM(OSRRefH22_0x_0)</f>
        <v>0</v>
      </c>
      <c r="I25" s="2"/>
      <c r="J25" s="5">
        <f t="shared" si="1"/>
        <v>0</v>
      </c>
      <c r="K25" s="2"/>
      <c r="L25" s="2">
        <f t="shared" si="2"/>
        <v>0</v>
      </c>
      <c r="M25" s="2"/>
      <c r="N25" s="5">
        <f t="shared" si="3"/>
        <v>0</v>
      </c>
      <c r="O25" s="11"/>
      <c r="P25" s="2">
        <f>SUM(OSRRefP22_0x_0)</f>
        <v>332.97</v>
      </c>
      <c r="Q25" s="2"/>
      <c r="R25" s="5">
        <f t="shared" si="4"/>
        <v>3.6044721565161681E-3</v>
      </c>
      <c r="S25" s="2"/>
      <c r="T25" s="2">
        <f>SUM(OSRRefT22_0x_0)</f>
        <v>0</v>
      </c>
      <c r="U25" s="2"/>
      <c r="V25" s="5">
        <f t="shared" si="5"/>
        <v>0</v>
      </c>
      <c r="W25" s="2"/>
      <c r="X25" s="2">
        <f t="shared" si="6"/>
        <v>332.97</v>
      </c>
      <c r="Y25" s="2"/>
      <c r="Z25" s="5">
        <f t="shared" si="7"/>
        <v>0</v>
      </c>
    </row>
    <row r="26" spans="1:26" s="70" customFormat="1" ht="15" hidden="1" customHeight="1" outlineLevel="2" x14ac:dyDescent="0.3">
      <c r="A26" s="21"/>
      <c r="B26" s="9" t="str">
        <f>CONCATENATE("          ","6112"," - ","COMPENSATION INSURANCE")</f>
        <v xml:space="preserve">          6112 - COMPENSATION INSURANCE</v>
      </c>
      <c r="C26" s="9"/>
      <c r="D26" s="6"/>
      <c r="E26" s="3"/>
      <c r="F26" s="7">
        <f t="shared" si="0"/>
        <v>0</v>
      </c>
      <c r="G26" s="3"/>
      <c r="H26" s="6"/>
      <c r="I26" s="3"/>
      <c r="J26" s="7">
        <f t="shared" si="1"/>
        <v>0</v>
      </c>
      <c r="K26" s="3"/>
      <c r="L26" s="6">
        <f t="shared" si="2"/>
        <v>0</v>
      </c>
      <c r="M26" s="3"/>
      <c r="N26" s="7">
        <f t="shared" si="3"/>
        <v>0</v>
      </c>
      <c r="O26" s="9"/>
      <c r="P26" s="6">
        <v>283.22000000000003</v>
      </c>
      <c r="Q26" s="3"/>
      <c r="R26" s="7">
        <f t="shared" si="4"/>
        <v>3.0659176627579336E-3</v>
      </c>
      <c r="S26" s="3"/>
      <c r="T26" s="6"/>
      <c r="U26" s="3"/>
      <c r="V26" s="7">
        <f t="shared" si="5"/>
        <v>0</v>
      </c>
      <c r="W26" s="3"/>
      <c r="X26" s="6">
        <f t="shared" si="6"/>
        <v>283.22000000000003</v>
      </c>
      <c r="Y26" s="3"/>
      <c r="Z26" s="7">
        <f t="shared" si="7"/>
        <v>0</v>
      </c>
    </row>
    <row r="27" spans="1:26" s="70" customFormat="1" ht="15" hidden="1" customHeight="1" outlineLevel="2" x14ac:dyDescent="0.3">
      <c r="A27" s="21"/>
      <c r="B27" s="9" t="str">
        <f>CONCATENATE("          ","6114"," - ","STATE UNEMPLOYMENT INSURANCE")</f>
        <v xml:space="preserve">          6114 - STATE UNEMPLOYMENT INSURANCE</v>
      </c>
      <c r="C27" s="9"/>
      <c r="D27" s="6"/>
      <c r="E27" s="3"/>
      <c r="F27" s="7">
        <f t="shared" si="0"/>
        <v>0</v>
      </c>
      <c r="G27" s="3"/>
      <c r="H27" s="6"/>
      <c r="I27" s="3"/>
      <c r="J27" s="7">
        <f t="shared" si="1"/>
        <v>0</v>
      </c>
      <c r="K27" s="3"/>
      <c r="L27" s="6">
        <f t="shared" si="2"/>
        <v>0</v>
      </c>
      <c r="M27" s="3"/>
      <c r="N27" s="7">
        <f t="shared" si="3"/>
        <v>0</v>
      </c>
      <c r="O27" s="9"/>
      <c r="P27" s="6">
        <v>49.75</v>
      </c>
      <c r="Q27" s="3"/>
      <c r="R27" s="7">
        <f t="shared" si="4"/>
        <v>5.385544937582345E-4</v>
      </c>
      <c r="S27" s="3"/>
      <c r="T27" s="6"/>
      <c r="U27" s="3"/>
      <c r="V27" s="7">
        <f t="shared" si="5"/>
        <v>0</v>
      </c>
      <c r="W27" s="3"/>
      <c r="X27" s="6">
        <f t="shared" si="6"/>
        <v>49.75</v>
      </c>
      <c r="Y27" s="3"/>
      <c r="Z27" s="7">
        <f t="shared" si="7"/>
        <v>0</v>
      </c>
    </row>
    <row r="28" spans="1:26" s="69" customFormat="1" ht="15" customHeight="1" outlineLevel="1" collapsed="1" x14ac:dyDescent="0.3">
      <c r="A28" s="20"/>
      <c r="B28" s="11" t="str">
        <f>CONCATENATE("     ","*Payroll                                          ")</f>
        <v xml:space="preserve">     *Payroll                                          </v>
      </c>
      <c r="C28" s="11"/>
      <c r="D28" s="2">
        <f>SUM(OSRRefD22_1x_0)</f>
        <v>100.5</v>
      </c>
      <c r="E28" s="2"/>
      <c r="F28" s="5">
        <f t="shared" si="0"/>
        <v>0</v>
      </c>
      <c r="G28" s="2"/>
      <c r="H28" s="2">
        <f>SUM(OSRRefH22_1x_0)</f>
        <v>0</v>
      </c>
      <c r="I28" s="2"/>
      <c r="J28" s="5">
        <f t="shared" si="1"/>
        <v>0</v>
      </c>
      <c r="K28" s="2"/>
      <c r="L28" s="2">
        <f t="shared" si="2"/>
        <v>100.5</v>
      </c>
      <c r="M28" s="2"/>
      <c r="N28" s="5">
        <f t="shared" si="3"/>
        <v>0</v>
      </c>
      <c r="O28" s="11"/>
      <c r="P28" s="2">
        <f>SUM(OSRRefP22_1x_0)</f>
        <v>19083.75</v>
      </c>
      <c r="Q28" s="2"/>
      <c r="R28" s="5">
        <f t="shared" si="4"/>
        <v>0.20658571498007453</v>
      </c>
      <c r="S28" s="2"/>
      <c r="T28" s="2">
        <f>SUM(OSRRefT22_1x_0)</f>
        <v>0</v>
      </c>
      <c r="U28" s="2"/>
      <c r="V28" s="5">
        <f t="shared" si="5"/>
        <v>0</v>
      </c>
      <c r="W28" s="2"/>
      <c r="X28" s="2">
        <f t="shared" si="6"/>
        <v>19083.75</v>
      </c>
      <c r="Y28" s="2"/>
      <c r="Z28" s="5">
        <f t="shared" si="7"/>
        <v>0</v>
      </c>
    </row>
    <row r="29" spans="1:26" s="70" customFormat="1" ht="15" hidden="1" customHeight="1" outlineLevel="2" x14ac:dyDescent="0.3">
      <c r="A29" s="21"/>
      <c r="B29" s="9" t="str">
        <f>CONCATENATE("          ","6007"," - ","STUDENT HOURLY")</f>
        <v xml:space="preserve">          6007 - STUDENT HOURLY</v>
      </c>
      <c r="C29" s="9"/>
      <c r="D29" s="6"/>
      <c r="E29" s="3"/>
      <c r="F29" s="7">
        <f t="shared" si="0"/>
        <v>0</v>
      </c>
      <c r="G29" s="3"/>
      <c r="H29" s="6"/>
      <c r="I29" s="3"/>
      <c r="J29" s="7">
        <f t="shared" si="1"/>
        <v>0</v>
      </c>
      <c r="K29" s="3"/>
      <c r="L29" s="6">
        <f t="shared" si="2"/>
        <v>0</v>
      </c>
      <c r="M29" s="3"/>
      <c r="N29" s="7">
        <f t="shared" si="3"/>
        <v>0</v>
      </c>
      <c r="O29" s="9"/>
      <c r="P29" s="6">
        <v>11956.84</v>
      </c>
      <c r="Q29" s="3"/>
      <c r="R29" s="7">
        <f t="shared" si="4"/>
        <v>0.12943537513865747</v>
      </c>
      <c r="S29" s="3"/>
      <c r="T29" s="6"/>
      <c r="U29" s="3"/>
      <c r="V29" s="7">
        <f t="shared" si="5"/>
        <v>0</v>
      </c>
      <c r="W29" s="3"/>
      <c r="X29" s="6">
        <f t="shared" si="6"/>
        <v>11956.84</v>
      </c>
      <c r="Y29" s="3"/>
      <c r="Z29" s="7">
        <f t="shared" si="7"/>
        <v>0</v>
      </c>
    </row>
    <row r="30" spans="1:26" s="70" customFormat="1" ht="15" hidden="1" customHeight="1" outlineLevel="2" x14ac:dyDescent="0.3">
      <c r="A30" s="21"/>
      <c r="B30" s="9" t="str">
        <f>CONCATENATE("          ","6008"," - ","STUDENT HOURLY-FICA EXEMPT")</f>
        <v xml:space="preserve">          6008 - STUDENT HOURLY-FICA EXEMPT</v>
      </c>
      <c r="C30" s="9"/>
      <c r="D30" s="6">
        <v>100.5</v>
      </c>
      <c r="E30" s="3"/>
      <c r="F30" s="7">
        <f t="shared" si="0"/>
        <v>0</v>
      </c>
      <c r="G30" s="3"/>
      <c r="H30" s="6"/>
      <c r="I30" s="3"/>
      <c r="J30" s="7">
        <f t="shared" si="1"/>
        <v>0</v>
      </c>
      <c r="K30" s="3"/>
      <c r="L30" s="6">
        <f t="shared" si="2"/>
        <v>100.5</v>
      </c>
      <c r="M30" s="3"/>
      <c r="N30" s="7">
        <f t="shared" si="3"/>
        <v>0</v>
      </c>
      <c r="O30" s="9"/>
      <c r="P30" s="6">
        <v>7126.91</v>
      </c>
      <c r="Q30" s="3"/>
      <c r="R30" s="7">
        <f t="shared" si="4"/>
        <v>7.7150339841417059E-2</v>
      </c>
      <c r="S30" s="3"/>
      <c r="T30" s="6"/>
      <c r="U30" s="3"/>
      <c r="V30" s="7">
        <f t="shared" si="5"/>
        <v>0</v>
      </c>
      <c r="W30" s="3"/>
      <c r="X30" s="6">
        <f t="shared" si="6"/>
        <v>7126.91</v>
      </c>
      <c r="Y30" s="3"/>
      <c r="Z30" s="7">
        <f t="shared" si="7"/>
        <v>0</v>
      </c>
    </row>
    <row r="31" spans="1:26" s="69" customFormat="1" ht="15" customHeight="1" outlineLevel="1" collapsed="1" x14ac:dyDescent="0.3">
      <c r="A31" s="20"/>
      <c r="B31" s="11" t="str">
        <f>CONCATENATE("     ","Advertising/Promo                                 ")</f>
        <v xml:space="preserve">     Advertising/Promo                                 </v>
      </c>
      <c r="C31" s="11"/>
      <c r="D31" s="2">
        <f>SUM(OSRRefD22_2x_0)</f>
        <v>0</v>
      </c>
      <c r="E31" s="2"/>
      <c r="F31" s="5">
        <f t="shared" si="0"/>
        <v>0</v>
      </c>
      <c r="G31" s="2"/>
      <c r="H31" s="2">
        <f>SUM(OSRRefH22_2x_0)</f>
        <v>0</v>
      </c>
      <c r="I31" s="2"/>
      <c r="J31" s="5">
        <f t="shared" si="1"/>
        <v>0</v>
      </c>
      <c r="K31" s="2"/>
      <c r="L31" s="2">
        <f t="shared" si="2"/>
        <v>0</v>
      </c>
      <c r="M31" s="2"/>
      <c r="N31" s="5">
        <f t="shared" si="3"/>
        <v>0</v>
      </c>
      <c r="O31" s="11"/>
      <c r="P31" s="2">
        <f>SUM(OSRRefP22_2x_0)</f>
        <v>46.31</v>
      </c>
      <c r="Q31" s="2"/>
      <c r="R31" s="5">
        <f t="shared" si="4"/>
        <v>5.0131575087324304E-4</v>
      </c>
      <c r="S31" s="2"/>
      <c r="T31" s="2">
        <f>SUM(OSRRefT22_2x_0)</f>
        <v>0</v>
      </c>
      <c r="U31" s="2"/>
      <c r="V31" s="5">
        <f t="shared" si="5"/>
        <v>0</v>
      </c>
      <c r="W31" s="2"/>
      <c r="X31" s="2">
        <f t="shared" si="6"/>
        <v>46.31</v>
      </c>
      <c r="Y31" s="2"/>
      <c r="Z31" s="5">
        <f t="shared" si="7"/>
        <v>0</v>
      </c>
    </row>
    <row r="32" spans="1:26" s="70" customFormat="1" ht="15" hidden="1" customHeight="1" outlineLevel="2" x14ac:dyDescent="0.3">
      <c r="A32" s="21"/>
      <c r="B32" s="9" t="str">
        <f>CONCATENATE("          ","6362"," - ","ADVERTISING EXPENSE")</f>
        <v xml:space="preserve">          6362 - ADVERTISING EXPENSE</v>
      </c>
      <c r="C32" s="9"/>
      <c r="D32" s="6"/>
      <c r="E32" s="3"/>
      <c r="F32" s="7">
        <f t="shared" si="0"/>
        <v>0</v>
      </c>
      <c r="G32" s="3"/>
      <c r="H32" s="6"/>
      <c r="I32" s="3"/>
      <c r="J32" s="7">
        <f t="shared" si="1"/>
        <v>0</v>
      </c>
      <c r="K32" s="3"/>
      <c r="L32" s="6">
        <f t="shared" si="2"/>
        <v>0</v>
      </c>
      <c r="M32" s="3"/>
      <c r="N32" s="7">
        <f t="shared" si="3"/>
        <v>0</v>
      </c>
      <c r="O32" s="9"/>
      <c r="P32" s="6">
        <v>46.31</v>
      </c>
      <c r="Q32" s="3"/>
      <c r="R32" s="7">
        <f t="shared" si="4"/>
        <v>5.0131575087324304E-4</v>
      </c>
      <c r="S32" s="3"/>
      <c r="T32" s="6"/>
      <c r="U32" s="3"/>
      <c r="V32" s="7">
        <f t="shared" si="5"/>
        <v>0</v>
      </c>
      <c r="W32" s="3"/>
      <c r="X32" s="6">
        <f t="shared" si="6"/>
        <v>46.31</v>
      </c>
      <c r="Y32" s="3"/>
      <c r="Z32" s="7">
        <f t="shared" si="7"/>
        <v>0</v>
      </c>
    </row>
    <row r="33" spans="1:26" s="69" customFormat="1" ht="15" customHeight="1" outlineLevel="1" collapsed="1" x14ac:dyDescent="0.3">
      <c r="A33" s="20"/>
      <c r="B33" s="11" t="str">
        <f>CONCATENATE("     ","Bad Debts/Over/Short                              ")</f>
        <v xml:space="preserve">     Bad Debts/Over/Short                              </v>
      </c>
      <c r="C33" s="11"/>
      <c r="D33" s="2">
        <f>SUM(OSRRefD22_3x_0)</f>
        <v>0</v>
      </c>
      <c r="E33" s="2"/>
      <c r="F33" s="5">
        <f t="shared" si="0"/>
        <v>0</v>
      </c>
      <c r="G33" s="2"/>
      <c r="H33" s="2">
        <f>SUM(OSRRefH22_3x_0)</f>
        <v>0</v>
      </c>
      <c r="I33" s="2"/>
      <c r="J33" s="5">
        <f t="shared" si="1"/>
        <v>0</v>
      </c>
      <c r="K33" s="2"/>
      <c r="L33" s="2">
        <f t="shared" si="2"/>
        <v>0</v>
      </c>
      <c r="M33" s="2"/>
      <c r="N33" s="5">
        <f t="shared" si="3"/>
        <v>0</v>
      </c>
      <c r="O33" s="11"/>
      <c r="P33" s="2">
        <f>SUM(OSRRefP22_3x_0)</f>
        <v>-2.98</v>
      </c>
      <c r="Q33" s="2"/>
      <c r="R33" s="5">
        <f t="shared" si="4"/>
        <v>-3.2259143545719376E-5</v>
      </c>
      <c r="S33" s="2"/>
      <c r="T33" s="2">
        <f>SUM(OSRRefT22_3x_0)</f>
        <v>0</v>
      </c>
      <c r="U33" s="2"/>
      <c r="V33" s="5">
        <f t="shared" si="5"/>
        <v>0</v>
      </c>
      <c r="W33" s="2"/>
      <c r="X33" s="2">
        <f t="shared" si="6"/>
        <v>-2.98</v>
      </c>
      <c r="Y33" s="2"/>
      <c r="Z33" s="5">
        <f t="shared" si="7"/>
        <v>0</v>
      </c>
    </row>
    <row r="34" spans="1:26" s="70" customFormat="1" ht="15" hidden="1" customHeight="1" outlineLevel="2" x14ac:dyDescent="0.3">
      <c r="A34" s="21"/>
      <c r="B34" s="9" t="str">
        <f>CONCATENATE("          ","6272"," - ","CASH (OVER/SHORT)")</f>
        <v xml:space="preserve">          6272 - CASH (OVER/SHORT)</v>
      </c>
      <c r="C34" s="9"/>
      <c r="D34" s="6"/>
      <c r="E34" s="3"/>
      <c r="F34" s="7">
        <f t="shared" si="0"/>
        <v>0</v>
      </c>
      <c r="G34" s="3"/>
      <c r="H34" s="6"/>
      <c r="I34" s="3"/>
      <c r="J34" s="7">
        <f t="shared" si="1"/>
        <v>0</v>
      </c>
      <c r="K34" s="3"/>
      <c r="L34" s="6">
        <f t="shared" si="2"/>
        <v>0</v>
      </c>
      <c r="M34" s="3"/>
      <c r="N34" s="7">
        <f t="shared" si="3"/>
        <v>0</v>
      </c>
      <c r="O34" s="9"/>
      <c r="P34" s="6">
        <v>-2.98</v>
      </c>
      <c r="Q34" s="3"/>
      <c r="R34" s="7">
        <f t="shared" si="4"/>
        <v>-3.2259143545719376E-5</v>
      </c>
      <c r="S34" s="3"/>
      <c r="T34" s="6"/>
      <c r="U34" s="3"/>
      <c r="V34" s="7">
        <f t="shared" si="5"/>
        <v>0</v>
      </c>
      <c r="W34" s="3"/>
      <c r="X34" s="6">
        <f t="shared" si="6"/>
        <v>-2.98</v>
      </c>
      <c r="Y34" s="3"/>
      <c r="Z34" s="7">
        <f t="shared" si="7"/>
        <v>0</v>
      </c>
    </row>
    <row r="35" spans="1:26" s="69" customFormat="1" ht="15" customHeight="1" outlineLevel="1" collapsed="1" x14ac:dyDescent="0.3">
      <c r="A35" s="20"/>
      <c r="B35" s="11" t="str">
        <f>CONCATENATE("     ","Bank/card Fees                                    ")</f>
        <v xml:space="preserve">     Bank/card Fees                                    </v>
      </c>
      <c r="C35" s="11"/>
      <c r="D35" s="2">
        <f>SUM(OSRRefD22_4x_0)</f>
        <v>38.65</v>
      </c>
      <c r="E35" s="2"/>
      <c r="F35" s="5">
        <f t="shared" si="0"/>
        <v>0</v>
      </c>
      <c r="G35" s="2"/>
      <c r="H35" s="2">
        <f>SUM(OSRRefH22_4x_0)</f>
        <v>0</v>
      </c>
      <c r="I35" s="2"/>
      <c r="J35" s="5">
        <f t="shared" si="1"/>
        <v>0</v>
      </c>
      <c r="K35" s="2"/>
      <c r="L35" s="2">
        <f t="shared" si="2"/>
        <v>38.65</v>
      </c>
      <c r="M35" s="2"/>
      <c r="N35" s="5">
        <f t="shared" si="3"/>
        <v>0</v>
      </c>
      <c r="O35" s="11"/>
      <c r="P35" s="2">
        <f>SUM(OSRRefP22_4x_0)</f>
        <v>4735.4399999999996</v>
      </c>
      <c r="Q35" s="2"/>
      <c r="R35" s="5">
        <f t="shared" si="4"/>
        <v>5.1262160641658165E-2</v>
      </c>
      <c r="S35" s="2"/>
      <c r="T35" s="2">
        <f>SUM(OSRRefT22_4x_0)</f>
        <v>0</v>
      </c>
      <c r="U35" s="2"/>
      <c r="V35" s="5">
        <f t="shared" si="5"/>
        <v>0</v>
      </c>
      <c r="W35" s="2"/>
      <c r="X35" s="2">
        <f t="shared" si="6"/>
        <v>4735.4399999999996</v>
      </c>
      <c r="Y35" s="2"/>
      <c r="Z35" s="5">
        <f t="shared" si="7"/>
        <v>0</v>
      </c>
    </row>
    <row r="36" spans="1:26" s="70" customFormat="1" ht="15" hidden="1" customHeight="1" outlineLevel="2" x14ac:dyDescent="0.3">
      <c r="A36" s="21"/>
      <c r="B36" s="9" t="str">
        <f>CONCATENATE("          ","6381"," - ","BANK/CREDIT CARD FEES")</f>
        <v xml:space="preserve">          6381 - BANK/CREDIT CARD FEES</v>
      </c>
      <c r="C36" s="9"/>
      <c r="D36" s="6">
        <v>38.65</v>
      </c>
      <c r="E36" s="3"/>
      <c r="F36" s="7">
        <f t="shared" si="0"/>
        <v>0</v>
      </c>
      <c r="G36" s="3"/>
      <c r="H36" s="6"/>
      <c r="I36" s="3"/>
      <c r="J36" s="7">
        <f t="shared" si="1"/>
        <v>0</v>
      </c>
      <c r="K36" s="3"/>
      <c r="L36" s="6">
        <f t="shared" si="2"/>
        <v>38.65</v>
      </c>
      <c r="M36" s="3"/>
      <c r="N36" s="7">
        <f t="shared" si="3"/>
        <v>0</v>
      </c>
      <c r="O36" s="9"/>
      <c r="P36" s="6">
        <v>4735.4399999999996</v>
      </c>
      <c r="Q36" s="3"/>
      <c r="R36" s="7">
        <f t="shared" si="4"/>
        <v>5.1262160641658165E-2</v>
      </c>
      <c r="S36" s="3"/>
      <c r="T36" s="6"/>
      <c r="U36" s="3"/>
      <c r="V36" s="7">
        <f t="shared" si="5"/>
        <v>0</v>
      </c>
      <c r="W36" s="3"/>
      <c r="X36" s="6">
        <f t="shared" si="6"/>
        <v>4735.4399999999996</v>
      </c>
      <c r="Y36" s="3"/>
      <c r="Z36" s="7">
        <f t="shared" si="7"/>
        <v>0</v>
      </c>
    </row>
    <row r="37" spans="1:26" s="69" customFormat="1" ht="15" customHeight="1" outlineLevel="1" collapsed="1" x14ac:dyDescent="0.3">
      <c r="A37" s="20"/>
      <c r="B37" s="11" t="str">
        <f>CONCATENATE("     ","Depreciation                                      ")</f>
        <v xml:space="preserve">     Depreciation                                      </v>
      </c>
      <c r="C37" s="11"/>
      <c r="D37" s="2">
        <f>SUM(OSRRefD22_5x_0)</f>
        <v>588.96</v>
      </c>
      <c r="E37" s="2"/>
      <c r="F37" s="5">
        <f t="shared" si="0"/>
        <v>0</v>
      </c>
      <c r="G37" s="2"/>
      <c r="H37" s="2">
        <f>SUM(OSRRefH22_5x_0)</f>
        <v>588</v>
      </c>
      <c r="I37" s="2"/>
      <c r="J37" s="5">
        <f t="shared" si="1"/>
        <v>0</v>
      </c>
      <c r="K37" s="2"/>
      <c r="L37" s="2">
        <f t="shared" si="2"/>
        <v>0.96000000000003638</v>
      </c>
      <c r="M37" s="2"/>
      <c r="N37" s="5">
        <f t="shared" si="3"/>
        <v>1.6326530612245517E-3</v>
      </c>
      <c r="O37" s="11"/>
      <c r="P37" s="2">
        <f>SUM(OSRRefP22_5x_0)</f>
        <v>7067.3</v>
      </c>
      <c r="Q37" s="2"/>
      <c r="R37" s="5">
        <f t="shared" si="4"/>
        <v>7.6505048718343127E-2</v>
      </c>
      <c r="S37" s="2"/>
      <c r="T37" s="2">
        <f>SUM(OSRRefT22_5x_0)</f>
        <v>7056</v>
      </c>
      <c r="U37" s="2"/>
      <c r="V37" s="5">
        <f t="shared" si="5"/>
        <v>0</v>
      </c>
      <c r="W37" s="2"/>
      <c r="X37" s="2">
        <f t="shared" si="6"/>
        <v>11.300000000000182</v>
      </c>
      <c r="Y37" s="2"/>
      <c r="Z37" s="5">
        <f t="shared" si="7"/>
        <v>1.6014739229025202E-3</v>
      </c>
    </row>
    <row r="38" spans="1:26" s="70" customFormat="1" ht="15" hidden="1" customHeight="1" outlineLevel="2" x14ac:dyDescent="0.3">
      <c r="A38" s="21"/>
      <c r="B38" s="9" t="str">
        <f>CONCATENATE("          ","6322"," - ","EQUIPMENT DEPRECIATION EXPENSE")</f>
        <v xml:space="preserve">          6322 - EQUIPMENT DEPRECIATION EXPENSE</v>
      </c>
      <c r="C38" s="9"/>
      <c r="D38" s="6">
        <v>588.96</v>
      </c>
      <c r="E38" s="3"/>
      <c r="F38" s="7">
        <f t="shared" si="0"/>
        <v>0</v>
      </c>
      <c r="G38" s="3"/>
      <c r="H38" s="6">
        <v>588</v>
      </c>
      <c r="I38" s="3"/>
      <c r="J38" s="7">
        <f t="shared" si="1"/>
        <v>0</v>
      </c>
      <c r="K38" s="3"/>
      <c r="L38" s="6">
        <f t="shared" si="2"/>
        <v>0.96000000000003638</v>
      </c>
      <c r="M38" s="3"/>
      <c r="N38" s="7">
        <f t="shared" si="3"/>
        <v>1.6326530612245517E-3</v>
      </c>
      <c r="O38" s="9"/>
      <c r="P38" s="6">
        <v>7067.3</v>
      </c>
      <c r="Q38" s="3"/>
      <c r="R38" s="7">
        <f t="shared" si="4"/>
        <v>7.6505048718343127E-2</v>
      </c>
      <c r="S38" s="3"/>
      <c r="T38" s="6">
        <v>7056</v>
      </c>
      <c r="U38" s="3"/>
      <c r="V38" s="7">
        <f t="shared" si="5"/>
        <v>0</v>
      </c>
      <c r="W38" s="3"/>
      <c r="X38" s="6">
        <f t="shared" si="6"/>
        <v>11.300000000000182</v>
      </c>
      <c r="Y38" s="3"/>
      <c r="Z38" s="7">
        <f t="shared" si="7"/>
        <v>1.6014739229025202E-3</v>
      </c>
    </row>
    <row r="39" spans="1:26" s="69" customFormat="1" ht="15" customHeight="1" outlineLevel="1" collapsed="1" x14ac:dyDescent="0.3">
      <c r="A39" s="20"/>
      <c r="B39" s="11" t="str">
        <f>CONCATENATE("     ","Equipment Rental                                  ")</f>
        <v xml:space="preserve">     Equipment Rental                                  </v>
      </c>
      <c r="C39" s="11"/>
      <c r="D39" s="2">
        <f>SUM(OSRRefD22_6x_0)</f>
        <v>0</v>
      </c>
      <c r="E39" s="2"/>
      <c r="F39" s="5">
        <f t="shared" si="0"/>
        <v>0</v>
      </c>
      <c r="G39" s="2"/>
      <c r="H39" s="2">
        <f>SUM(OSRRefH22_6x_0)</f>
        <v>0</v>
      </c>
      <c r="I39" s="2"/>
      <c r="J39" s="5">
        <f t="shared" si="1"/>
        <v>0</v>
      </c>
      <c r="K39" s="2"/>
      <c r="L39" s="2">
        <f t="shared" si="2"/>
        <v>0</v>
      </c>
      <c r="M39" s="2"/>
      <c r="N39" s="5">
        <f t="shared" si="3"/>
        <v>0</v>
      </c>
      <c r="O39" s="11"/>
      <c r="P39" s="2">
        <f>SUM(OSRRefP22_6x_0)</f>
        <v>30</v>
      </c>
      <c r="Q39" s="2"/>
      <c r="R39" s="5">
        <f t="shared" si="4"/>
        <v>3.2475647864818163E-4</v>
      </c>
      <c r="S39" s="2"/>
      <c r="T39" s="2">
        <f>SUM(OSRRefT22_6x_0)</f>
        <v>0</v>
      </c>
      <c r="U39" s="2"/>
      <c r="V39" s="5">
        <f t="shared" si="5"/>
        <v>0</v>
      </c>
      <c r="W39" s="2"/>
      <c r="X39" s="2">
        <f t="shared" si="6"/>
        <v>30</v>
      </c>
      <c r="Y39" s="2"/>
      <c r="Z39" s="5">
        <f t="shared" si="7"/>
        <v>0</v>
      </c>
    </row>
    <row r="40" spans="1:26" s="70" customFormat="1" ht="15" hidden="1" customHeight="1" outlineLevel="2" x14ac:dyDescent="0.3">
      <c r="A40" s="21"/>
      <c r="B40" s="9" t="str">
        <f>CONCATENATE("          ","6351"," - ","EQUIPMENT RENTAL")</f>
        <v xml:space="preserve">          6351 - EQUIPMENT RENTAL</v>
      </c>
      <c r="C40" s="9"/>
      <c r="D40" s="6"/>
      <c r="E40" s="3"/>
      <c r="F40" s="7">
        <f t="shared" si="0"/>
        <v>0</v>
      </c>
      <c r="G40" s="3"/>
      <c r="H40" s="6"/>
      <c r="I40" s="3"/>
      <c r="J40" s="7">
        <f t="shared" si="1"/>
        <v>0</v>
      </c>
      <c r="K40" s="3"/>
      <c r="L40" s="6">
        <f t="shared" si="2"/>
        <v>0</v>
      </c>
      <c r="M40" s="3"/>
      <c r="N40" s="7">
        <f t="shared" si="3"/>
        <v>0</v>
      </c>
      <c r="O40" s="9"/>
      <c r="P40" s="6">
        <v>30</v>
      </c>
      <c r="Q40" s="3"/>
      <c r="R40" s="7">
        <f t="shared" si="4"/>
        <v>3.2475647864818163E-4</v>
      </c>
      <c r="S40" s="3"/>
      <c r="T40" s="6"/>
      <c r="U40" s="3"/>
      <c r="V40" s="7">
        <f t="shared" si="5"/>
        <v>0</v>
      </c>
      <c r="W40" s="3"/>
      <c r="X40" s="6">
        <f t="shared" si="6"/>
        <v>30</v>
      </c>
      <c r="Y40" s="3"/>
      <c r="Z40" s="7">
        <f t="shared" si="7"/>
        <v>0</v>
      </c>
    </row>
    <row r="41" spans="1:26" s="69" customFormat="1" ht="15" customHeight="1" outlineLevel="1" collapsed="1" x14ac:dyDescent="0.3">
      <c r="A41" s="20"/>
      <c r="B41" s="11" t="str">
        <f>CONCATENATE("     ","General                                           ")</f>
        <v xml:space="preserve">     General                                           </v>
      </c>
      <c r="C41" s="11"/>
      <c r="D41" s="2">
        <f>SUM(OSRRefD22_7x_0)</f>
        <v>0</v>
      </c>
      <c r="E41" s="2"/>
      <c r="F41" s="5">
        <f t="shared" si="0"/>
        <v>0</v>
      </c>
      <c r="G41" s="2"/>
      <c r="H41" s="2">
        <f>SUM(OSRRefH22_7x_0)</f>
        <v>0</v>
      </c>
      <c r="I41" s="2"/>
      <c r="J41" s="5">
        <f t="shared" si="1"/>
        <v>0</v>
      </c>
      <c r="K41" s="2"/>
      <c r="L41" s="2">
        <f t="shared" si="2"/>
        <v>0</v>
      </c>
      <c r="M41" s="2"/>
      <c r="N41" s="5">
        <f t="shared" si="3"/>
        <v>0</v>
      </c>
      <c r="O41" s="11"/>
      <c r="P41" s="2">
        <f>SUM(OSRRefP22_7x_0)</f>
        <v>1103.44</v>
      </c>
      <c r="Q41" s="2"/>
      <c r="R41" s="5">
        <f t="shared" si="4"/>
        <v>1.1944976293318317E-2</v>
      </c>
      <c r="S41" s="2"/>
      <c r="T41" s="2">
        <f>SUM(OSRRefT22_7x_0)</f>
        <v>0</v>
      </c>
      <c r="U41" s="2"/>
      <c r="V41" s="5">
        <f t="shared" si="5"/>
        <v>0</v>
      </c>
      <c r="W41" s="2"/>
      <c r="X41" s="2">
        <f t="shared" si="6"/>
        <v>1103.44</v>
      </c>
      <c r="Y41" s="2"/>
      <c r="Z41" s="5">
        <f t="shared" si="7"/>
        <v>0</v>
      </c>
    </row>
    <row r="42" spans="1:26" s="70" customFormat="1" ht="15" hidden="1" customHeight="1" outlineLevel="2" x14ac:dyDescent="0.3">
      <c r="A42" s="21"/>
      <c r="B42" s="9" t="str">
        <f>CONCATENATE("          ","6279"," - ","GENERAL EXPENSE")</f>
        <v xml:space="preserve">          6279 - GENERAL EXPENSE</v>
      </c>
      <c r="C42" s="9"/>
      <c r="D42" s="6"/>
      <c r="E42" s="3"/>
      <c r="F42" s="7">
        <f t="shared" si="0"/>
        <v>0</v>
      </c>
      <c r="G42" s="3"/>
      <c r="H42" s="6"/>
      <c r="I42" s="3"/>
      <c r="J42" s="7">
        <f t="shared" si="1"/>
        <v>0</v>
      </c>
      <c r="K42" s="3"/>
      <c r="L42" s="6">
        <f t="shared" si="2"/>
        <v>0</v>
      </c>
      <c r="M42" s="3"/>
      <c r="N42" s="7">
        <f t="shared" si="3"/>
        <v>0</v>
      </c>
      <c r="O42" s="9"/>
      <c r="P42" s="6">
        <v>1103.44</v>
      </c>
      <c r="Q42" s="3"/>
      <c r="R42" s="7">
        <f t="shared" si="4"/>
        <v>1.1944976293318317E-2</v>
      </c>
      <c r="S42" s="3"/>
      <c r="T42" s="6"/>
      <c r="U42" s="3"/>
      <c r="V42" s="7">
        <f t="shared" si="5"/>
        <v>0</v>
      </c>
      <c r="W42" s="3"/>
      <c r="X42" s="6">
        <f t="shared" si="6"/>
        <v>1103.44</v>
      </c>
      <c r="Y42" s="3"/>
      <c r="Z42" s="7">
        <f t="shared" si="7"/>
        <v>0</v>
      </c>
    </row>
    <row r="43" spans="1:26" s="69" customFormat="1" ht="15" customHeight="1" outlineLevel="1" collapsed="1" x14ac:dyDescent="0.3">
      <c r="A43" s="20"/>
      <c r="B43" s="11" t="str">
        <f>CONCATENATE("     ","Repair and Maintenance                            ")</f>
        <v xml:space="preserve">     Repair and Maintenance                            </v>
      </c>
      <c r="C43" s="11"/>
      <c r="D43" s="2">
        <f>SUM(OSRRefD22_8x_0)</f>
        <v>216.08</v>
      </c>
      <c r="E43" s="2"/>
      <c r="F43" s="5">
        <f t="shared" si="0"/>
        <v>0</v>
      </c>
      <c r="G43" s="2"/>
      <c r="H43" s="2">
        <f>SUM(OSRRefH22_8x_0)</f>
        <v>0</v>
      </c>
      <c r="I43" s="2"/>
      <c r="J43" s="5">
        <f t="shared" si="1"/>
        <v>0</v>
      </c>
      <c r="K43" s="2"/>
      <c r="L43" s="2">
        <f t="shared" si="2"/>
        <v>216.08</v>
      </c>
      <c r="M43" s="2"/>
      <c r="N43" s="5">
        <f t="shared" si="3"/>
        <v>0</v>
      </c>
      <c r="O43" s="11"/>
      <c r="P43" s="2">
        <f>SUM(OSRRefP22_8x_0)</f>
        <v>2236.25</v>
      </c>
      <c r="Q43" s="2"/>
      <c r="R43" s="5">
        <f t="shared" si="4"/>
        <v>2.4207889179233204E-2</v>
      </c>
      <c r="S43" s="2"/>
      <c r="T43" s="2">
        <f>SUM(OSRRefT22_8x_0)</f>
        <v>0</v>
      </c>
      <c r="U43" s="2"/>
      <c r="V43" s="5">
        <f t="shared" si="5"/>
        <v>0</v>
      </c>
      <c r="W43" s="2"/>
      <c r="X43" s="2">
        <f t="shared" si="6"/>
        <v>2236.25</v>
      </c>
      <c r="Y43" s="2"/>
      <c r="Z43" s="5">
        <f t="shared" si="7"/>
        <v>0</v>
      </c>
    </row>
    <row r="44" spans="1:26" s="70" customFormat="1" ht="15" hidden="1" customHeight="1" outlineLevel="2" x14ac:dyDescent="0.3">
      <c r="A44" s="21"/>
      <c r="B44" s="9" t="str">
        <f>CONCATENATE("          ","6373"," - ","MAINTENANCE CONTRACTS")</f>
        <v xml:space="preserve">          6373 - MAINTENANCE CONTRACTS</v>
      </c>
      <c r="C44" s="9"/>
      <c r="D44" s="6"/>
      <c r="E44" s="3"/>
      <c r="F44" s="7">
        <f t="shared" si="0"/>
        <v>0</v>
      </c>
      <c r="G44" s="3"/>
      <c r="H44" s="6"/>
      <c r="I44" s="3"/>
      <c r="J44" s="7">
        <f t="shared" si="1"/>
        <v>0</v>
      </c>
      <c r="K44" s="3"/>
      <c r="L44" s="6">
        <f t="shared" si="2"/>
        <v>0</v>
      </c>
      <c r="M44" s="3"/>
      <c r="N44" s="7">
        <f t="shared" si="3"/>
        <v>0</v>
      </c>
      <c r="O44" s="9"/>
      <c r="P44" s="6">
        <v>147.76</v>
      </c>
      <c r="Q44" s="3"/>
      <c r="R44" s="7">
        <f t="shared" si="4"/>
        <v>1.5995339095018436E-3</v>
      </c>
      <c r="S44" s="3"/>
      <c r="T44" s="6"/>
      <c r="U44" s="3"/>
      <c r="V44" s="7">
        <f t="shared" si="5"/>
        <v>0</v>
      </c>
      <c r="W44" s="3"/>
      <c r="X44" s="6">
        <f t="shared" si="6"/>
        <v>147.76</v>
      </c>
      <c r="Y44" s="3"/>
      <c r="Z44" s="7">
        <f t="shared" si="7"/>
        <v>0</v>
      </c>
    </row>
    <row r="45" spans="1:26" s="70" customFormat="1" ht="15" hidden="1" customHeight="1" outlineLevel="2" x14ac:dyDescent="0.3">
      <c r="A45" s="21"/>
      <c r="B45" s="9" t="str">
        <f>CONCATENATE("          ","6375"," - ","OUTSIDE REPAIRS &amp; MAINTENANCE")</f>
        <v xml:space="preserve">          6375 - OUTSIDE REPAIRS &amp; MAINTENANCE</v>
      </c>
      <c r="C45" s="9"/>
      <c r="D45" s="6">
        <v>216.08</v>
      </c>
      <c r="E45" s="3"/>
      <c r="F45" s="7">
        <f t="shared" si="0"/>
        <v>0</v>
      </c>
      <c r="G45" s="3"/>
      <c r="H45" s="6"/>
      <c r="I45" s="3"/>
      <c r="J45" s="7">
        <f t="shared" si="1"/>
        <v>0</v>
      </c>
      <c r="K45" s="3"/>
      <c r="L45" s="6">
        <f t="shared" si="2"/>
        <v>216.08</v>
      </c>
      <c r="M45" s="3"/>
      <c r="N45" s="7">
        <f t="shared" si="3"/>
        <v>0</v>
      </c>
      <c r="O45" s="9"/>
      <c r="P45" s="6">
        <v>2088.4899999999998</v>
      </c>
      <c r="Q45" s="3"/>
      <c r="R45" s="7">
        <f t="shared" si="4"/>
        <v>2.2608355269731359E-2</v>
      </c>
      <c r="S45" s="3"/>
      <c r="T45" s="6"/>
      <c r="U45" s="3"/>
      <c r="V45" s="7">
        <f t="shared" si="5"/>
        <v>0</v>
      </c>
      <c r="W45" s="3"/>
      <c r="X45" s="6">
        <f t="shared" si="6"/>
        <v>2088.4899999999998</v>
      </c>
      <c r="Y45" s="3"/>
      <c r="Z45" s="7">
        <f t="shared" si="7"/>
        <v>0</v>
      </c>
    </row>
    <row r="46" spans="1:26" s="69" customFormat="1" ht="15" customHeight="1" outlineLevel="1" collapsed="1" x14ac:dyDescent="0.3">
      <c r="A46" s="20"/>
      <c r="B46" s="11" t="str">
        <f>CONCATENATE("     ","Services                                          ")</f>
        <v xml:space="preserve">     Services                                          </v>
      </c>
      <c r="C46" s="11"/>
      <c r="D46" s="2">
        <f>SUM(OSRRefD22_9x_0)</f>
        <v>296.05</v>
      </c>
      <c r="E46" s="2"/>
      <c r="F46" s="5">
        <f t="shared" si="0"/>
        <v>0</v>
      </c>
      <c r="G46" s="2"/>
      <c r="H46" s="2">
        <f>SUM(OSRRefH22_9x_0)</f>
        <v>0</v>
      </c>
      <c r="I46" s="2"/>
      <c r="J46" s="5">
        <f t="shared" si="1"/>
        <v>0</v>
      </c>
      <c r="K46" s="2"/>
      <c r="L46" s="2">
        <f t="shared" si="2"/>
        <v>296.05</v>
      </c>
      <c r="M46" s="2"/>
      <c r="N46" s="5">
        <f t="shared" si="3"/>
        <v>0</v>
      </c>
      <c r="O46" s="11"/>
      <c r="P46" s="2">
        <f>SUM(OSRRefP22_9x_0)</f>
        <v>2576.3900000000003</v>
      </c>
      <c r="Q46" s="2"/>
      <c r="R46" s="5">
        <f t="shared" si="4"/>
        <v>2.7889978134146291E-2</v>
      </c>
      <c r="S46" s="2"/>
      <c r="T46" s="2">
        <f>SUM(OSRRefT22_9x_0)</f>
        <v>0</v>
      </c>
      <c r="U46" s="2"/>
      <c r="V46" s="5">
        <f t="shared" si="5"/>
        <v>0</v>
      </c>
      <c r="W46" s="2"/>
      <c r="X46" s="2">
        <f t="shared" si="6"/>
        <v>2576.3900000000003</v>
      </c>
      <c r="Y46" s="2"/>
      <c r="Z46" s="5">
        <f t="shared" si="7"/>
        <v>0</v>
      </c>
    </row>
    <row r="47" spans="1:26" s="70" customFormat="1" ht="15" hidden="1" customHeight="1" outlineLevel="2" x14ac:dyDescent="0.3">
      <c r="A47" s="21"/>
      <c r="B47" s="9" t="str">
        <f>CONCATENATE("          ","6282"," - ","JANITORIAL/EXTERMINATOR EXPENS")</f>
        <v xml:space="preserve">          6282 - JANITORIAL/EXTERMINATOR EXPENS</v>
      </c>
      <c r="C47" s="9"/>
      <c r="D47" s="6">
        <v>296.05</v>
      </c>
      <c r="E47" s="3"/>
      <c r="F47" s="7">
        <f t="shared" si="0"/>
        <v>0</v>
      </c>
      <c r="G47" s="3"/>
      <c r="H47" s="6"/>
      <c r="I47" s="3"/>
      <c r="J47" s="7">
        <f t="shared" si="1"/>
        <v>0</v>
      </c>
      <c r="K47" s="3"/>
      <c r="L47" s="6">
        <f t="shared" si="2"/>
        <v>296.05</v>
      </c>
      <c r="M47" s="3"/>
      <c r="N47" s="7">
        <f t="shared" si="3"/>
        <v>0</v>
      </c>
      <c r="O47" s="9"/>
      <c r="P47" s="6">
        <v>2330.5500000000002</v>
      </c>
      <c r="Q47" s="3"/>
      <c r="R47" s="7">
        <f t="shared" si="4"/>
        <v>2.522870704378399E-2</v>
      </c>
      <c r="S47" s="3"/>
      <c r="T47" s="6"/>
      <c r="U47" s="3"/>
      <c r="V47" s="7">
        <f t="shared" si="5"/>
        <v>0</v>
      </c>
      <c r="W47" s="3"/>
      <c r="X47" s="6">
        <f t="shared" si="6"/>
        <v>2330.5500000000002</v>
      </c>
      <c r="Y47" s="3"/>
      <c r="Z47" s="7">
        <f t="shared" si="7"/>
        <v>0</v>
      </c>
    </row>
    <row r="48" spans="1:26" s="70" customFormat="1" ht="15" hidden="1" customHeight="1" outlineLevel="2" x14ac:dyDescent="0.3">
      <c r="A48" s="21"/>
      <c r="B48" s="9" t="str">
        <f>CONCATENATE("          ","6285"," - ","JANITORIAL SERVICES")</f>
        <v xml:space="preserve">          6285 - JANITORIAL SERVICES</v>
      </c>
      <c r="C48" s="9"/>
      <c r="D48" s="6"/>
      <c r="E48" s="3"/>
      <c r="F48" s="7">
        <f t="shared" si="0"/>
        <v>0</v>
      </c>
      <c r="G48" s="3"/>
      <c r="H48" s="6"/>
      <c r="I48" s="3"/>
      <c r="J48" s="7">
        <f t="shared" si="1"/>
        <v>0</v>
      </c>
      <c r="K48" s="3"/>
      <c r="L48" s="6">
        <f t="shared" si="2"/>
        <v>0</v>
      </c>
      <c r="M48" s="3"/>
      <c r="N48" s="7">
        <f t="shared" si="3"/>
        <v>0</v>
      </c>
      <c r="O48" s="9"/>
      <c r="P48" s="6">
        <v>245.84</v>
      </c>
      <c r="Q48" s="3"/>
      <c r="R48" s="7">
        <f t="shared" si="4"/>
        <v>2.661271090362299E-3</v>
      </c>
      <c r="S48" s="3"/>
      <c r="T48" s="6"/>
      <c r="U48" s="3"/>
      <c r="V48" s="7">
        <f t="shared" si="5"/>
        <v>0</v>
      </c>
      <c r="W48" s="3"/>
      <c r="X48" s="6">
        <f t="shared" si="6"/>
        <v>245.84</v>
      </c>
      <c r="Y48" s="3"/>
      <c r="Z48" s="7">
        <f t="shared" si="7"/>
        <v>0</v>
      </c>
    </row>
    <row r="49" spans="1:26" s="69" customFormat="1" ht="15" customHeight="1" outlineLevel="1" collapsed="1" x14ac:dyDescent="0.3">
      <c r="A49" s="20"/>
      <c r="B49" s="11" t="str">
        <f>CONCATENATE("     ","Supplies                                          ")</f>
        <v xml:space="preserve">     Supplies                                          </v>
      </c>
      <c r="C49" s="11"/>
      <c r="D49" s="2">
        <f>SUM(OSRRefD22_10x_0)</f>
        <v>-37.880000000000003</v>
      </c>
      <c r="E49" s="2"/>
      <c r="F49" s="5">
        <f t="shared" si="0"/>
        <v>0</v>
      </c>
      <c r="G49" s="2"/>
      <c r="H49" s="2">
        <f>SUM(OSRRefH22_10x_0)</f>
        <v>0</v>
      </c>
      <c r="I49" s="2"/>
      <c r="J49" s="5">
        <f t="shared" si="1"/>
        <v>0</v>
      </c>
      <c r="K49" s="2"/>
      <c r="L49" s="2">
        <f t="shared" si="2"/>
        <v>-37.880000000000003</v>
      </c>
      <c r="M49" s="2"/>
      <c r="N49" s="5">
        <f t="shared" si="3"/>
        <v>0</v>
      </c>
      <c r="O49" s="11"/>
      <c r="P49" s="2">
        <f>SUM(OSRRefP22_10x_0)</f>
        <v>50.3</v>
      </c>
      <c r="Q49" s="2"/>
      <c r="R49" s="5">
        <f t="shared" si="4"/>
        <v>5.4450836253345115E-4</v>
      </c>
      <c r="S49" s="2"/>
      <c r="T49" s="2">
        <f>SUM(OSRRefT22_10x_0)</f>
        <v>0</v>
      </c>
      <c r="U49" s="2"/>
      <c r="V49" s="5">
        <f t="shared" si="5"/>
        <v>0</v>
      </c>
      <c r="W49" s="2"/>
      <c r="X49" s="2">
        <f t="shared" si="6"/>
        <v>50.3</v>
      </c>
      <c r="Y49" s="2"/>
      <c r="Z49" s="5">
        <f t="shared" si="7"/>
        <v>0</v>
      </c>
    </row>
    <row r="50" spans="1:26" s="70" customFormat="1" ht="15" hidden="1" customHeight="1" outlineLevel="2" x14ac:dyDescent="0.3">
      <c r="A50" s="21"/>
      <c r="B50" s="9" t="str">
        <f>CONCATENATE("          ","6241"," - ","OFFICE EXPENSE")</f>
        <v xml:space="preserve">          6241 - OFFICE EXPENSE</v>
      </c>
      <c r="C50" s="9"/>
      <c r="D50" s="6"/>
      <c r="E50" s="3"/>
      <c r="F50" s="7">
        <f t="shared" si="0"/>
        <v>0</v>
      </c>
      <c r="G50" s="3"/>
      <c r="H50" s="6"/>
      <c r="I50" s="3"/>
      <c r="J50" s="7">
        <f t="shared" si="1"/>
        <v>0</v>
      </c>
      <c r="K50" s="3"/>
      <c r="L50" s="6">
        <f t="shared" si="2"/>
        <v>0</v>
      </c>
      <c r="M50" s="3"/>
      <c r="N50" s="7">
        <f t="shared" si="3"/>
        <v>0</v>
      </c>
      <c r="O50" s="9"/>
      <c r="P50" s="6">
        <v>28.64</v>
      </c>
      <c r="Q50" s="3"/>
      <c r="R50" s="7">
        <f t="shared" si="4"/>
        <v>3.1003418494946405E-4</v>
      </c>
      <c r="S50" s="3"/>
      <c r="T50" s="6"/>
      <c r="U50" s="3"/>
      <c r="V50" s="7">
        <f t="shared" si="5"/>
        <v>0</v>
      </c>
      <c r="W50" s="3"/>
      <c r="X50" s="6">
        <f t="shared" si="6"/>
        <v>28.64</v>
      </c>
      <c r="Y50" s="3"/>
      <c r="Z50" s="7">
        <f t="shared" si="7"/>
        <v>0</v>
      </c>
    </row>
    <row r="51" spans="1:26" s="70" customFormat="1" ht="15" hidden="1" customHeight="1" outlineLevel="2" x14ac:dyDescent="0.3">
      <c r="A51" s="21"/>
      <c r="B51" s="9" t="str">
        <f>CONCATENATE("          ","6247"," - ","STORE SUPPLIES")</f>
        <v xml:space="preserve">          6247 - STORE SUPPLIES</v>
      </c>
      <c r="C51" s="9"/>
      <c r="D51" s="6">
        <v>-37.880000000000003</v>
      </c>
      <c r="E51" s="3"/>
      <c r="F51" s="7">
        <f t="shared" si="0"/>
        <v>0</v>
      </c>
      <c r="G51" s="3"/>
      <c r="H51" s="6"/>
      <c r="I51" s="3"/>
      <c r="J51" s="7">
        <f t="shared" si="1"/>
        <v>0</v>
      </c>
      <c r="K51" s="3"/>
      <c r="L51" s="6">
        <f t="shared" si="2"/>
        <v>-37.880000000000003</v>
      </c>
      <c r="M51" s="3"/>
      <c r="N51" s="7">
        <f t="shared" si="3"/>
        <v>0</v>
      </c>
      <c r="O51" s="9"/>
      <c r="P51" s="6">
        <v>21.66</v>
      </c>
      <c r="Q51" s="3"/>
      <c r="R51" s="7">
        <f t="shared" si="4"/>
        <v>2.3447417758398713E-4</v>
      </c>
      <c r="S51" s="3"/>
      <c r="T51" s="6"/>
      <c r="U51" s="3"/>
      <c r="V51" s="7">
        <f t="shared" si="5"/>
        <v>0</v>
      </c>
      <c r="W51" s="3"/>
      <c r="X51" s="6">
        <f t="shared" si="6"/>
        <v>21.66</v>
      </c>
      <c r="Y51" s="3"/>
      <c r="Z51" s="7">
        <f t="shared" si="7"/>
        <v>0</v>
      </c>
    </row>
    <row r="52" spans="1:26" s="69" customFormat="1" ht="15" customHeight="1" outlineLevel="1" collapsed="1" x14ac:dyDescent="0.3">
      <c r="A52" s="20"/>
      <c r="B52" s="11" t="str">
        <f>CONCATENATE("     ","Telephone/Data Lines                              ")</f>
        <v xml:space="preserve">     Telephone/Data Lines                              </v>
      </c>
      <c r="C52" s="11"/>
      <c r="D52" s="2">
        <f>SUM(OSRRefD22_11x_0)</f>
        <v>30</v>
      </c>
      <c r="E52" s="2"/>
      <c r="F52" s="5">
        <f t="shared" si="0"/>
        <v>0</v>
      </c>
      <c r="G52" s="2"/>
      <c r="H52" s="2">
        <f>SUM(OSRRefH22_11x_0)</f>
        <v>0</v>
      </c>
      <c r="I52" s="2"/>
      <c r="J52" s="5">
        <f t="shared" si="1"/>
        <v>0</v>
      </c>
      <c r="K52" s="2"/>
      <c r="L52" s="2">
        <f t="shared" si="2"/>
        <v>30</v>
      </c>
      <c r="M52" s="2"/>
      <c r="N52" s="5">
        <f t="shared" si="3"/>
        <v>0</v>
      </c>
      <c r="O52" s="11"/>
      <c r="P52" s="2">
        <f>SUM(OSRRefP22_11x_0)</f>
        <v>360</v>
      </c>
      <c r="Q52" s="2"/>
      <c r="R52" s="5">
        <f t="shared" si="4"/>
        <v>3.8970777437781793E-3</v>
      </c>
      <c r="S52" s="2"/>
      <c r="T52" s="2">
        <f>SUM(OSRRefT22_11x_0)</f>
        <v>0</v>
      </c>
      <c r="U52" s="2"/>
      <c r="V52" s="5">
        <f t="shared" si="5"/>
        <v>0</v>
      </c>
      <c r="W52" s="2"/>
      <c r="X52" s="2">
        <f t="shared" si="6"/>
        <v>360</v>
      </c>
      <c r="Y52" s="2"/>
      <c r="Z52" s="5">
        <f t="shared" si="7"/>
        <v>0</v>
      </c>
    </row>
    <row r="53" spans="1:26" s="70" customFormat="1" ht="15" hidden="1" customHeight="1" outlineLevel="2" x14ac:dyDescent="0.3">
      <c r="A53" s="21"/>
      <c r="B53" s="9" t="str">
        <f>CONCATENATE("          ","6309"," - ","TELEPHONE")</f>
        <v xml:space="preserve">          6309 - TELEPHONE</v>
      </c>
      <c r="C53" s="9"/>
      <c r="D53" s="6">
        <v>30</v>
      </c>
      <c r="E53" s="3"/>
      <c r="F53" s="7">
        <f t="shared" si="0"/>
        <v>0</v>
      </c>
      <c r="G53" s="3"/>
      <c r="H53" s="6"/>
      <c r="I53" s="3"/>
      <c r="J53" s="7">
        <f t="shared" si="1"/>
        <v>0</v>
      </c>
      <c r="K53" s="3"/>
      <c r="L53" s="6">
        <f t="shared" si="2"/>
        <v>30</v>
      </c>
      <c r="M53" s="3"/>
      <c r="N53" s="7">
        <f t="shared" si="3"/>
        <v>0</v>
      </c>
      <c r="O53" s="9"/>
      <c r="P53" s="6">
        <v>360</v>
      </c>
      <c r="Q53" s="3"/>
      <c r="R53" s="7">
        <f t="shared" si="4"/>
        <v>3.8970777437781793E-3</v>
      </c>
      <c r="S53" s="3"/>
      <c r="T53" s="6"/>
      <c r="U53" s="3"/>
      <c r="V53" s="7">
        <f t="shared" si="5"/>
        <v>0</v>
      </c>
      <c r="W53" s="3"/>
      <c r="X53" s="6">
        <f t="shared" si="6"/>
        <v>360</v>
      </c>
      <c r="Y53" s="3"/>
      <c r="Z53" s="7">
        <f t="shared" si="7"/>
        <v>0</v>
      </c>
    </row>
    <row r="54" spans="1:26" s="69" customFormat="1" ht="15" customHeight="1" outlineLevel="1" collapsed="1" x14ac:dyDescent="0.3">
      <c r="A54" s="20"/>
      <c r="B54" s="11" t="str">
        <f>CONCATENATE("     ","Training                                          ")</f>
        <v xml:space="preserve">     Training                                          </v>
      </c>
      <c r="C54" s="11"/>
      <c r="D54" s="2">
        <f>SUM(OSRRefD22_12x_0)</f>
        <v>0</v>
      </c>
      <c r="E54" s="2"/>
      <c r="F54" s="5">
        <f t="shared" si="0"/>
        <v>0</v>
      </c>
      <c r="G54" s="2"/>
      <c r="H54" s="2">
        <f>SUM(OSRRefH22_12x_0)</f>
        <v>0</v>
      </c>
      <c r="I54" s="2"/>
      <c r="J54" s="5">
        <f t="shared" si="1"/>
        <v>0</v>
      </c>
      <c r="K54" s="2"/>
      <c r="L54" s="2">
        <f t="shared" si="2"/>
        <v>0</v>
      </c>
      <c r="M54" s="2"/>
      <c r="N54" s="5">
        <f t="shared" si="3"/>
        <v>0</v>
      </c>
      <c r="O54" s="11"/>
      <c r="P54" s="2">
        <f>SUM(OSRRefP22_12x_0)</f>
        <v>120</v>
      </c>
      <c r="Q54" s="2"/>
      <c r="R54" s="5">
        <f t="shared" si="4"/>
        <v>1.2990259145927265E-3</v>
      </c>
      <c r="S54" s="2"/>
      <c r="T54" s="2">
        <f>SUM(OSRRefT22_12x_0)</f>
        <v>0</v>
      </c>
      <c r="U54" s="2"/>
      <c r="V54" s="5">
        <f t="shared" si="5"/>
        <v>0</v>
      </c>
      <c r="W54" s="2"/>
      <c r="X54" s="2">
        <f t="shared" si="6"/>
        <v>120</v>
      </c>
      <c r="Y54" s="2"/>
      <c r="Z54" s="5">
        <f t="shared" si="7"/>
        <v>0</v>
      </c>
    </row>
    <row r="55" spans="1:26" s="70" customFormat="1" ht="15" hidden="1" customHeight="1" outlineLevel="2" x14ac:dyDescent="0.3">
      <c r="A55" s="21"/>
      <c r="B55" s="9" t="str">
        <f>CONCATENATE("          ","6376"," - ","TRAINING")</f>
        <v xml:space="preserve">          6376 - TRAINING</v>
      </c>
      <c r="C55" s="9"/>
      <c r="D55" s="6"/>
      <c r="E55" s="3"/>
      <c r="F55" s="7">
        <f t="shared" si="0"/>
        <v>0</v>
      </c>
      <c r="G55" s="3"/>
      <c r="H55" s="6"/>
      <c r="I55" s="3"/>
      <c r="J55" s="7">
        <f t="shared" si="1"/>
        <v>0</v>
      </c>
      <c r="K55" s="3"/>
      <c r="L55" s="6">
        <f t="shared" si="2"/>
        <v>0</v>
      </c>
      <c r="M55" s="3"/>
      <c r="N55" s="7">
        <f t="shared" si="3"/>
        <v>0</v>
      </c>
      <c r="O55" s="9"/>
      <c r="P55" s="6">
        <v>120</v>
      </c>
      <c r="Q55" s="3"/>
      <c r="R55" s="7">
        <f t="shared" si="4"/>
        <v>1.2990259145927265E-3</v>
      </c>
      <c r="S55" s="3"/>
      <c r="T55" s="6"/>
      <c r="U55" s="3"/>
      <c r="V55" s="7">
        <f t="shared" si="5"/>
        <v>0</v>
      </c>
      <c r="W55" s="3"/>
      <c r="X55" s="6">
        <f t="shared" si="6"/>
        <v>120</v>
      </c>
      <c r="Y55" s="3"/>
      <c r="Z55" s="7">
        <f t="shared" si="7"/>
        <v>0</v>
      </c>
    </row>
    <row r="56" spans="1:26" s="65" customFormat="1" ht="15" customHeight="1" x14ac:dyDescent="0.3">
      <c r="A56" s="36"/>
      <c r="B56" s="36"/>
      <c r="C56" s="36"/>
      <c r="D56" s="2"/>
      <c r="E56" s="2"/>
      <c r="F56" s="5"/>
      <c r="G56" s="2"/>
      <c r="H56" s="2"/>
      <c r="I56" s="2"/>
      <c r="J56" s="5"/>
      <c r="K56" s="2"/>
      <c r="L56" s="2"/>
      <c r="M56" s="2"/>
      <c r="N56" s="5"/>
      <c r="O56" s="36"/>
      <c r="P56" s="2"/>
      <c r="Q56" s="2"/>
      <c r="R56" s="5"/>
      <c r="S56" s="2"/>
      <c r="T56" s="2"/>
      <c r="U56" s="2"/>
      <c r="V56" s="5"/>
      <c r="W56" s="2"/>
      <c r="X56" s="2"/>
      <c r="Y56" s="2"/>
      <c r="Z56" s="5"/>
    </row>
    <row r="57" spans="1:26" s="63" customFormat="1" ht="15" customHeight="1" x14ac:dyDescent="0.3">
      <c r="A57" s="13"/>
      <c r="B57" s="28" t="s">
        <v>291</v>
      </c>
      <c r="C57" s="13"/>
      <c r="D57" s="8">
        <f>SUM(0)</f>
        <v>0</v>
      </c>
      <c r="E57" s="8"/>
      <c r="F57" s="14">
        <f>IF(D$12=0,0,D57/D$12)</f>
        <v>0</v>
      </c>
      <c r="G57" s="8"/>
      <c r="H57" s="8">
        <f>SUM(0)</f>
        <v>0</v>
      </c>
      <c r="I57" s="8"/>
      <c r="J57" s="14">
        <f>IF(H$12=0,0,H57/H$12)</f>
        <v>0</v>
      </c>
      <c r="K57" s="8"/>
      <c r="L57" s="8">
        <f>+D57-H57</f>
        <v>0</v>
      </c>
      <c r="M57" s="8"/>
      <c r="N57" s="14">
        <f>IF(H57=0,0,L57/H57)</f>
        <v>0</v>
      </c>
      <c r="O57" s="13"/>
      <c r="P57" s="8">
        <f>SUM(0)</f>
        <v>0</v>
      </c>
      <c r="Q57" s="8"/>
      <c r="R57" s="14">
        <f>IF(P$12=0,0,P57/P$12)</f>
        <v>0</v>
      </c>
      <c r="S57" s="8"/>
      <c r="T57" s="8">
        <f>SUM(0)</f>
        <v>0</v>
      </c>
      <c r="U57" s="8"/>
      <c r="V57" s="14">
        <f>IF(T$12=0,0,T57/T$12)</f>
        <v>0</v>
      </c>
      <c r="W57" s="8"/>
      <c r="X57" s="8">
        <f>+P57-T57</f>
        <v>0</v>
      </c>
      <c r="Y57" s="8"/>
      <c r="Z57" s="14">
        <f>IF(T57=0,0,X57/T57)</f>
        <v>0</v>
      </c>
    </row>
    <row r="58" spans="1:26" ht="15" customHeight="1" x14ac:dyDescent="0.3">
      <c r="A58" s="12"/>
      <c r="B58" s="13"/>
      <c r="C58" s="13"/>
      <c r="D58" s="4"/>
      <c r="E58" s="4"/>
      <c r="F58" s="10"/>
      <c r="G58" s="4"/>
      <c r="H58" s="4"/>
      <c r="I58" s="4"/>
      <c r="J58" s="10"/>
      <c r="K58" s="4"/>
      <c r="L58" s="4"/>
      <c r="M58" s="4"/>
      <c r="N58" s="10"/>
      <c r="O58" s="13"/>
      <c r="P58" s="4"/>
      <c r="Q58" s="4"/>
      <c r="R58" s="10"/>
      <c r="S58" s="4"/>
      <c r="T58" s="4"/>
      <c r="U58" s="4"/>
      <c r="V58" s="10"/>
      <c r="W58" s="4"/>
      <c r="X58" s="4"/>
      <c r="Y58" s="4"/>
      <c r="Z58" s="10"/>
    </row>
    <row r="59" spans="1:26" s="63" customFormat="1" ht="15" customHeight="1" x14ac:dyDescent="0.3">
      <c r="A59" s="13"/>
      <c r="B59" s="27" t="s">
        <v>292</v>
      </c>
      <c r="C59" s="27"/>
      <c r="D59" s="23">
        <f>+D22-D24+D57</f>
        <v>-2082.3599999999997</v>
      </c>
      <c r="E59" s="15"/>
      <c r="F59" s="22">
        <f>IF(D$12=0,0,D59/D$12)</f>
        <v>0</v>
      </c>
      <c r="G59" s="15"/>
      <c r="H59" s="23">
        <f>+H22-H24+H57</f>
        <v>-588</v>
      </c>
      <c r="I59" s="15"/>
      <c r="J59" s="22">
        <f>IF(H$12=0,0,H59/H$12)</f>
        <v>0</v>
      </c>
      <c r="K59" s="17"/>
      <c r="L59" s="23">
        <f>+D59-H59</f>
        <v>-1494.3599999999997</v>
      </c>
      <c r="M59" s="17"/>
      <c r="N59" s="22">
        <f>IF(H59=0,0,L59/H59)</f>
        <v>2.5414285714285709</v>
      </c>
      <c r="O59" s="28"/>
      <c r="P59" s="23">
        <f>+P22-P24+P57</f>
        <v>12814.770000000019</v>
      </c>
      <c r="Q59" s="15"/>
      <c r="R59" s="22">
        <f>IF(P$12=0,0,P59/P$12)</f>
        <v>0.13872265266287881</v>
      </c>
      <c r="S59" s="15"/>
      <c r="T59" s="23">
        <f>+T22-T24+T57</f>
        <v>-7056</v>
      </c>
      <c r="U59" s="15"/>
      <c r="V59" s="22">
        <f>IF(T$12=0,0,T59/T$12)</f>
        <v>0</v>
      </c>
      <c r="W59" s="17"/>
      <c r="X59" s="23">
        <f>+P59-T59</f>
        <v>19870.770000000019</v>
      </c>
      <c r="Y59" s="17"/>
      <c r="Z59" s="22">
        <f>IF(T59=0,0,X59/T59)</f>
        <v>-2.8161522108843564</v>
      </c>
    </row>
    <row r="60" spans="1:26" ht="15" customHeight="1" x14ac:dyDescent="0.3">
      <c r="A60" s="12"/>
      <c r="B60" s="13"/>
      <c r="C60" s="12"/>
      <c r="D60" s="4"/>
      <c r="E60" s="4"/>
      <c r="F60" s="10"/>
      <c r="G60" s="4"/>
      <c r="H60" s="4"/>
      <c r="I60" s="4"/>
      <c r="J60" s="10"/>
      <c r="K60" s="4"/>
      <c r="L60" s="4"/>
      <c r="M60" s="4"/>
      <c r="N60" s="10"/>
      <c r="P60" s="4"/>
      <c r="Q60" s="4"/>
      <c r="R60" s="10"/>
      <c r="S60" s="4"/>
      <c r="T60" s="4"/>
      <c r="U60" s="4"/>
      <c r="V60" s="10"/>
      <c r="W60" s="4"/>
      <c r="X60" s="4"/>
      <c r="Y60" s="4"/>
      <c r="Z60" s="10"/>
    </row>
    <row r="61" spans="1:26" s="63" customFormat="1" ht="15" customHeight="1" x14ac:dyDescent="0.3">
      <c r="A61" s="49"/>
      <c r="B61" s="13" t="s">
        <v>293</v>
      </c>
      <c r="C61" s="13"/>
      <c r="D61" s="8">
        <v>-21035.53</v>
      </c>
      <c r="E61" s="8"/>
      <c r="F61" s="14">
        <f>IF(D$12=0,0,D61/D$12)</f>
        <v>0</v>
      </c>
      <c r="G61" s="8"/>
      <c r="H61" s="8"/>
      <c r="I61" s="8"/>
      <c r="J61" s="14">
        <f>IF(H$12=0,0,H61/H$12)</f>
        <v>0</v>
      </c>
      <c r="K61" s="8"/>
      <c r="L61" s="8">
        <f>+D61-H61</f>
        <v>-21035.53</v>
      </c>
      <c r="M61" s="8"/>
      <c r="N61" s="14">
        <f>IF(H61=0,0,L61/H61)</f>
        <v>0</v>
      </c>
      <c r="O61" s="13"/>
      <c r="P61" s="8">
        <v>-10650.02</v>
      </c>
      <c r="Q61" s="8"/>
      <c r="R61" s="14">
        <f>IF(P$12=0,0,P61/P$12)</f>
        <v>-0.11528876642442358</v>
      </c>
      <c r="S61" s="8"/>
      <c r="T61" s="8"/>
      <c r="U61" s="8"/>
      <c r="V61" s="14">
        <f>IF(T$12=0,0,T61/T$12)</f>
        <v>0</v>
      </c>
      <c r="W61" s="8"/>
      <c r="X61" s="8">
        <f>+P61-T61</f>
        <v>-10650.02</v>
      </c>
      <c r="Y61" s="8"/>
      <c r="Z61" s="14">
        <f>IF(T61=0,0,X61/T61)</f>
        <v>0</v>
      </c>
    </row>
    <row r="62" spans="1:26" ht="15" customHeight="1" x14ac:dyDescent="0.3">
      <c r="A62" s="12"/>
      <c r="B62" s="13"/>
      <c r="C62" s="13"/>
      <c r="D62" s="4"/>
      <c r="E62" s="4"/>
      <c r="F62" s="10"/>
      <c r="G62" s="4"/>
      <c r="H62" s="4"/>
      <c r="I62" s="4"/>
      <c r="J62" s="10"/>
      <c r="K62" s="4"/>
      <c r="L62" s="4"/>
      <c r="M62" s="4"/>
      <c r="N62" s="10"/>
      <c r="O62" s="13"/>
      <c r="P62" s="4"/>
      <c r="Q62" s="4"/>
      <c r="R62" s="10"/>
      <c r="S62" s="4"/>
      <c r="T62" s="4"/>
      <c r="U62" s="4"/>
      <c r="V62" s="10"/>
      <c r="W62" s="4"/>
      <c r="X62" s="4"/>
      <c r="Y62" s="4"/>
      <c r="Z62" s="10"/>
    </row>
    <row r="63" spans="1:26" s="63" customFormat="1" ht="15" customHeight="1" x14ac:dyDescent="0.3">
      <c r="A63" s="13"/>
      <c r="B63" s="27" t="s">
        <v>294</v>
      </c>
      <c r="C63" s="27"/>
      <c r="D63" s="30">
        <f>+D59-D61</f>
        <v>18953.169999999998</v>
      </c>
      <c r="E63" s="15"/>
      <c r="F63" s="35">
        <f>IF(D$12=0,0,D63/D$12)</f>
        <v>0</v>
      </c>
      <c r="G63" s="15"/>
      <c r="H63" s="30">
        <f>+H59-H61</f>
        <v>-588</v>
      </c>
      <c r="I63" s="15"/>
      <c r="J63" s="35">
        <f>IF(H$12=0,0,H63/H$12)</f>
        <v>0</v>
      </c>
      <c r="K63" s="17"/>
      <c r="L63" s="30">
        <f>D63-H63</f>
        <v>19541.169999999998</v>
      </c>
      <c r="M63" s="17"/>
      <c r="N63" s="35">
        <f>IF(H63=0,0,L63/H63)</f>
        <v>-33.233282312925169</v>
      </c>
      <c r="O63" s="28"/>
      <c r="P63" s="30">
        <f>+P59-P61</f>
        <v>23464.790000000019</v>
      </c>
      <c r="Q63" s="15"/>
      <c r="R63" s="35">
        <f>IF(P$12=0,0,P63/P$12)</f>
        <v>0.2540114190873024</v>
      </c>
      <c r="S63" s="15"/>
      <c r="T63" s="30">
        <f>+T59-T61</f>
        <v>-7056</v>
      </c>
      <c r="U63" s="15"/>
      <c r="V63" s="35">
        <f>IF(T$12=0,0,T63/T$12)</f>
        <v>0</v>
      </c>
      <c r="W63" s="17"/>
      <c r="X63" s="30">
        <f>P63-T63</f>
        <v>30520.790000000019</v>
      </c>
      <c r="Y63" s="17"/>
      <c r="Z63" s="35">
        <f>IF(T63=0,0,X63/T63)</f>
        <v>-4.3255087868480748</v>
      </c>
    </row>
    <row r="64" spans="1:26" ht="15" customHeight="1" x14ac:dyDescent="0.3">
      <c r="A64" s="12"/>
      <c r="B64" s="12"/>
      <c r="C64" s="12"/>
      <c r="D64" s="4"/>
      <c r="E64" s="4"/>
      <c r="F64" s="10"/>
      <c r="G64" s="4"/>
      <c r="H64" s="4"/>
      <c r="I64" s="4"/>
      <c r="J64" s="10"/>
      <c r="K64" s="4"/>
      <c r="L64" s="4"/>
      <c r="M64" s="4"/>
      <c r="N64" s="10"/>
      <c r="P64" s="4"/>
      <c r="Q64" s="4"/>
      <c r="R64" s="10"/>
      <c r="S64" s="4"/>
      <c r="T64" s="4"/>
      <c r="U64" s="4"/>
      <c r="V64" s="10"/>
      <c r="W64" s="4"/>
      <c r="X64" s="4"/>
      <c r="Y64" s="4"/>
      <c r="Z64" s="10"/>
    </row>
    <row r="65" spans="1:26" ht="15" customHeight="1" x14ac:dyDescent="0.3">
      <c r="A65" s="12"/>
      <c r="B65" s="12"/>
      <c r="C65" s="12"/>
      <c r="D65" s="4"/>
      <c r="E65" s="4"/>
      <c r="F65" s="10"/>
      <c r="G65" s="4"/>
      <c r="H65" s="4"/>
      <c r="I65" s="4"/>
      <c r="J65" s="10"/>
      <c r="K65" s="4"/>
      <c r="L65" s="4"/>
      <c r="M65" s="4"/>
      <c r="N65" s="10"/>
      <c r="P65" s="4"/>
      <c r="Q65" s="4"/>
      <c r="R65" s="10"/>
      <c r="S65" s="4"/>
      <c r="T65" s="4"/>
      <c r="U65" s="4"/>
      <c r="V65" s="10"/>
      <c r="W65" s="4"/>
      <c r="X65" s="4"/>
      <c r="Y65" s="4"/>
      <c r="Z65" s="10"/>
    </row>
    <row r="66" spans="1:26" s="63" customFormat="1" ht="15" customHeight="1" x14ac:dyDescent="0.3">
      <c r="A66" s="13"/>
      <c r="B66" s="27" t="s">
        <v>297</v>
      </c>
      <c r="C66" s="27"/>
      <c r="D66" s="33">
        <f>SUM(D63:D65)</f>
        <v>18953.169999999998</v>
      </c>
      <c r="E66" s="15"/>
      <c r="F66" s="31">
        <f>IF(D$12=0,0,D66/D$12)</f>
        <v>0</v>
      </c>
      <c r="G66" s="15"/>
      <c r="H66" s="33">
        <f>SUM(H63:H65)</f>
        <v>-588</v>
      </c>
      <c r="I66" s="15"/>
      <c r="J66" s="31">
        <f>IF(H$12=0,0,H66/H$12)</f>
        <v>0</v>
      </c>
      <c r="K66" s="17"/>
      <c r="L66" s="33">
        <f>+D66-H66</f>
        <v>19541.169999999998</v>
      </c>
      <c r="M66" s="17"/>
      <c r="N66" s="31">
        <f>IF(H66=0,0,L66/H66)</f>
        <v>-33.233282312925169</v>
      </c>
      <c r="O66" s="28"/>
      <c r="P66" s="33">
        <f>SUM(P63:P65)</f>
        <v>23464.790000000019</v>
      </c>
      <c r="Q66" s="15"/>
      <c r="R66" s="31">
        <f>IF(P$12=0,0,P66/P$12)</f>
        <v>0.2540114190873024</v>
      </c>
      <c r="S66" s="15"/>
      <c r="T66" s="33">
        <f>SUM(T63:T65)</f>
        <v>-7056</v>
      </c>
      <c r="U66" s="15"/>
      <c r="V66" s="31">
        <f>IF(T$12=0,0,T66/T$12)</f>
        <v>0</v>
      </c>
      <c r="W66" s="17"/>
      <c r="X66" s="33">
        <f>+P66-T66</f>
        <v>30520.790000000019</v>
      </c>
      <c r="Y66" s="17"/>
      <c r="Z66" s="31">
        <f>IF(T66=0,0,X66/T66)</f>
        <v>-4.3255087868480748</v>
      </c>
    </row>
    <row r="67" spans="1:26" ht="15" customHeight="1" x14ac:dyDescent="0.3">
      <c r="A67" s="12"/>
      <c r="C67" s="12"/>
      <c r="D67" s="19"/>
      <c r="E67" s="19"/>
      <c r="G67" s="19"/>
      <c r="H67" s="19"/>
      <c r="I67" s="19"/>
      <c r="J67" s="41"/>
      <c r="K67" s="19"/>
      <c r="L67" s="19"/>
      <c r="M67" s="19"/>
      <c r="P67" s="19"/>
      <c r="Q67" s="19"/>
      <c r="R67" s="41"/>
      <c r="S67" s="19"/>
      <c r="T67" s="19"/>
      <c r="U67" s="19"/>
      <c r="V67" s="41"/>
      <c r="W67" s="19"/>
      <c r="X67" s="19"/>
    </row>
    <row r="68" spans="1:26" ht="15" customHeight="1" x14ac:dyDescent="0.3">
      <c r="A68" s="12"/>
      <c r="B68" s="50">
        <v>44767.799547766204</v>
      </c>
      <c r="D68" s="19"/>
      <c r="E68" s="19"/>
      <c r="G68" s="19"/>
      <c r="H68" s="19"/>
      <c r="I68" s="19"/>
      <c r="J68" s="41"/>
      <c r="K68" s="19"/>
      <c r="L68" s="19"/>
      <c r="M68" s="19"/>
      <c r="P68" s="19"/>
      <c r="Q68" s="19"/>
      <c r="R68" s="41"/>
      <c r="S68" s="19"/>
      <c r="T68" s="19"/>
      <c r="U68" s="19"/>
      <c r="V68" s="41"/>
      <c r="W68" s="19"/>
      <c r="X68" s="19"/>
    </row>
    <row r="69" spans="1:26" ht="15" customHeight="1" x14ac:dyDescent="0.3">
      <c r="A69" s="12"/>
      <c r="B69" s="57" t="s">
        <v>298</v>
      </c>
      <c r="D69" s="19"/>
      <c r="E69" s="19"/>
      <c r="G69" s="19"/>
      <c r="H69" s="19"/>
      <c r="I69" s="19"/>
      <c r="J69" s="41"/>
      <c r="K69" s="19"/>
      <c r="L69" s="19"/>
      <c r="M69" s="19"/>
      <c r="P69" s="19"/>
      <c r="Q69" s="19"/>
      <c r="R69" s="41"/>
      <c r="S69" s="19"/>
      <c r="T69" s="19"/>
      <c r="U69" s="19"/>
      <c r="V69" s="41"/>
      <c r="W69" s="19"/>
      <c r="X69" s="19"/>
    </row>
    <row r="70" spans="1:26" ht="15" customHeight="1" x14ac:dyDescent="0.3">
      <c r="A70" s="12"/>
      <c r="B70" s="51"/>
      <c r="D70" s="19"/>
      <c r="E70" s="19"/>
      <c r="G70" s="19"/>
      <c r="H70" s="19"/>
      <c r="I70" s="19"/>
      <c r="J70" s="41"/>
      <c r="K70" s="19"/>
      <c r="L70" s="19"/>
      <c r="M70" s="19"/>
      <c r="P70" s="19"/>
      <c r="Q70" s="19"/>
      <c r="R70" s="41"/>
      <c r="S70" s="19"/>
      <c r="T70" s="19"/>
      <c r="U70" s="19"/>
      <c r="V70" s="41"/>
      <c r="W70" s="19"/>
      <c r="X70" s="19"/>
    </row>
    <row r="71" spans="1:26" ht="15" customHeight="1" x14ac:dyDescent="0.3">
      <c r="D71" s="19"/>
      <c r="E71" s="19"/>
      <c r="G71" s="19"/>
      <c r="H71" s="19"/>
      <c r="I71" s="19"/>
      <c r="J71" s="41"/>
      <c r="K71" s="19"/>
      <c r="L71" s="19"/>
      <c r="M71" s="19"/>
      <c r="P71" s="19"/>
      <c r="Q71" s="19"/>
      <c r="R71" s="41"/>
      <c r="S71" s="19"/>
      <c r="T71" s="19"/>
      <c r="U71" s="19"/>
      <c r="V71" s="41"/>
      <c r="W71" s="19"/>
      <c r="X71" s="19"/>
    </row>
  </sheetData>
  <pageMargins left="0.25" right="0.25" top="0.75" bottom="0.75" header="0.3" footer="0.3"/>
  <pageSetup scale="55" orientation="landscape" r:id="rId1"/>
  <headerFooter>
    <oddHeader>&amp;RPre-Audit</oddHeader>
    <oddFooter>&amp;L&amp;C&amp;R</oddFooter>
    <evenHeader>&amp;L&amp;C&amp;R</evenHeader>
    <evenFooter>&amp;L&amp;C&amp;R</even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E296A6-7327-8768-9495-3C1022FFBD18}">
  <sheetPr>
    <tabColor rgb="FF92D050"/>
    <outlinePr summaryBelow="0" summaryRight="0"/>
  </sheetPr>
  <dimension ref="A2:Z91"/>
  <sheetViews>
    <sheetView showGridLines="0" defaultGridColor="0" colorId="8" zoomScale="80" workbookViewId="0">
      <pane xSplit="3" ySplit="10" topLeftCell="D11" activePane="bottomRight" state="frozen"/>
      <selection activeCell="D78" sqref="D78"/>
      <selection pane="topRight" activeCell="D78" sqref="D78"/>
      <selection pane="bottomLeft" activeCell="D78" sqref="D78"/>
      <selection pane="bottomRight" activeCell="D78" sqref="D78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3" t="s">
        <v>276</v>
      </c>
    </row>
    <row r="3" spans="1:26" ht="15" customHeight="1" x14ac:dyDescent="0.3">
      <c r="D3" s="53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3" t="str">
        <f>CONCATENATE("Period ",RIGHT(202212,2),", ",2022)</f>
        <v>Period 12,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5"/>
      <c r="D5" s="60">
        <v>44742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5"/>
      <c r="B6" s="47"/>
      <c r="C6" s="47"/>
      <c r="D6" s="25" t="str">
        <f>CONCATENATE("Department ","321"," - ","Corner Market")</f>
        <v>Department 321 - Corner Market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4"/>
    </row>
    <row r="8" spans="1:26" ht="15" customHeight="1" x14ac:dyDescent="0.3">
      <c r="B8" s="54"/>
    </row>
    <row r="9" spans="1:26" ht="15" customHeight="1" x14ac:dyDescent="0.3">
      <c r="B9" s="12"/>
      <c r="C9" s="12"/>
      <c r="D9" s="16" t="s">
        <v>279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280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ht="15" customHeight="1" x14ac:dyDescent="0.3">
      <c r="A10" s="13"/>
      <c r="B10" s="52"/>
      <c r="C10" s="13"/>
      <c r="D10" s="40" t="s">
        <v>281</v>
      </c>
      <c r="E10" s="32"/>
      <c r="F10" s="39" t="s">
        <v>282</v>
      </c>
      <c r="G10" s="32"/>
      <c r="H10" s="45" t="s">
        <v>283</v>
      </c>
      <c r="I10" s="32"/>
      <c r="J10" s="42" t="s">
        <v>284</v>
      </c>
      <c r="K10" s="13"/>
      <c r="L10" s="40" t="s">
        <v>285</v>
      </c>
      <c r="M10" s="13"/>
      <c r="N10" s="39" t="s">
        <v>286</v>
      </c>
      <c r="O10" s="13"/>
      <c r="P10" s="55" t="s">
        <v>281</v>
      </c>
      <c r="Q10" s="32"/>
      <c r="R10" s="39" t="s">
        <v>282</v>
      </c>
      <c r="S10" s="32"/>
      <c r="T10" s="45" t="s">
        <v>283</v>
      </c>
      <c r="U10" s="32"/>
      <c r="V10" s="42" t="s">
        <v>284</v>
      </c>
      <c r="W10" s="13"/>
      <c r="X10" s="40" t="s">
        <v>285</v>
      </c>
      <c r="Y10" s="13"/>
      <c r="Z10" s="39" t="s">
        <v>286</v>
      </c>
    </row>
    <row r="11" spans="1:26" ht="16.5" customHeight="1" x14ac:dyDescent="0.3">
      <c r="A11" s="12"/>
      <c r="B11" s="58"/>
      <c r="C11" s="12"/>
      <c r="D11" s="12"/>
      <c r="E11" s="12"/>
      <c r="F11" s="10"/>
      <c r="G11" s="12"/>
      <c r="H11" s="12"/>
      <c r="I11" s="12"/>
      <c r="J11" s="43"/>
      <c r="K11" s="12"/>
      <c r="L11" s="12"/>
      <c r="M11" s="12"/>
      <c r="N11" s="10"/>
      <c r="P11" s="12"/>
      <c r="Q11" s="12"/>
      <c r="R11" s="10"/>
      <c r="S11" s="12"/>
      <c r="T11" s="12"/>
      <c r="U11" s="12"/>
      <c r="V11" s="43"/>
      <c r="W11" s="12"/>
      <c r="X11" s="12"/>
      <c r="Y11" s="12"/>
      <c r="Z11" s="10"/>
    </row>
    <row r="12" spans="1:26" s="63" customFormat="1" ht="15" customHeight="1" collapsed="1" x14ac:dyDescent="0.3">
      <c r="A12" s="13"/>
      <c r="B12" s="28" t="s">
        <v>287</v>
      </c>
      <c r="C12" s="13"/>
      <c r="D12" s="8">
        <f>SUM(OSRRefD13x_0)</f>
        <v>2745.06</v>
      </c>
      <c r="E12" s="8"/>
      <c r="F12" s="14"/>
      <c r="G12" s="8"/>
      <c r="H12" s="8">
        <f>SUM(OSRRefH13x_0)</f>
        <v>3734</v>
      </c>
      <c r="I12" s="8"/>
      <c r="J12" s="14"/>
      <c r="K12" s="8"/>
      <c r="L12" s="8">
        <f>+D12-H12</f>
        <v>-988.94</v>
      </c>
      <c r="M12" s="8"/>
      <c r="N12" s="14">
        <f>IF(H12=0,0,L12/H12)</f>
        <v>-0.26484734868773435</v>
      </c>
      <c r="O12" s="13"/>
      <c r="P12" s="8">
        <f>SUM(OSRRefP13x_0)</f>
        <v>118752.9</v>
      </c>
      <c r="Q12" s="8"/>
      <c r="R12" s="14"/>
      <c r="S12" s="8"/>
      <c r="T12" s="8">
        <f>SUM(OSRRefT13x_0)</f>
        <v>157429</v>
      </c>
      <c r="U12" s="8"/>
      <c r="V12" s="14"/>
      <c r="W12" s="8"/>
      <c r="X12" s="8">
        <f>+P12-T12</f>
        <v>-38676.100000000006</v>
      </c>
      <c r="Y12" s="8"/>
      <c r="Z12" s="14">
        <f>IF(T12=0,0,X12/T12)</f>
        <v>-0.24567328764077778</v>
      </c>
    </row>
    <row r="13" spans="1:26" s="70" customFormat="1" ht="15" hidden="1" customHeight="1" outlineLevel="1" x14ac:dyDescent="0.3">
      <c r="A13" s="48"/>
      <c r="B13" s="9" t="str">
        <f>CONCATENATE("          ","4000"," - ","TAXABLE SALES")</f>
        <v xml:space="preserve">          4000 - TAXABLE SALES</v>
      </c>
      <c r="C13" s="9"/>
      <c r="D13" s="3">
        <f>--423.81</f>
        <v>423.81</v>
      </c>
      <c r="E13" s="3"/>
      <c r="F13" s="26"/>
      <c r="G13" s="3"/>
      <c r="H13" s="3">
        <v>867</v>
      </c>
      <c r="I13" s="3"/>
      <c r="J13" s="26"/>
      <c r="K13" s="3"/>
      <c r="L13" s="3">
        <f>+D13-H13</f>
        <v>-443.19</v>
      </c>
      <c r="M13" s="3"/>
      <c r="N13" s="26">
        <f>IF(H13=0,0,L13/H13)</f>
        <v>-0.51117647058823534</v>
      </c>
      <c r="O13" s="9"/>
      <c r="P13" s="3">
        <f>--19184.6</f>
        <v>19184.599999999999</v>
      </c>
      <c r="Q13" s="3"/>
      <c r="R13" s="26"/>
      <c r="S13" s="3"/>
      <c r="T13" s="3">
        <v>36556</v>
      </c>
      <c r="U13" s="3"/>
      <c r="V13" s="26"/>
      <c r="W13" s="3"/>
      <c r="X13" s="3">
        <f>+P13-T13</f>
        <v>-17371.400000000001</v>
      </c>
      <c r="Y13" s="3"/>
      <c r="Z13" s="26">
        <f>IF(T13=0,0,X13/T13)</f>
        <v>-0.47519969362074627</v>
      </c>
    </row>
    <row r="14" spans="1:26" s="70" customFormat="1" ht="15" hidden="1" customHeight="1" outlineLevel="1" x14ac:dyDescent="0.3">
      <c r="A14" s="48"/>
      <c r="B14" s="9" t="str">
        <f>CONCATENATE("          ","4100"," - ","NON-TAXABLE SALES")</f>
        <v xml:space="preserve">          4100 - NON-TAXABLE SALES</v>
      </c>
      <c r="C14" s="9"/>
      <c r="D14" s="3">
        <f>--2321.25</f>
        <v>2321.25</v>
      </c>
      <c r="E14" s="3"/>
      <c r="F14" s="26"/>
      <c r="G14" s="3"/>
      <c r="H14" s="3">
        <v>2867</v>
      </c>
      <c r="I14" s="3"/>
      <c r="J14" s="26"/>
      <c r="K14" s="3"/>
      <c r="L14" s="3">
        <f>+D14-H14</f>
        <v>-545.75</v>
      </c>
      <c r="M14" s="3"/>
      <c r="N14" s="26">
        <f>IF(H14=0,0,L14/H14)</f>
        <v>-0.19035577258458319</v>
      </c>
      <c r="O14" s="9"/>
      <c r="P14" s="3">
        <f>--99568.3</f>
        <v>99568.3</v>
      </c>
      <c r="Q14" s="3"/>
      <c r="R14" s="26"/>
      <c r="S14" s="3"/>
      <c r="T14" s="3">
        <v>120873</v>
      </c>
      <c r="U14" s="3"/>
      <c r="V14" s="26"/>
      <c r="W14" s="3"/>
      <c r="X14" s="3">
        <f>+P14-T14</f>
        <v>-21304.699999999997</v>
      </c>
      <c r="Y14" s="3"/>
      <c r="Z14" s="26">
        <f>IF(T14=0,0,X14/T14)</f>
        <v>-0.17625689773563985</v>
      </c>
    </row>
    <row r="15" spans="1:26" ht="15" customHeight="1" x14ac:dyDescent="0.3">
      <c r="A15" s="12"/>
      <c r="B15" s="13"/>
      <c r="C15" s="12"/>
      <c r="D15" s="4"/>
      <c r="E15" s="4"/>
      <c r="F15" s="10"/>
      <c r="G15" s="4"/>
      <c r="H15" s="4"/>
      <c r="I15" s="4"/>
      <c r="J15" s="10"/>
      <c r="K15" s="4"/>
      <c r="L15" s="4"/>
      <c r="M15" s="4"/>
      <c r="N15" s="10"/>
      <c r="P15" s="4"/>
      <c r="Q15" s="4"/>
      <c r="R15" s="10"/>
      <c r="S15" s="4"/>
      <c r="T15" s="4"/>
      <c r="U15" s="4"/>
      <c r="V15" s="10"/>
      <c r="W15" s="4"/>
      <c r="X15" s="4"/>
      <c r="Y15" s="4"/>
      <c r="Z15" s="10"/>
    </row>
    <row r="16" spans="1:26" s="63" customFormat="1" ht="15" customHeight="1" collapsed="1" x14ac:dyDescent="0.3">
      <c r="A16" s="13"/>
      <c r="B16" s="28" t="s">
        <v>288</v>
      </c>
      <c r="C16" s="13"/>
      <c r="D16" s="8">
        <f>SUM(OSRRefD16x_0)</f>
        <v>2133.92</v>
      </c>
      <c r="E16" s="8"/>
      <c r="F16" s="14">
        <f>IF(D$12=0,0,D16/D$12)</f>
        <v>0.77736734351890313</v>
      </c>
      <c r="G16" s="8"/>
      <c r="H16" s="8">
        <f>SUM(OSRRefH16x_0)</f>
        <v>1830</v>
      </c>
      <c r="I16" s="8"/>
      <c r="J16" s="14">
        <f>IF(H$12=0,0,H16/H$12)</f>
        <v>0.49009105516871987</v>
      </c>
      <c r="K16" s="8"/>
      <c r="L16" s="8">
        <f>+D16-H16</f>
        <v>303.92000000000007</v>
      </c>
      <c r="M16" s="8"/>
      <c r="N16" s="14">
        <f>IF(H16=0,0,L16/H16)</f>
        <v>0.16607650273224048</v>
      </c>
      <c r="O16" s="13"/>
      <c r="P16" s="8">
        <f>SUM(OSRRefP16x_0)</f>
        <v>64069.210000000006</v>
      </c>
      <c r="Q16" s="8"/>
      <c r="R16" s="14">
        <f>IF(P$12=0,0,P16/P$12)</f>
        <v>0.53951701390029216</v>
      </c>
      <c r="S16" s="8"/>
      <c r="T16" s="8">
        <f>SUM(OSRRefT16x_0)</f>
        <v>77139</v>
      </c>
      <c r="U16" s="8"/>
      <c r="V16" s="14">
        <f>IF(T$12=0,0,T16/T$12)</f>
        <v>0.48999231399551546</v>
      </c>
      <c r="W16" s="8"/>
      <c r="X16" s="8">
        <f>+P16-T16</f>
        <v>-13069.789999999994</v>
      </c>
      <c r="Y16" s="8"/>
      <c r="Z16" s="14">
        <f>IF(T16=0,0,X16/T16)</f>
        <v>-0.169431675287468</v>
      </c>
    </row>
    <row r="17" spans="1:26" s="70" customFormat="1" ht="15" hidden="1" customHeight="1" outlineLevel="1" x14ac:dyDescent="0.3">
      <c r="A17" s="48"/>
      <c r="B17" s="9" t="str">
        <f>CONCATENATE("          ","5000"," - ","PURCHASES @ COST")</f>
        <v xml:space="preserve">          5000 - PURCHASES @ COST</v>
      </c>
      <c r="C17" s="9"/>
      <c r="D17" s="3"/>
      <c r="E17" s="3"/>
      <c r="F17" s="26">
        <f>IF(D$12=0,0,D17/D$12)</f>
        <v>0</v>
      </c>
      <c r="G17" s="3"/>
      <c r="H17" s="3">
        <v>1830</v>
      </c>
      <c r="I17" s="3"/>
      <c r="J17" s="26">
        <f>IF(H$12=0,0,H17/H$12)</f>
        <v>0.49009105516871987</v>
      </c>
      <c r="K17" s="3"/>
      <c r="L17" s="3">
        <f>+D17-H17</f>
        <v>-1830</v>
      </c>
      <c r="M17" s="3"/>
      <c r="N17" s="26">
        <f>IF(H17=0,0,L17/H17)</f>
        <v>-1</v>
      </c>
      <c r="O17" s="9"/>
      <c r="P17" s="3">
        <v>-8062</v>
      </c>
      <c r="Q17" s="3"/>
      <c r="R17" s="26">
        <f>IF(P$12=0,0,P17/P$12)</f>
        <v>-6.7888868398161231E-2</v>
      </c>
      <c r="S17" s="3"/>
      <c r="T17" s="3">
        <v>77139</v>
      </c>
      <c r="U17" s="3"/>
      <c r="V17" s="26">
        <f>IF(T$12=0,0,T17/T$12)</f>
        <v>0.48999231399551546</v>
      </c>
      <c r="W17" s="3"/>
      <c r="X17" s="3">
        <f>+P17-T17</f>
        <v>-85201</v>
      </c>
      <c r="Y17" s="3"/>
      <c r="Z17" s="26">
        <f>IF(T17=0,0,X17/T17)</f>
        <v>-1.1045126330390593</v>
      </c>
    </row>
    <row r="18" spans="1:26" s="70" customFormat="1" ht="15" hidden="1" customHeight="1" outlineLevel="1" x14ac:dyDescent="0.3">
      <c r="A18" s="48"/>
      <c r="B18" s="9" t="str">
        <f>CONCATENATE("          ","5059"," - ","PURCHASES @ COST-FOOD")</f>
        <v xml:space="preserve">          5059 - PURCHASES @ COST-FOOD</v>
      </c>
      <c r="C18" s="9"/>
      <c r="D18" s="3">
        <v>2133.92</v>
      </c>
      <c r="E18" s="3"/>
      <c r="F18" s="26">
        <f>IF(D$12=0,0,D18/D$12)</f>
        <v>0.77736734351890313</v>
      </c>
      <c r="G18" s="3"/>
      <c r="H18" s="3"/>
      <c r="I18" s="3"/>
      <c r="J18" s="26">
        <f>IF(H$12=0,0,H18/H$12)</f>
        <v>0</v>
      </c>
      <c r="K18" s="3"/>
      <c r="L18" s="3">
        <f>+D18-H18</f>
        <v>2133.92</v>
      </c>
      <c r="M18" s="3"/>
      <c r="N18" s="26">
        <f>IF(H18=0,0,L18/H18)</f>
        <v>0</v>
      </c>
      <c r="O18" s="9"/>
      <c r="P18" s="3">
        <v>72131.210000000006</v>
      </c>
      <c r="Q18" s="3"/>
      <c r="R18" s="26">
        <f>IF(P$12=0,0,P18/P$12)</f>
        <v>0.60740588229845338</v>
      </c>
      <c r="S18" s="3"/>
      <c r="T18" s="3"/>
      <c r="U18" s="3"/>
      <c r="V18" s="26">
        <f>IF(T$12=0,0,T18/T$12)</f>
        <v>0</v>
      </c>
      <c r="W18" s="3"/>
      <c r="X18" s="3">
        <f>+P18-T18</f>
        <v>72131.210000000006</v>
      </c>
      <c r="Y18" s="3"/>
      <c r="Z18" s="26">
        <f>IF(T18=0,0,X18/T18)</f>
        <v>0</v>
      </c>
    </row>
    <row r="19" spans="1:26" ht="15" customHeight="1" x14ac:dyDescent="0.3">
      <c r="A19" s="12"/>
      <c r="B19" s="13"/>
      <c r="C19" s="13"/>
      <c r="D19" s="4"/>
      <c r="E19" s="4"/>
      <c r="F19" s="10"/>
      <c r="G19" s="4"/>
      <c r="H19" s="4"/>
      <c r="I19" s="4"/>
      <c r="J19" s="10"/>
      <c r="K19" s="4"/>
      <c r="L19" s="4"/>
      <c r="M19" s="4"/>
      <c r="N19" s="10"/>
      <c r="O19" s="13"/>
      <c r="P19" s="4"/>
      <c r="Q19" s="4"/>
      <c r="R19" s="10"/>
      <c r="S19" s="4"/>
      <c r="T19" s="4"/>
      <c r="U19" s="4"/>
      <c r="V19" s="10"/>
      <c r="W19" s="4"/>
      <c r="X19" s="4"/>
      <c r="Y19" s="4"/>
      <c r="Z19" s="10"/>
    </row>
    <row r="20" spans="1:26" s="63" customFormat="1" ht="15" customHeight="1" x14ac:dyDescent="0.3">
      <c r="A20" s="13"/>
      <c r="B20" s="27" t="s">
        <v>289</v>
      </c>
      <c r="C20" s="27"/>
      <c r="D20" s="23">
        <f>D12-D16</f>
        <v>611.13999999999987</v>
      </c>
      <c r="E20" s="15"/>
      <c r="F20" s="22">
        <f>IF(D$12=0,0,D20/D$12)</f>
        <v>0.2226326564810969</v>
      </c>
      <c r="G20" s="15"/>
      <c r="H20" s="23">
        <f>H12-H16</f>
        <v>1904</v>
      </c>
      <c r="I20" s="15"/>
      <c r="J20" s="22">
        <f>IF(H$12=0,0,H20/H$12)</f>
        <v>0.50990894483128013</v>
      </c>
      <c r="K20" s="17"/>
      <c r="L20" s="23">
        <f>+D20-H20</f>
        <v>-1292.8600000000001</v>
      </c>
      <c r="M20" s="17"/>
      <c r="N20" s="22">
        <f>IF(H20=0,0,L20/H20)</f>
        <v>-0.67902310924369758</v>
      </c>
      <c r="O20" s="28"/>
      <c r="P20" s="23">
        <f>P12-P16</f>
        <v>54683.689999999988</v>
      </c>
      <c r="Q20" s="15"/>
      <c r="R20" s="22">
        <f>IF(P$12=0,0,P20/P$12)</f>
        <v>0.46048298609970778</v>
      </c>
      <c r="S20" s="15"/>
      <c r="T20" s="23">
        <f>T12-T16</f>
        <v>80290</v>
      </c>
      <c r="U20" s="15"/>
      <c r="V20" s="22">
        <f>IF(T$12=0,0,T20/T$12)</f>
        <v>0.51000768600448454</v>
      </c>
      <c r="W20" s="17"/>
      <c r="X20" s="23">
        <f>+P20-T20</f>
        <v>-25606.310000000012</v>
      </c>
      <c r="Y20" s="17"/>
      <c r="Z20" s="22">
        <f>IF(T20=0,0,X20/T20)</f>
        <v>-0.31892277992278006</v>
      </c>
    </row>
    <row r="21" spans="1:26" ht="15" customHeight="1" x14ac:dyDescent="0.3">
      <c r="A21" s="12"/>
      <c r="B21" s="13"/>
      <c r="C21" s="12"/>
      <c r="D21" s="2"/>
      <c r="E21" s="2"/>
      <c r="F21" s="5"/>
      <c r="G21" s="2"/>
      <c r="H21" s="2"/>
      <c r="I21" s="2"/>
      <c r="J21" s="5"/>
      <c r="K21" s="2"/>
      <c r="L21" s="2"/>
      <c r="M21" s="2"/>
      <c r="N21" s="5"/>
      <c r="O21" s="36"/>
      <c r="P21" s="2"/>
      <c r="Q21" s="2"/>
      <c r="R21" s="5"/>
      <c r="S21" s="2"/>
      <c r="T21" s="2"/>
      <c r="U21" s="2"/>
      <c r="V21" s="5"/>
      <c r="W21" s="2"/>
      <c r="X21" s="2"/>
      <c r="Y21" s="2"/>
      <c r="Z21" s="5"/>
    </row>
    <row r="22" spans="1:26" s="63" customFormat="1" ht="15" customHeight="1" x14ac:dyDescent="0.3">
      <c r="A22" s="13"/>
      <c r="B22" s="28" t="s">
        <v>290</v>
      </c>
      <c r="C22" s="13"/>
      <c r="D22" s="24" cm="1">
        <f t="array" ref="D22">SUM(OSRRefD22x_0)</f>
        <v>6177.4500000000007</v>
      </c>
      <c r="E22" s="24"/>
      <c r="F22" s="34">
        <f t="shared" ref="F22:F53" si="0">IF(D$12=0,0,D22/D$12)</f>
        <v>2.2503879696618658</v>
      </c>
      <c r="G22" s="24"/>
      <c r="H22" s="24" cm="1">
        <f t="array" ref="H22">SUM(OSRRefH22x_0)</f>
        <v>4053.952624</v>
      </c>
      <c r="I22" s="24"/>
      <c r="J22" s="34">
        <f t="shared" ref="J22:J53" si="1">IF(H$12=0,0,H22/H$12)</f>
        <v>1.0856862945902517</v>
      </c>
      <c r="K22" s="8"/>
      <c r="L22" s="24">
        <f t="shared" ref="L22:L53" si="2">+D22-H22</f>
        <v>2123.4973760000007</v>
      </c>
      <c r="M22" s="8"/>
      <c r="N22" s="34">
        <f t="shared" ref="N22:N53" si="3">IF(H22=0,0,L22/H22)</f>
        <v>0.52380912481033493</v>
      </c>
      <c r="O22" s="13"/>
      <c r="P22" s="24" cm="1">
        <f t="array" ref="P22">SUM(OSRRefP22x_0)</f>
        <v>86873.429999999964</v>
      </c>
      <c r="Q22" s="24"/>
      <c r="R22" s="34">
        <f t="shared" ref="R22:R53" si="4">IF(P$12=0,0,P22/P$12)</f>
        <v>0.73154786114696957</v>
      </c>
      <c r="S22" s="24"/>
      <c r="T22" s="24" cm="1">
        <f t="array" ref="T22">SUM(OSRRefT22x_0)</f>
        <v>88650.110832999999</v>
      </c>
      <c r="U22" s="24"/>
      <c r="V22" s="34">
        <f t="shared" ref="V22:V53" si="5">IF(T$12=0,0,T22/T$12)</f>
        <v>0.56311169373495351</v>
      </c>
      <c r="W22" s="8"/>
      <c r="X22" s="24">
        <f t="shared" ref="X22:X53" si="6">+P22-T22</f>
        <v>-1776.6808330000349</v>
      </c>
      <c r="Y22" s="8"/>
      <c r="Z22" s="34">
        <f t="shared" ref="Z22:Z53" si="7">IF(T22=0,0,X22/T22)</f>
        <v>-2.0041495902322837E-2</v>
      </c>
    </row>
    <row r="23" spans="1:26" s="69" customFormat="1" ht="15" customHeight="1" outlineLevel="1" collapsed="1" x14ac:dyDescent="0.3">
      <c r="A23" s="20"/>
      <c r="B23" s="11" t="str">
        <f>CONCATENATE("     ","*Benefits                                         ")</f>
        <v xml:space="preserve">     *Benefits                                         </v>
      </c>
      <c r="C23" s="11"/>
      <c r="D23" s="2">
        <f>SUM(OSRRefD22_0x_0)</f>
        <v>2224.06</v>
      </c>
      <c r="E23" s="2"/>
      <c r="F23" s="5">
        <f t="shared" si="0"/>
        <v>0.81020451283396355</v>
      </c>
      <c r="G23" s="2"/>
      <c r="H23" s="2">
        <f>SUM(OSRRefH22_0x_0)</f>
        <v>326.43902400000002</v>
      </c>
      <c r="I23" s="2"/>
      <c r="J23" s="5">
        <f t="shared" si="1"/>
        <v>8.7423412961971078E-2</v>
      </c>
      <c r="K23" s="2"/>
      <c r="L23" s="2">
        <f t="shared" si="2"/>
        <v>1897.6209759999999</v>
      </c>
      <c r="M23" s="2"/>
      <c r="N23" s="5">
        <f t="shared" si="3"/>
        <v>5.8130947481328086</v>
      </c>
      <c r="O23" s="11"/>
      <c r="P23" s="2">
        <f>SUM(OSRRefP22_0x_0)</f>
        <v>17313.929999999997</v>
      </c>
      <c r="Q23" s="2"/>
      <c r="R23" s="5">
        <f t="shared" si="4"/>
        <v>0.14579795524993494</v>
      </c>
      <c r="S23" s="2"/>
      <c r="T23" s="2">
        <f>SUM(OSRRefT22_0x_0)</f>
        <v>4635.3958330000005</v>
      </c>
      <c r="U23" s="2"/>
      <c r="V23" s="5">
        <f t="shared" si="5"/>
        <v>2.944435798359896E-2</v>
      </c>
      <c r="W23" s="2"/>
      <c r="X23" s="2">
        <f t="shared" si="6"/>
        <v>12678.534166999996</v>
      </c>
      <c r="Y23" s="2"/>
      <c r="Z23" s="5">
        <f t="shared" si="7"/>
        <v>2.735156742546089</v>
      </c>
    </row>
    <row r="24" spans="1:26" s="70" customFormat="1" ht="15" hidden="1" customHeight="1" outlineLevel="2" x14ac:dyDescent="0.3">
      <c r="A24" s="21"/>
      <c r="B24" s="9" t="str">
        <f>CONCATENATE("          ","6111"," - ","F.I.C.A.")</f>
        <v xml:space="preserve">          6111 - F.I.C.A.</v>
      </c>
      <c r="C24" s="9"/>
      <c r="D24" s="6">
        <v>367.77</v>
      </c>
      <c r="E24" s="3"/>
      <c r="F24" s="7">
        <f t="shared" si="0"/>
        <v>0.13397521365653209</v>
      </c>
      <c r="G24" s="3"/>
      <c r="H24" s="6">
        <v>117.917424</v>
      </c>
      <c r="I24" s="3"/>
      <c r="J24" s="7">
        <f t="shared" si="1"/>
        <v>3.1579385109801822E-2</v>
      </c>
      <c r="K24" s="3"/>
      <c r="L24" s="6">
        <f t="shared" si="2"/>
        <v>249.852576</v>
      </c>
      <c r="M24" s="3"/>
      <c r="N24" s="7">
        <f t="shared" si="3"/>
        <v>2.118877495152879</v>
      </c>
      <c r="O24" s="9"/>
      <c r="P24" s="6">
        <v>3190.59</v>
      </c>
      <c r="Q24" s="3"/>
      <c r="R24" s="7">
        <f t="shared" si="4"/>
        <v>2.6867470183886039E-2</v>
      </c>
      <c r="S24" s="3"/>
      <c r="T24" s="6">
        <v>1439.2308330000001</v>
      </c>
      <c r="U24" s="3"/>
      <c r="V24" s="7">
        <f t="shared" si="5"/>
        <v>9.1420947411213951E-3</v>
      </c>
      <c r="W24" s="3"/>
      <c r="X24" s="6">
        <f t="shared" si="6"/>
        <v>1751.3591670000001</v>
      </c>
      <c r="Y24" s="3"/>
      <c r="Z24" s="7">
        <f t="shared" si="7"/>
        <v>1.2168716281247152</v>
      </c>
    </row>
    <row r="25" spans="1:26" s="70" customFormat="1" ht="15" hidden="1" customHeight="1" outlineLevel="2" x14ac:dyDescent="0.3">
      <c r="A25" s="21"/>
      <c r="B25" s="9" t="str">
        <f>CONCATENATE("          ","6112"," - ","COMPENSATION INSURANCE")</f>
        <v xml:space="preserve">          6112 - COMPENSATION INSURANCE</v>
      </c>
      <c r="C25" s="9"/>
      <c r="D25" s="6">
        <v>-208.71</v>
      </c>
      <c r="E25" s="3"/>
      <c r="F25" s="7">
        <f t="shared" si="0"/>
        <v>-7.6031125002732181E-2</v>
      </c>
      <c r="G25" s="3"/>
      <c r="H25" s="6">
        <v>112.899552</v>
      </c>
      <c r="I25" s="3"/>
      <c r="J25" s="7">
        <f t="shared" si="1"/>
        <v>3.0235552222817354E-2</v>
      </c>
      <c r="K25" s="3"/>
      <c r="L25" s="6">
        <f t="shared" si="2"/>
        <v>-321.60955200000001</v>
      </c>
      <c r="M25" s="3"/>
      <c r="N25" s="7">
        <f t="shared" si="3"/>
        <v>-2.8486344392225758</v>
      </c>
      <c r="O25" s="9"/>
      <c r="P25" s="6">
        <v>455.53</v>
      </c>
      <c r="Q25" s="3"/>
      <c r="R25" s="7">
        <f t="shared" si="4"/>
        <v>3.8359484273647214E-3</v>
      </c>
      <c r="S25" s="3"/>
      <c r="T25" s="6">
        <v>1730.49505</v>
      </c>
      <c r="U25" s="3"/>
      <c r="V25" s="7">
        <f t="shared" si="5"/>
        <v>1.0992225384141423E-2</v>
      </c>
      <c r="W25" s="3"/>
      <c r="X25" s="6">
        <f t="shared" si="6"/>
        <v>-1274.96505</v>
      </c>
      <c r="Y25" s="3"/>
      <c r="Z25" s="7">
        <f t="shared" si="7"/>
        <v>-0.73676318808308638</v>
      </c>
    </row>
    <row r="26" spans="1:26" s="70" customFormat="1" ht="15" hidden="1" customHeight="1" outlineLevel="2" x14ac:dyDescent="0.3">
      <c r="A26" s="21"/>
      <c r="B26" s="9" t="str">
        <f>CONCATENATE("          ","6113"," - ","GROUP INSURANCE")</f>
        <v xml:space="preserve">          6113 - GROUP INSURANCE</v>
      </c>
      <c r="C26" s="9"/>
      <c r="D26" s="6">
        <v>1284.4100000000001</v>
      </c>
      <c r="E26" s="3"/>
      <c r="F26" s="7">
        <f t="shared" si="0"/>
        <v>0.46789869802481554</v>
      </c>
      <c r="G26" s="3"/>
      <c r="H26" s="6">
        <v>0</v>
      </c>
      <c r="I26" s="3"/>
      <c r="J26" s="7">
        <f t="shared" si="1"/>
        <v>0</v>
      </c>
      <c r="K26" s="3"/>
      <c r="L26" s="6">
        <f t="shared" si="2"/>
        <v>1284.4100000000001</v>
      </c>
      <c r="M26" s="3"/>
      <c r="N26" s="7">
        <f t="shared" si="3"/>
        <v>0</v>
      </c>
      <c r="O26" s="9"/>
      <c r="P26" s="6">
        <v>7740.3</v>
      </c>
      <c r="Q26" s="3"/>
      <c r="R26" s="7">
        <f t="shared" si="4"/>
        <v>6.517988192288357E-2</v>
      </c>
      <c r="S26" s="3"/>
      <c r="T26" s="6">
        <v>0</v>
      </c>
      <c r="U26" s="3"/>
      <c r="V26" s="7">
        <f t="shared" si="5"/>
        <v>0</v>
      </c>
      <c r="W26" s="3"/>
      <c r="X26" s="6">
        <f t="shared" si="6"/>
        <v>7740.3</v>
      </c>
      <c r="Y26" s="3"/>
      <c r="Z26" s="7">
        <f t="shared" si="7"/>
        <v>0</v>
      </c>
    </row>
    <row r="27" spans="1:26" s="70" customFormat="1" ht="15" hidden="1" customHeight="1" outlineLevel="2" x14ac:dyDescent="0.3">
      <c r="A27" s="21"/>
      <c r="B27" s="9" t="str">
        <f>CONCATENATE("          ","6114"," - ","STATE UNEMPLOYMENT INSURANCE")</f>
        <v xml:space="preserve">          6114 - STATE UNEMPLOYMENT INSURANCE</v>
      </c>
      <c r="C27" s="9"/>
      <c r="D27" s="6"/>
      <c r="E27" s="3"/>
      <c r="F27" s="7">
        <f t="shared" si="0"/>
        <v>0</v>
      </c>
      <c r="G27" s="3"/>
      <c r="H27" s="6">
        <v>6.2556479999999999</v>
      </c>
      <c r="I27" s="3"/>
      <c r="J27" s="7">
        <f t="shared" si="1"/>
        <v>1.6753208355650777E-3</v>
      </c>
      <c r="K27" s="3"/>
      <c r="L27" s="6">
        <f t="shared" si="2"/>
        <v>-6.2556479999999999</v>
      </c>
      <c r="M27" s="3"/>
      <c r="N27" s="7">
        <f t="shared" si="3"/>
        <v>-1</v>
      </c>
      <c r="O27" s="9"/>
      <c r="P27" s="6">
        <v>114.96</v>
      </c>
      <c r="Q27" s="3"/>
      <c r="R27" s="7">
        <f t="shared" si="4"/>
        <v>9.6806056946819826E-4</v>
      </c>
      <c r="S27" s="3"/>
      <c r="T27" s="6">
        <v>95.884950000000003</v>
      </c>
      <c r="U27" s="3"/>
      <c r="V27" s="7">
        <f t="shared" si="5"/>
        <v>6.0906789727432681E-4</v>
      </c>
      <c r="W27" s="3"/>
      <c r="X27" s="6">
        <f t="shared" si="6"/>
        <v>19.07504999999999</v>
      </c>
      <c r="Y27" s="3"/>
      <c r="Z27" s="7">
        <f t="shared" si="7"/>
        <v>0.19893685088222907</v>
      </c>
    </row>
    <row r="28" spans="1:26" s="70" customFormat="1" ht="15" hidden="1" customHeight="1" outlineLevel="2" x14ac:dyDescent="0.3">
      <c r="A28" s="21"/>
      <c r="B28" s="9" t="str">
        <f>CONCATENATE("          ","6115"," - ","P.E.R.S.")</f>
        <v xml:space="preserve">          6115 - P.E.R.S.</v>
      </c>
      <c r="C28" s="9"/>
      <c r="D28" s="6"/>
      <c r="E28" s="3"/>
      <c r="F28" s="7">
        <f t="shared" si="0"/>
        <v>0</v>
      </c>
      <c r="G28" s="3"/>
      <c r="H28" s="6">
        <v>0</v>
      </c>
      <c r="I28" s="3"/>
      <c r="J28" s="7">
        <f t="shared" si="1"/>
        <v>0</v>
      </c>
      <c r="K28" s="3"/>
      <c r="L28" s="6">
        <f t="shared" si="2"/>
        <v>0</v>
      </c>
      <c r="M28" s="3"/>
      <c r="N28" s="7">
        <f t="shared" si="3"/>
        <v>0</v>
      </c>
      <c r="O28" s="9"/>
      <c r="P28" s="6"/>
      <c r="Q28" s="3"/>
      <c r="R28" s="7">
        <f t="shared" si="4"/>
        <v>0</v>
      </c>
      <c r="S28" s="3"/>
      <c r="T28" s="6">
        <v>0</v>
      </c>
      <c r="U28" s="3"/>
      <c r="V28" s="7">
        <f t="shared" si="5"/>
        <v>0</v>
      </c>
      <c r="W28" s="3"/>
      <c r="X28" s="6">
        <f t="shared" si="6"/>
        <v>0</v>
      </c>
      <c r="Y28" s="3"/>
      <c r="Z28" s="7">
        <f t="shared" si="7"/>
        <v>0</v>
      </c>
    </row>
    <row r="29" spans="1:26" s="70" customFormat="1" ht="15" hidden="1" customHeight="1" outlineLevel="2" x14ac:dyDescent="0.3">
      <c r="A29" s="21"/>
      <c r="B29" s="9" t="str">
        <f>CONCATENATE("          ","6116"," - ","EDUCATIONAL BENEFITS")</f>
        <v xml:space="preserve">          6116 - EDUCATIONAL BENEFITS</v>
      </c>
      <c r="C29" s="9"/>
      <c r="D29" s="6"/>
      <c r="E29" s="3"/>
      <c r="F29" s="7">
        <f t="shared" si="0"/>
        <v>0</v>
      </c>
      <c r="G29" s="3"/>
      <c r="H29" s="6">
        <v>0</v>
      </c>
      <c r="I29" s="3"/>
      <c r="J29" s="7">
        <f t="shared" si="1"/>
        <v>0</v>
      </c>
      <c r="K29" s="3"/>
      <c r="L29" s="6">
        <f t="shared" si="2"/>
        <v>0</v>
      </c>
      <c r="M29" s="3"/>
      <c r="N29" s="7">
        <f t="shared" si="3"/>
        <v>0</v>
      </c>
      <c r="O29" s="9"/>
      <c r="P29" s="6"/>
      <c r="Q29" s="3"/>
      <c r="R29" s="7">
        <f t="shared" si="4"/>
        <v>0</v>
      </c>
      <c r="S29" s="3"/>
      <c r="T29" s="6">
        <v>0</v>
      </c>
      <c r="U29" s="3"/>
      <c r="V29" s="7">
        <f t="shared" si="5"/>
        <v>0</v>
      </c>
      <c r="W29" s="3"/>
      <c r="X29" s="6">
        <f t="shared" si="6"/>
        <v>0</v>
      </c>
      <c r="Y29" s="3"/>
      <c r="Z29" s="7">
        <f t="shared" si="7"/>
        <v>0</v>
      </c>
    </row>
    <row r="30" spans="1:26" s="70" customFormat="1" ht="15" hidden="1" customHeight="1" outlineLevel="2" x14ac:dyDescent="0.3">
      <c r="A30" s="21"/>
      <c r="B30" s="9" t="str">
        <f>CONCATENATE("          ","6117"," - ","RETIREMENT STAFF HOURLY")</f>
        <v xml:space="preserve">          6117 - RETIREMENT STAFF HOURLY</v>
      </c>
      <c r="C30" s="9"/>
      <c r="D30" s="6">
        <v>206.24</v>
      </c>
      <c r="E30" s="3"/>
      <c r="F30" s="7">
        <f t="shared" si="0"/>
        <v>7.5131326819814506E-2</v>
      </c>
      <c r="G30" s="3"/>
      <c r="H30" s="6"/>
      <c r="I30" s="3"/>
      <c r="J30" s="7">
        <f t="shared" si="1"/>
        <v>0</v>
      </c>
      <c r="K30" s="3"/>
      <c r="L30" s="6">
        <f t="shared" si="2"/>
        <v>206.24</v>
      </c>
      <c r="M30" s="3"/>
      <c r="N30" s="7">
        <f t="shared" si="3"/>
        <v>0</v>
      </c>
      <c r="O30" s="9"/>
      <c r="P30" s="6">
        <v>1386.73</v>
      </c>
      <c r="Q30" s="3"/>
      <c r="R30" s="7">
        <f t="shared" si="4"/>
        <v>1.1677441140384782E-2</v>
      </c>
      <c r="S30" s="3"/>
      <c r="T30" s="6"/>
      <c r="U30" s="3"/>
      <c r="V30" s="7">
        <f t="shared" si="5"/>
        <v>0</v>
      </c>
      <c r="W30" s="3"/>
      <c r="X30" s="6">
        <f t="shared" si="6"/>
        <v>1386.73</v>
      </c>
      <c r="Y30" s="3"/>
      <c r="Z30" s="7">
        <f t="shared" si="7"/>
        <v>0</v>
      </c>
    </row>
    <row r="31" spans="1:26" s="70" customFormat="1" ht="15" hidden="1" customHeight="1" outlineLevel="2" x14ac:dyDescent="0.3">
      <c r="A31" s="21"/>
      <c r="B31" s="9" t="str">
        <f>CONCATENATE("          ","6118"," - ","VACATION")</f>
        <v xml:space="preserve">          6118 - VACATION</v>
      </c>
      <c r="C31" s="9"/>
      <c r="D31" s="6">
        <v>163.24</v>
      </c>
      <c r="E31" s="3"/>
      <c r="F31" s="7">
        <f t="shared" si="0"/>
        <v>5.9466824040275992E-2</v>
      </c>
      <c r="G31" s="3"/>
      <c r="H31" s="6">
        <v>0</v>
      </c>
      <c r="I31" s="3"/>
      <c r="J31" s="7">
        <f t="shared" si="1"/>
        <v>0</v>
      </c>
      <c r="K31" s="3"/>
      <c r="L31" s="6">
        <f t="shared" si="2"/>
        <v>163.24</v>
      </c>
      <c r="M31" s="3"/>
      <c r="N31" s="7">
        <f t="shared" si="3"/>
        <v>0</v>
      </c>
      <c r="O31" s="9"/>
      <c r="P31" s="6">
        <v>1305.92</v>
      </c>
      <c r="Q31" s="3"/>
      <c r="R31" s="7">
        <f t="shared" si="4"/>
        <v>1.0996952495475901E-2</v>
      </c>
      <c r="S31" s="3"/>
      <c r="T31" s="6">
        <v>0</v>
      </c>
      <c r="U31" s="3"/>
      <c r="V31" s="7">
        <f t="shared" si="5"/>
        <v>0</v>
      </c>
      <c r="W31" s="3"/>
      <c r="X31" s="6">
        <f t="shared" si="6"/>
        <v>1305.92</v>
      </c>
      <c r="Y31" s="3"/>
      <c r="Z31" s="7">
        <f t="shared" si="7"/>
        <v>0</v>
      </c>
    </row>
    <row r="32" spans="1:26" s="70" customFormat="1" ht="15" hidden="1" customHeight="1" outlineLevel="2" x14ac:dyDescent="0.3">
      <c r="A32" s="21"/>
      <c r="B32" s="9" t="str">
        <f>CONCATENATE("          ","6119"," - ","SICK LEAVE")</f>
        <v xml:space="preserve">          6119 - SICK LEAVE</v>
      </c>
      <c r="C32" s="9"/>
      <c r="D32" s="6">
        <v>195.58</v>
      </c>
      <c r="E32" s="3"/>
      <c r="F32" s="7">
        <f t="shared" si="0"/>
        <v>7.124798729353822E-2</v>
      </c>
      <c r="G32" s="3"/>
      <c r="H32" s="6">
        <v>89.366399999999999</v>
      </c>
      <c r="I32" s="3"/>
      <c r="J32" s="7">
        <f t="shared" si="1"/>
        <v>2.3933154793786823E-2</v>
      </c>
      <c r="K32" s="3"/>
      <c r="L32" s="6">
        <f t="shared" si="2"/>
        <v>106.21360000000001</v>
      </c>
      <c r="M32" s="3"/>
      <c r="N32" s="7">
        <f t="shared" si="3"/>
        <v>1.1885182798009097</v>
      </c>
      <c r="O32" s="9"/>
      <c r="P32" s="6">
        <v>1564.64</v>
      </c>
      <c r="Q32" s="3"/>
      <c r="R32" s="7">
        <f t="shared" si="4"/>
        <v>1.3175594027598485E-2</v>
      </c>
      <c r="S32" s="3"/>
      <c r="T32" s="6">
        <v>1369.7850000000001</v>
      </c>
      <c r="U32" s="3"/>
      <c r="V32" s="7">
        <f t="shared" si="5"/>
        <v>8.7009699610618128E-3</v>
      </c>
      <c r="W32" s="3"/>
      <c r="X32" s="6">
        <f t="shared" si="6"/>
        <v>194.85500000000002</v>
      </c>
      <c r="Y32" s="3"/>
      <c r="Z32" s="7">
        <f t="shared" si="7"/>
        <v>0.14225225126570959</v>
      </c>
    </row>
    <row r="33" spans="1:26" s="70" customFormat="1" ht="15" hidden="1" customHeight="1" outlineLevel="2" x14ac:dyDescent="0.3">
      <c r="A33" s="21"/>
      <c r="B33" s="9" t="str">
        <f>CONCATENATE("          ","6156"," - ","EMPLOYEE MEALS")</f>
        <v xml:space="preserve">          6156 - EMPLOYEE MEALS</v>
      </c>
      <c r="C33" s="9"/>
      <c r="D33" s="6">
        <v>215.53</v>
      </c>
      <c r="E33" s="3"/>
      <c r="F33" s="7">
        <f t="shared" si="0"/>
        <v>7.8515588001719455E-2</v>
      </c>
      <c r="G33" s="3"/>
      <c r="H33" s="6"/>
      <c r="I33" s="3"/>
      <c r="J33" s="7">
        <f t="shared" si="1"/>
        <v>0</v>
      </c>
      <c r="K33" s="3"/>
      <c r="L33" s="6">
        <f t="shared" si="2"/>
        <v>215.53</v>
      </c>
      <c r="M33" s="3"/>
      <c r="N33" s="7">
        <f t="shared" si="3"/>
        <v>0</v>
      </c>
      <c r="O33" s="9"/>
      <c r="P33" s="6">
        <v>1555.26</v>
      </c>
      <c r="Q33" s="3"/>
      <c r="R33" s="7">
        <f t="shared" si="4"/>
        <v>1.3096606482873261E-2</v>
      </c>
      <c r="S33" s="3"/>
      <c r="T33" s="6"/>
      <c r="U33" s="3"/>
      <c r="V33" s="7">
        <f t="shared" si="5"/>
        <v>0</v>
      </c>
      <c r="W33" s="3"/>
      <c r="X33" s="6">
        <f t="shared" si="6"/>
        <v>1555.26</v>
      </c>
      <c r="Y33" s="3"/>
      <c r="Z33" s="7">
        <f t="shared" si="7"/>
        <v>0</v>
      </c>
    </row>
    <row r="34" spans="1:26" s="69" customFormat="1" ht="15" customHeight="1" outlineLevel="1" collapsed="1" x14ac:dyDescent="0.3">
      <c r="A34" s="20"/>
      <c r="B34" s="11" t="str">
        <f>CONCATENATE("     ","*Payroll                                          ")</f>
        <v xml:space="preserve">     *Payroll                                          </v>
      </c>
      <c r="C34" s="11"/>
      <c r="D34" s="2">
        <f>SUM(OSRRefD22_1x_0)</f>
        <v>4118.87</v>
      </c>
      <c r="E34" s="2"/>
      <c r="F34" s="5">
        <f t="shared" si="0"/>
        <v>1.500466292175763</v>
      </c>
      <c r="G34" s="2"/>
      <c r="H34" s="2">
        <f>SUM(OSRRefH22_1x_0)</f>
        <v>2889.5136000000002</v>
      </c>
      <c r="I34" s="2"/>
      <c r="J34" s="5">
        <f t="shared" si="1"/>
        <v>0.77383867166577402</v>
      </c>
      <c r="K34" s="2"/>
      <c r="L34" s="2">
        <f t="shared" si="2"/>
        <v>1229.3563999999997</v>
      </c>
      <c r="M34" s="2"/>
      <c r="N34" s="5">
        <f t="shared" si="3"/>
        <v>0.42545444326685278</v>
      </c>
      <c r="O34" s="11"/>
      <c r="P34" s="2">
        <f>SUM(OSRRefP22_1x_0)</f>
        <v>48483.74</v>
      </c>
      <c r="Q34" s="2"/>
      <c r="R34" s="5">
        <f t="shared" si="4"/>
        <v>0.40827415583114179</v>
      </c>
      <c r="S34" s="2"/>
      <c r="T34" s="2">
        <f>SUM(OSRRefT22_1x_0)</f>
        <v>44289.714999999997</v>
      </c>
      <c r="U34" s="2"/>
      <c r="V34" s="5">
        <f t="shared" si="5"/>
        <v>0.2813313620743319</v>
      </c>
      <c r="W34" s="2"/>
      <c r="X34" s="2">
        <f t="shared" si="6"/>
        <v>4194.0250000000015</v>
      </c>
      <c r="Y34" s="2"/>
      <c r="Z34" s="5">
        <f t="shared" si="7"/>
        <v>9.4695235677177012E-2</v>
      </c>
    </row>
    <row r="35" spans="1:26" s="70" customFormat="1" ht="15" hidden="1" customHeight="1" outlineLevel="2" x14ac:dyDescent="0.3">
      <c r="A35" s="21"/>
      <c r="B35" s="9" t="str">
        <f>CONCATENATE("          ","6001"," - ","ADMINISTRATIVE SALARIES")</f>
        <v xml:space="preserve">          6001 - ADMINISTRATIVE SALARIES</v>
      </c>
      <c r="C35" s="9"/>
      <c r="D35" s="6"/>
      <c r="E35" s="3"/>
      <c r="F35" s="7">
        <f t="shared" si="0"/>
        <v>0</v>
      </c>
      <c r="G35" s="3"/>
      <c r="H35" s="6">
        <v>0</v>
      </c>
      <c r="I35" s="3"/>
      <c r="J35" s="7">
        <f t="shared" si="1"/>
        <v>0</v>
      </c>
      <c r="K35" s="3"/>
      <c r="L35" s="6">
        <f t="shared" si="2"/>
        <v>0</v>
      </c>
      <c r="M35" s="3"/>
      <c r="N35" s="7">
        <f t="shared" si="3"/>
        <v>0</v>
      </c>
      <c r="O35" s="9"/>
      <c r="P35" s="6"/>
      <c r="Q35" s="3"/>
      <c r="R35" s="7">
        <f t="shared" si="4"/>
        <v>0</v>
      </c>
      <c r="S35" s="3"/>
      <c r="T35" s="6">
        <v>0</v>
      </c>
      <c r="U35" s="3"/>
      <c r="V35" s="7">
        <f t="shared" si="5"/>
        <v>0</v>
      </c>
      <c r="W35" s="3"/>
      <c r="X35" s="6">
        <f t="shared" si="6"/>
        <v>0</v>
      </c>
      <c r="Y35" s="3"/>
      <c r="Z35" s="7">
        <f t="shared" si="7"/>
        <v>0</v>
      </c>
    </row>
    <row r="36" spans="1:26" s="70" customFormat="1" ht="15" hidden="1" customHeight="1" outlineLevel="2" x14ac:dyDescent="0.3">
      <c r="A36" s="21"/>
      <c r="B36" s="9" t="str">
        <f>CONCATENATE("          ","6002"," - ","STAFF SALARIES")</f>
        <v xml:space="preserve">          6002 - STAFF SALARIES</v>
      </c>
      <c r="C36" s="9"/>
      <c r="D36" s="6"/>
      <c r="E36" s="3"/>
      <c r="F36" s="7">
        <f t="shared" si="0"/>
        <v>0</v>
      </c>
      <c r="G36" s="3"/>
      <c r="H36" s="6">
        <v>0</v>
      </c>
      <c r="I36" s="3"/>
      <c r="J36" s="7">
        <f t="shared" si="1"/>
        <v>0</v>
      </c>
      <c r="K36" s="3"/>
      <c r="L36" s="6">
        <f t="shared" si="2"/>
        <v>0</v>
      </c>
      <c r="M36" s="3"/>
      <c r="N36" s="7">
        <f t="shared" si="3"/>
        <v>0</v>
      </c>
      <c r="O36" s="9"/>
      <c r="P36" s="6"/>
      <c r="Q36" s="3"/>
      <c r="R36" s="7">
        <f t="shared" si="4"/>
        <v>0</v>
      </c>
      <c r="S36" s="3"/>
      <c r="T36" s="6">
        <v>0</v>
      </c>
      <c r="U36" s="3"/>
      <c r="V36" s="7">
        <f t="shared" si="5"/>
        <v>0</v>
      </c>
      <c r="W36" s="3"/>
      <c r="X36" s="6">
        <f t="shared" si="6"/>
        <v>0</v>
      </c>
      <c r="Y36" s="3"/>
      <c r="Z36" s="7">
        <f t="shared" si="7"/>
        <v>0</v>
      </c>
    </row>
    <row r="37" spans="1:26" s="70" customFormat="1" ht="15" hidden="1" customHeight="1" outlineLevel="2" x14ac:dyDescent="0.3">
      <c r="A37" s="21"/>
      <c r="B37" s="9" t="str">
        <f>CONCATENATE("          ","6003"," - ","STAFF HOURLY-9 MONTH")</f>
        <v xml:space="preserve">          6003 - STAFF HOURLY-9 MONTH</v>
      </c>
      <c r="C37" s="9"/>
      <c r="D37" s="6"/>
      <c r="E37" s="3"/>
      <c r="F37" s="7">
        <f t="shared" si="0"/>
        <v>0</v>
      </c>
      <c r="G37" s="3"/>
      <c r="H37" s="6">
        <v>0</v>
      </c>
      <c r="I37" s="3"/>
      <c r="J37" s="7">
        <f t="shared" si="1"/>
        <v>0</v>
      </c>
      <c r="K37" s="3"/>
      <c r="L37" s="6">
        <f t="shared" si="2"/>
        <v>0</v>
      </c>
      <c r="M37" s="3"/>
      <c r="N37" s="7">
        <f t="shared" si="3"/>
        <v>0</v>
      </c>
      <c r="O37" s="9"/>
      <c r="P37" s="6"/>
      <c r="Q37" s="3"/>
      <c r="R37" s="7">
        <f t="shared" si="4"/>
        <v>0</v>
      </c>
      <c r="S37" s="3"/>
      <c r="T37" s="6">
        <v>0</v>
      </c>
      <c r="U37" s="3"/>
      <c r="V37" s="7">
        <f t="shared" si="5"/>
        <v>0</v>
      </c>
      <c r="W37" s="3"/>
      <c r="X37" s="6">
        <f t="shared" si="6"/>
        <v>0</v>
      </c>
      <c r="Y37" s="3"/>
      <c r="Z37" s="7">
        <f t="shared" si="7"/>
        <v>0</v>
      </c>
    </row>
    <row r="38" spans="1:26" s="70" customFormat="1" ht="15" hidden="1" customHeight="1" outlineLevel="2" x14ac:dyDescent="0.3">
      <c r="A38" s="21"/>
      <c r="B38" s="9" t="str">
        <f>CONCATENATE("          ","6004"," - ","STAFF HOURLY")</f>
        <v xml:space="preserve">          6004 - STAFF HOURLY</v>
      </c>
      <c r="C38" s="9"/>
      <c r="D38" s="6">
        <v>2824.37</v>
      </c>
      <c r="E38" s="3"/>
      <c r="F38" s="7">
        <f t="shared" si="0"/>
        <v>1.0288919003591908</v>
      </c>
      <c r="G38" s="3"/>
      <c r="H38" s="6">
        <v>1494.576</v>
      </c>
      <c r="I38" s="3"/>
      <c r="J38" s="7">
        <f t="shared" si="1"/>
        <v>0.40026138189609001</v>
      </c>
      <c r="K38" s="3"/>
      <c r="L38" s="6">
        <f t="shared" si="2"/>
        <v>1329.7939999999999</v>
      </c>
      <c r="M38" s="3"/>
      <c r="N38" s="7">
        <f t="shared" si="3"/>
        <v>0.88974665724593449</v>
      </c>
      <c r="O38" s="9"/>
      <c r="P38" s="6">
        <v>31451.45</v>
      </c>
      <c r="Q38" s="3"/>
      <c r="R38" s="7">
        <f t="shared" si="4"/>
        <v>0.26484784792624011</v>
      </c>
      <c r="S38" s="3"/>
      <c r="T38" s="6">
        <v>18241.917000000001</v>
      </c>
      <c r="U38" s="3"/>
      <c r="V38" s="7">
        <f t="shared" si="5"/>
        <v>0.11587393047024373</v>
      </c>
      <c r="W38" s="3"/>
      <c r="X38" s="6">
        <f t="shared" si="6"/>
        <v>13209.532999999999</v>
      </c>
      <c r="Y38" s="3"/>
      <c r="Z38" s="7">
        <f t="shared" si="7"/>
        <v>0.72413074788137666</v>
      </c>
    </row>
    <row r="39" spans="1:26" s="70" customFormat="1" ht="15" hidden="1" customHeight="1" outlineLevel="2" x14ac:dyDescent="0.3">
      <c r="A39" s="21"/>
      <c r="B39" s="9" t="str">
        <f>CONCATENATE("          ","6005"," - ","TEMPORARY WAGES-HOURLY")</f>
        <v xml:space="preserve">          6005 - TEMPORARY WAGES-HOURLY</v>
      </c>
      <c r="C39" s="9"/>
      <c r="D39" s="6"/>
      <c r="E39" s="3"/>
      <c r="F39" s="7">
        <f t="shared" si="0"/>
        <v>0</v>
      </c>
      <c r="G39" s="3"/>
      <c r="H39" s="6">
        <v>0</v>
      </c>
      <c r="I39" s="3"/>
      <c r="J39" s="7">
        <f t="shared" si="1"/>
        <v>0</v>
      </c>
      <c r="K39" s="3"/>
      <c r="L39" s="6">
        <f t="shared" si="2"/>
        <v>0</v>
      </c>
      <c r="M39" s="3"/>
      <c r="N39" s="7">
        <f t="shared" si="3"/>
        <v>0</v>
      </c>
      <c r="O39" s="9"/>
      <c r="P39" s="6">
        <v>638.94000000000005</v>
      </c>
      <c r="Q39" s="3"/>
      <c r="R39" s="7">
        <f t="shared" si="4"/>
        <v>5.3804159729993967E-3</v>
      </c>
      <c r="S39" s="3"/>
      <c r="T39" s="6">
        <v>0</v>
      </c>
      <c r="U39" s="3"/>
      <c r="V39" s="7">
        <f t="shared" si="5"/>
        <v>0</v>
      </c>
      <c r="W39" s="3"/>
      <c r="X39" s="6">
        <f t="shared" si="6"/>
        <v>638.94000000000005</v>
      </c>
      <c r="Y39" s="3"/>
      <c r="Z39" s="7">
        <f t="shared" si="7"/>
        <v>0</v>
      </c>
    </row>
    <row r="40" spans="1:26" s="70" customFormat="1" ht="15" hidden="1" customHeight="1" outlineLevel="2" x14ac:dyDescent="0.3">
      <c r="A40" s="21"/>
      <c r="B40" s="9" t="str">
        <f>CONCATENATE("          ","6006"," - ","TEMPORARY PART TIME")</f>
        <v xml:space="preserve">          6006 - TEMPORARY PART TIME</v>
      </c>
      <c r="C40" s="9"/>
      <c r="D40" s="6">
        <v>1152</v>
      </c>
      <c r="E40" s="3"/>
      <c r="F40" s="7">
        <f t="shared" si="0"/>
        <v>0.41966295818670629</v>
      </c>
      <c r="G40" s="3"/>
      <c r="H40" s="6">
        <v>0</v>
      </c>
      <c r="I40" s="3"/>
      <c r="J40" s="7">
        <f t="shared" si="1"/>
        <v>0</v>
      </c>
      <c r="K40" s="3"/>
      <c r="L40" s="6">
        <f t="shared" si="2"/>
        <v>1152</v>
      </c>
      <c r="M40" s="3"/>
      <c r="N40" s="7">
        <f t="shared" si="3"/>
        <v>0</v>
      </c>
      <c r="O40" s="9"/>
      <c r="P40" s="6">
        <v>7943.04</v>
      </c>
      <c r="Q40" s="3"/>
      <c r="R40" s="7">
        <f t="shared" si="4"/>
        <v>6.6887124440750498E-2</v>
      </c>
      <c r="S40" s="3"/>
      <c r="T40" s="6">
        <v>0</v>
      </c>
      <c r="U40" s="3"/>
      <c r="V40" s="7">
        <f t="shared" si="5"/>
        <v>0</v>
      </c>
      <c r="W40" s="3"/>
      <c r="X40" s="6">
        <f t="shared" si="6"/>
        <v>7943.04</v>
      </c>
      <c r="Y40" s="3"/>
      <c r="Z40" s="7">
        <f t="shared" si="7"/>
        <v>0</v>
      </c>
    </row>
    <row r="41" spans="1:26" s="70" customFormat="1" ht="15" hidden="1" customHeight="1" outlineLevel="2" x14ac:dyDescent="0.3">
      <c r="A41" s="21"/>
      <c r="B41" s="9" t="str">
        <f>CONCATENATE("          ","6007"," - ","STUDENT HOURLY")</f>
        <v xml:space="preserve">          6007 - STUDENT HOURLY</v>
      </c>
      <c r="C41" s="9"/>
      <c r="D41" s="6"/>
      <c r="E41" s="3"/>
      <c r="F41" s="7">
        <f t="shared" si="0"/>
        <v>0</v>
      </c>
      <c r="G41" s="3"/>
      <c r="H41" s="6">
        <v>0</v>
      </c>
      <c r="I41" s="3"/>
      <c r="J41" s="7">
        <f t="shared" si="1"/>
        <v>0</v>
      </c>
      <c r="K41" s="3"/>
      <c r="L41" s="6">
        <f t="shared" si="2"/>
        <v>0</v>
      </c>
      <c r="M41" s="3"/>
      <c r="N41" s="7">
        <f t="shared" si="3"/>
        <v>0</v>
      </c>
      <c r="O41" s="9"/>
      <c r="P41" s="6">
        <v>6285.66</v>
      </c>
      <c r="Q41" s="3"/>
      <c r="R41" s="7">
        <f t="shared" si="4"/>
        <v>5.2930581063704553E-2</v>
      </c>
      <c r="S41" s="3"/>
      <c r="T41" s="6">
        <v>0</v>
      </c>
      <c r="U41" s="3"/>
      <c r="V41" s="7">
        <f t="shared" si="5"/>
        <v>0</v>
      </c>
      <c r="W41" s="3"/>
      <c r="X41" s="6">
        <f t="shared" si="6"/>
        <v>6285.66</v>
      </c>
      <c r="Y41" s="3"/>
      <c r="Z41" s="7">
        <f t="shared" si="7"/>
        <v>0</v>
      </c>
    </row>
    <row r="42" spans="1:26" s="70" customFormat="1" ht="15" hidden="1" customHeight="1" outlineLevel="2" x14ac:dyDescent="0.3">
      <c r="A42" s="21"/>
      <c r="B42" s="9" t="str">
        <f>CONCATENATE("          ","6008"," - ","STUDENT HOURLY-FICA EXEMPT")</f>
        <v xml:space="preserve">          6008 - STUDENT HOURLY-FICA EXEMPT</v>
      </c>
      <c r="C42" s="9"/>
      <c r="D42" s="6">
        <v>142.5</v>
      </c>
      <c r="E42" s="3"/>
      <c r="F42" s="7">
        <f t="shared" si="0"/>
        <v>5.1911433629866013E-2</v>
      </c>
      <c r="G42" s="3"/>
      <c r="H42" s="6">
        <v>1394.9376</v>
      </c>
      <c r="I42" s="3"/>
      <c r="J42" s="7">
        <f t="shared" si="1"/>
        <v>0.37357728976968396</v>
      </c>
      <c r="K42" s="3"/>
      <c r="L42" s="6">
        <f t="shared" si="2"/>
        <v>-1252.4376</v>
      </c>
      <c r="M42" s="3"/>
      <c r="N42" s="7">
        <f t="shared" si="3"/>
        <v>-0.89784489284681979</v>
      </c>
      <c r="O42" s="9"/>
      <c r="P42" s="6">
        <v>2164.65</v>
      </c>
      <c r="Q42" s="3"/>
      <c r="R42" s="7">
        <f t="shared" si="4"/>
        <v>1.8228186427447248E-2</v>
      </c>
      <c r="S42" s="3"/>
      <c r="T42" s="6">
        <v>26047.797999999999</v>
      </c>
      <c r="U42" s="3"/>
      <c r="V42" s="7">
        <f t="shared" si="5"/>
        <v>0.16545743160408818</v>
      </c>
      <c r="W42" s="3"/>
      <c r="X42" s="6">
        <f t="shared" si="6"/>
        <v>-23883.147999999997</v>
      </c>
      <c r="Y42" s="3"/>
      <c r="Z42" s="7">
        <f t="shared" si="7"/>
        <v>-0.91689700603482871</v>
      </c>
    </row>
    <row r="43" spans="1:26" s="70" customFormat="1" ht="15" hidden="1" customHeight="1" outlineLevel="2" x14ac:dyDescent="0.3">
      <c r="A43" s="21"/>
      <c r="B43" s="9" t="str">
        <f>CONCATENATE("          ","6009"," - ","TEMPORARY-SEASONAL")</f>
        <v xml:space="preserve">          6009 - TEMPORARY-SEASONAL</v>
      </c>
      <c r="C43" s="9"/>
      <c r="D43" s="6"/>
      <c r="E43" s="3"/>
      <c r="F43" s="7">
        <f t="shared" si="0"/>
        <v>0</v>
      </c>
      <c r="G43" s="3"/>
      <c r="H43" s="6">
        <v>0</v>
      </c>
      <c r="I43" s="3"/>
      <c r="J43" s="7">
        <f t="shared" si="1"/>
        <v>0</v>
      </c>
      <c r="K43" s="3"/>
      <c r="L43" s="6">
        <f t="shared" si="2"/>
        <v>0</v>
      </c>
      <c r="M43" s="3"/>
      <c r="N43" s="7">
        <f t="shared" si="3"/>
        <v>0</v>
      </c>
      <c r="O43" s="9"/>
      <c r="P43" s="6"/>
      <c r="Q43" s="3"/>
      <c r="R43" s="7">
        <f t="shared" si="4"/>
        <v>0</v>
      </c>
      <c r="S43" s="3"/>
      <c r="T43" s="6">
        <v>0</v>
      </c>
      <c r="U43" s="3"/>
      <c r="V43" s="7">
        <f t="shared" si="5"/>
        <v>0</v>
      </c>
      <c r="W43" s="3"/>
      <c r="X43" s="6">
        <f t="shared" si="6"/>
        <v>0</v>
      </c>
      <c r="Y43" s="3"/>
      <c r="Z43" s="7">
        <f t="shared" si="7"/>
        <v>0</v>
      </c>
    </row>
    <row r="44" spans="1:26" s="70" customFormat="1" ht="15" hidden="1" customHeight="1" outlineLevel="2" x14ac:dyDescent="0.3">
      <c r="A44" s="21"/>
      <c r="B44" s="9" t="str">
        <f>CONCATENATE("          ","6010"," - ","GRATUITY")</f>
        <v xml:space="preserve">          6010 - GRATUITY</v>
      </c>
      <c r="C44" s="9"/>
      <c r="D44" s="6"/>
      <c r="E44" s="3"/>
      <c r="F44" s="7">
        <f t="shared" si="0"/>
        <v>0</v>
      </c>
      <c r="G44" s="3"/>
      <c r="H44" s="6">
        <v>0</v>
      </c>
      <c r="I44" s="3"/>
      <c r="J44" s="7">
        <f t="shared" si="1"/>
        <v>0</v>
      </c>
      <c r="K44" s="3"/>
      <c r="L44" s="6">
        <f t="shared" si="2"/>
        <v>0</v>
      </c>
      <c r="M44" s="3"/>
      <c r="N44" s="7">
        <f t="shared" si="3"/>
        <v>0</v>
      </c>
      <c r="O44" s="9"/>
      <c r="P44" s="6"/>
      <c r="Q44" s="3"/>
      <c r="R44" s="7">
        <f t="shared" si="4"/>
        <v>0</v>
      </c>
      <c r="S44" s="3"/>
      <c r="T44" s="6">
        <v>0</v>
      </c>
      <c r="U44" s="3"/>
      <c r="V44" s="7">
        <f t="shared" si="5"/>
        <v>0</v>
      </c>
      <c r="W44" s="3"/>
      <c r="X44" s="6">
        <f t="shared" si="6"/>
        <v>0</v>
      </c>
      <c r="Y44" s="3"/>
      <c r="Z44" s="7">
        <f t="shared" si="7"/>
        <v>0</v>
      </c>
    </row>
    <row r="45" spans="1:26" s="69" customFormat="1" ht="15" customHeight="1" outlineLevel="1" collapsed="1" x14ac:dyDescent="0.3">
      <c r="A45" s="20"/>
      <c r="B45" s="11" t="str">
        <f>CONCATENATE("     ","Advertising/Promo                                 ")</f>
        <v xml:space="preserve">     Advertising/Promo                                 </v>
      </c>
      <c r="C45" s="11"/>
      <c r="D45" s="2">
        <f>SUM(OSRRefD22_2x_0)</f>
        <v>0</v>
      </c>
      <c r="E45" s="2"/>
      <c r="F45" s="5">
        <f t="shared" si="0"/>
        <v>0</v>
      </c>
      <c r="G45" s="2"/>
      <c r="H45" s="2">
        <f>SUM(OSRRefH22_2x_0)</f>
        <v>0</v>
      </c>
      <c r="I45" s="2"/>
      <c r="J45" s="5">
        <f t="shared" si="1"/>
        <v>0</v>
      </c>
      <c r="K45" s="2"/>
      <c r="L45" s="2">
        <f t="shared" si="2"/>
        <v>0</v>
      </c>
      <c r="M45" s="2"/>
      <c r="N45" s="5">
        <f t="shared" si="3"/>
        <v>0</v>
      </c>
      <c r="O45" s="11"/>
      <c r="P45" s="2">
        <f>SUM(OSRRefP22_2x_0)</f>
        <v>487.64</v>
      </c>
      <c r="Q45" s="2"/>
      <c r="R45" s="5">
        <f t="shared" si="4"/>
        <v>4.106341824073349E-3</v>
      </c>
      <c r="S45" s="2"/>
      <c r="T45" s="2">
        <f>SUM(OSRRefT22_2x_0)</f>
        <v>0</v>
      </c>
      <c r="U45" s="2"/>
      <c r="V45" s="5">
        <f t="shared" si="5"/>
        <v>0</v>
      </c>
      <c r="W45" s="2"/>
      <c r="X45" s="2">
        <f t="shared" si="6"/>
        <v>487.64</v>
      </c>
      <c r="Y45" s="2"/>
      <c r="Z45" s="5">
        <f t="shared" si="7"/>
        <v>0</v>
      </c>
    </row>
    <row r="46" spans="1:26" s="70" customFormat="1" ht="15" hidden="1" customHeight="1" outlineLevel="2" x14ac:dyDescent="0.3">
      <c r="A46" s="21"/>
      <c r="B46" s="9" t="str">
        <f>CONCATENATE("          ","6362"," - ","ADVERTISING EXPENSE")</f>
        <v xml:space="preserve">          6362 - ADVERTISING EXPENSE</v>
      </c>
      <c r="C46" s="9"/>
      <c r="D46" s="6"/>
      <c r="E46" s="3"/>
      <c r="F46" s="7">
        <f t="shared" si="0"/>
        <v>0</v>
      </c>
      <c r="G46" s="3"/>
      <c r="H46" s="6"/>
      <c r="I46" s="3"/>
      <c r="J46" s="7">
        <f t="shared" si="1"/>
        <v>0</v>
      </c>
      <c r="K46" s="3"/>
      <c r="L46" s="6">
        <f t="shared" si="2"/>
        <v>0</v>
      </c>
      <c r="M46" s="3"/>
      <c r="N46" s="7">
        <f t="shared" si="3"/>
        <v>0</v>
      </c>
      <c r="O46" s="9"/>
      <c r="P46" s="6">
        <v>487.64</v>
      </c>
      <c r="Q46" s="3"/>
      <c r="R46" s="7">
        <f t="shared" si="4"/>
        <v>4.106341824073349E-3</v>
      </c>
      <c r="S46" s="3"/>
      <c r="T46" s="6">
        <v>0</v>
      </c>
      <c r="U46" s="3"/>
      <c r="V46" s="7">
        <f t="shared" si="5"/>
        <v>0</v>
      </c>
      <c r="W46" s="3"/>
      <c r="X46" s="6">
        <f t="shared" si="6"/>
        <v>487.64</v>
      </c>
      <c r="Y46" s="3"/>
      <c r="Z46" s="7">
        <f t="shared" si="7"/>
        <v>0</v>
      </c>
    </row>
    <row r="47" spans="1:26" s="69" customFormat="1" ht="15" customHeight="1" outlineLevel="1" collapsed="1" x14ac:dyDescent="0.3">
      <c r="A47" s="20"/>
      <c r="B47" s="11" t="str">
        <f>CONCATENATE("     ","Bad Debts/Over/Short                              ")</f>
        <v xml:space="preserve">     Bad Debts/Over/Short                              </v>
      </c>
      <c r="C47" s="11"/>
      <c r="D47" s="2">
        <f>SUM(OSRRefD22_3x_0)</f>
        <v>-1.82</v>
      </c>
      <c r="E47" s="2"/>
      <c r="F47" s="5">
        <f t="shared" si="0"/>
        <v>-6.6300918741302563E-4</v>
      </c>
      <c r="G47" s="2"/>
      <c r="H47" s="2">
        <f>SUM(OSRRefH22_3x_0)</f>
        <v>0</v>
      </c>
      <c r="I47" s="2"/>
      <c r="J47" s="5">
        <f t="shared" si="1"/>
        <v>0</v>
      </c>
      <c r="K47" s="2"/>
      <c r="L47" s="2">
        <f t="shared" si="2"/>
        <v>-1.82</v>
      </c>
      <c r="M47" s="2"/>
      <c r="N47" s="5">
        <f t="shared" si="3"/>
        <v>0</v>
      </c>
      <c r="O47" s="11"/>
      <c r="P47" s="2">
        <f>SUM(OSRRefP22_3x_0)</f>
        <v>-14.56</v>
      </c>
      <c r="Q47" s="2"/>
      <c r="R47" s="5">
        <f t="shared" si="4"/>
        <v>-1.2260753211079477E-4</v>
      </c>
      <c r="S47" s="2"/>
      <c r="T47" s="2">
        <f>SUM(OSRRefT22_3x_0)</f>
        <v>0</v>
      </c>
      <c r="U47" s="2"/>
      <c r="V47" s="5">
        <f t="shared" si="5"/>
        <v>0</v>
      </c>
      <c r="W47" s="2"/>
      <c r="X47" s="2">
        <f t="shared" si="6"/>
        <v>-14.56</v>
      </c>
      <c r="Y47" s="2"/>
      <c r="Z47" s="5">
        <f t="shared" si="7"/>
        <v>0</v>
      </c>
    </row>
    <row r="48" spans="1:26" s="70" customFormat="1" ht="15" hidden="1" customHeight="1" outlineLevel="2" x14ac:dyDescent="0.3">
      <c r="A48" s="21"/>
      <c r="B48" s="9" t="str">
        <f>CONCATENATE("          ","6272"," - ","CASH (OVER/SHORT)")</f>
        <v xml:space="preserve">          6272 - CASH (OVER/SHORT)</v>
      </c>
      <c r="C48" s="9"/>
      <c r="D48" s="6">
        <v>-1.82</v>
      </c>
      <c r="E48" s="3"/>
      <c r="F48" s="7">
        <f t="shared" si="0"/>
        <v>-6.6300918741302563E-4</v>
      </c>
      <c r="G48" s="3"/>
      <c r="H48" s="6"/>
      <c r="I48" s="3"/>
      <c r="J48" s="7">
        <f t="shared" si="1"/>
        <v>0</v>
      </c>
      <c r="K48" s="3"/>
      <c r="L48" s="6">
        <f t="shared" si="2"/>
        <v>-1.82</v>
      </c>
      <c r="M48" s="3"/>
      <c r="N48" s="7">
        <f t="shared" si="3"/>
        <v>0</v>
      </c>
      <c r="O48" s="9"/>
      <c r="P48" s="6">
        <v>-14.56</v>
      </c>
      <c r="Q48" s="3"/>
      <c r="R48" s="7">
        <f t="shared" si="4"/>
        <v>-1.2260753211079477E-4</v>
      </c>
      <c r="S48" s="3"/>
      <c r="T48" s="6"/>
      <c r="U48" s="3"/>
      <c r="V48" s="7">
        <f t="shared" si="5"/>
        <v>0</v>
      </c>
      <c r="W48" s="3"/>
      <c r="X48" s="6">
        <f t="shared" si="6"/>
        <v>-14.56</v>
      </c>
      <c r="Y48" s="3"/>
      <c r="Z48" s="7">
        <f t="shared" si="7"/>
        <v>0</v>
      </c>
    </row>
    <row r="49" spans="1:26" s="69" customFormat="1" ht="15" customHeight="1" outlineLevel="1" collapsed="1" x14ac:dyDescent="0.3">
      <c r="A49" s="20"/>
      <c r="B49" s="11" t="str">
        <f>CONCATENATE("     ","Bank/card Fees                                    ")</f>
        <v xml:space="preserve">     Bank/card Fees                                    </v>
      </c>
      <c r="C49" s="11"/>
      <c r="D49" s="2">
        <f>SUM(OSRRefD22_4x_0)</f>
        <v>109.87</v>
      </c>
      <c r="E49" s="2"/>
      <c r="F49" s="5">
        <f t="shared" si="0"/>
        <v>4.0024626055532489E-2</v>
      </c>
      <c r="G49" s="2"/>
      <c r="H49" s="2">
        <f>SUM(OSRRefH22_4x_0)</f>
        <v>127</v>
      </c>
      <c r="I49" s="2"/>
      <c r="J49" s="5">
        <f t="shared" si="1"/>
        <v>3.4011783610069631E-2</v>
      </c>
      <c r="K49" s="2"/>
      <c r="L49" s="2">
        <f t="shared" si="2"/>
        <v>-17.129999999999995</v>
      </c>
      <c r="M49" s="2"/>
      <c r="N49" s="5">
        <f t="shared" si="3"/>
        <v>-0.13488188976377949</v>
      </c>
      <c r="O49" s="11"/>
      <c r="P49" s="2">
        <f>SUM(OSRRefP22_4x_0)</f>
        <v>5027.26</v>
      </c>
      <c r="Q49" s="2"/>
      <c r="R49" s="5">
        <f t="shared" si="4"/>
        <v>4.2333787216985864E-2</v>
      </c>
      <c r="S49" s="2"/>
      <c r="T49" s="2">
        <f>SUM(OSRRefT22_4x_0)</f>
        <v>5368</v>
      </c>
      <c r="U49" s="2"/>
      <c r="V49" s="5">
        <f t="shared" si="5"/>
        <v>3.4097910804235562E-2</v>
      </c>
      <c r="W49" s="2"/>
      <c r="X49" s="2">
        <f t="shared" si="6"/>
        <v>-340.73999999999978</v>
      </c>
      <c r="Y49" s="2"/>
      <c r="Z49" s="5">
        <f t="shared" si="7"/>
        <v>-6.3476154992548398E-2</v>
      </c>
    </row>
    <row r="50" spans="1:26" s="70" customFormat="1" ht="15" hidden="1" customHeight="1" outlineLevel="2" x14ac:dyDescent="0.3">
      <c r="A50" s="21"/>
      <c r="B50" s="9" t="str">
        <f>CONCATENATE("          ","6381"," - ","BANK/CREDIT CARD FEES")</f>
        <v xml:space="preserve">          6381 - BANK/CREDIT CARD FEES</v>
      </c>
      <c r="C50" s="9"/>
      <c r="D50" s="6">
        <v>109.87</v>
      </c>
      <c r="E50" s="3"/>
      <c r="F50" s="7">
        <f t="shared" si="0"/>
        <v>4.0024626055532489E-2</v>
      </c>
      <c r="G50" s="3"/>
      <c r="H50" s="6">
        <v>127</v>
      </c>
      <c r="I50" s="3"/>
      <c r="J50" s="7">
        <f t="shared" si="1"/>
        <v>3.4011783610069631E-2</v>
      </c>
      <c r="K50" s="3"/>
      <c r="L50" s="6">
        <f t="shared" si="2"/>
        <v>-17.129999999999995</v>
      </c>
      <c r="M50" s="3"/>
      <c r="N50" s="7">
        <f t="shared" si="3"/>
        <v>-0.13488188976377949</v>
      </c>
      <c r="O50" s="9"/>
      <c r="P50" s="6">
        <v>5027.26</v>
      </c>
      <c r="Q50" s="3"/>
      <c r="R50" s="7">
        <f t="shared" si="4"/>
        <v>4.2333787216985864E-2</v>
      </c>
      <c r="S50" s="3"/>
      <c r="T50" s="6">
        <v>5368</v>
      </c>
      <c r="U50" s="3"/>
      <c r="V50" s="7">
        <f t="shared" si="5"/>
        <v>3.4097910804235562E-2</v>
      </c>
      <c r="W50" s="3"/>
      <c r="X50" s="6">
        <f t="shared" si="6"/>
        <v>-340.73999999999978</v>
      </c>
      <c r="Y50" s="3"/>
      <c r="Z50" s="7">
        <f t="shared" si="7"/>
        <v>-6.3476154992548398E-2</v>
      </c>
    </row>
    <row r="51" spans="1:26" s="69" customFormat="1" ht="15" customHeight="1" outlineLevel="1" collapsed="1" x14ac:dyDescent="0.3">
      <c r="A51" s="20"/>
      <c r="B51" s="11" t="str">
        <f>CONCATENATE("     ","Depreciation                                      ")</f>
        <v xml:space="preserve">     Depreciation                                      </v>
      </c>
      <c r="C51" s="11"/>
      <c r="D51" s="2">
        <f>SUM(OSRRefD22_5x_0)</f>
        <v>106.52</v>
      </c>
      <c r="E51" s="2"/>
      <c r="F51" s="5">
        <f t="shared" si="0"/>
        <v>3.8804252001777735E-2</v>
      </c>
      <c r="G51" s="2"/>
      <c r="H51" s="2">
        <f>SUM(OSRRefH22_5x_0)</f>
        <v>107</v>
      </c>
      <c r="I51" s="2"/>
      <c r="J51" s="5">
        <f t="shared" si="1"/>
        <v>2.8655597214783075E-2</v>
      </c>
      <c r="K51" s="2"/>
      <c r="L51" s="2">
        <f t="shared" si="2"/>
        <v>-0.48000000000000398</v>
      </c>
      <c r="M51" s="2"/>
      <c r="N51" s="5">
        <f t="shared" si="3"/>
        <v>-4.4859813084112523E-3</v>
      </c>
      <c r="O51" s="11"/>
      <c r="P51" s="2">
        <f>SUM(OSRRefP22_5x_0)</f>
        <v>5449.44</v>
      </c>
      <c r="Q51" s="2"/>
      <c r="R51" s="5">
        <f t="shared" si="4"/>
        <v>4.5888900397379771E-2</v>
      </c>
      <c r="S51" s="2"/>
      <c r="T51" s="2">
        <f>SUM(OSRRefT22_5x_0)</f>
        <v>5452</v>
      </c>
      <c r="U51" s="2"/>
      <c r="V51" s="5">
        <f t="shared" si="5"/>
        <v>3.4631484669279483E-2</v>
      </c>
      <c r="W51" s="2"/>
      <c r="X51" s="2">
        <f t="shared" si="6"/>
        <v>-2.5600000000004002</v>
      </c>
      <c r="Y51" s="2"/>
      <c r="Z51" s="5">
        <f t="shared" si="7"/>
        <v>-4.6955245781371975E-4</v>
      </c>
    </row>
    <row r="52" spans="1:26" s="70" customFormat="1" ht="15" hidden="1" customHeight="1" outlineLevel="2" x14ac:dyDescent="0.3">
      <c r="A52" s="21"/>
      <c r="B52" s="9" t="str">
        <f>CONCATENATE("          ","6322"," - ","EQUIPMENT DEPRECIATION EXPENSE")</f>
        <v xml:space="preserve">          6322 - EQUIPMENT DEPRECIATION EXPENSE</v>
      </c>
      <c r="C52" s="9"/>
      <c r="D52" s="6">
        <v>106.52</v>
      </c>
      <c r="E52" s="3"/>
      <c r="F52" s="7">
        <f t="shared" si="0"/>
        <v>3.8804252001777735E-2</v>
      </c>
      <c r="G52" s="3"/>
      <c r="H52" s="6">
        <v>107</v>
      </c>
      <c r="I52" s="3"/>
      <c r="J52" s="7">
        <f t="shared" si="1"/>
        <v>2.8655597214783075E-2</v>
      </c>
      <c r="K52" s="3"/>
      <c r="L52" s="6">
        <f t="shared" si="2"/>
        <v>-0.48000000000000398</v>
      </c>
      <c r="M52" s="3"/>
      <c r="N52" s="7">
        <f t="shared" si="3"/>
        <v>-4.4859813084112523E-3</v>
      </c>
      <c r="O52" s="9"/>
      <c r="P52" s="6">
        <v>5449.44</v>
      </c>
      <c r="Q52" s="3"/>
      <c r="R52" s="7">
        <f t="shared" si="4"/>
        <v>4.5888900397379771E-2</v>
      </c>
      <c r="S52" s="3"/>
      <c r="T52" s="6">
        <v>5452</v>
      </c>
      <c r="U52" s="3"/>
      <c r="V52" s="7">
        <f t="shared" si="5"/>
        <v>3.4631484669279483E-2</v>
      </c>
      <c r="W52" s="3"/>
      <c r="X52" s="6">
        <f t="shared" si="6"/>
        <v>-2.5600000000004002</v>
      </c>
      <c r="Y52" s="3"/>
      <c r="Z52" s="7">
        <f t="shared" si="7"/>
        <v>-4.6955245781371975E-4</v>
      </c>
    </row>
    <row r="53" spans="1:26" s="69" customFormat="1" ht="15" customHeight="1" outlineLevel="1" collapsed="1" x14ac:dyDescent="0.3">
      <c r="A53" s="20"/>
      <c r="B53" s="11" t="str">
        <f>CONCATENATE("     ","General                                           ")</f>
        <v xml:space="preserve">     General                                           </v>
      </c>
      <c r="C53" s="11"/>
      <c r="D53" s="2">
        <f>SUM(OSRRefD22_6x_0)</f>
        <v>0</v>
      </c>
      <c r="E53" s="2"/>
      <c r="F53" s="5">
        <f t="shared" si="0"/>
        <v>0</v>
      </c>
      <c r="G53" s="2"/>
      <c r="H53" s="2">
        <f>SUM(OSRRefH22_6x_0)</f>
        <v>0</v>
      </c>
      <c r="I53" s="2"/>
      <c r="J53" s="5">
        <f t="shared" si="1"/>
        <v>0</v>
      </c>
      <c r="K53" s="2"/>
      <c r="L53" s="2">
        <f t="shared" si="2"/>
        <v>0</v>
      </c>
      <c r="M53" s="2"/>
      <c r="N53" s="5">
        <f t="shared" si="3"/>
        <v>0</v>
      </c>
      <c r="O53" s="11"/>
      <c r="P53" s="2">
        <f>SUM(OSRRefP22_6x_0)</f>
        <v>1153.93</v>
      </c>
      <c r="Q53" s="2"/>
      <c r="R53" s="5">
        <f t="shared" si="4"/>
        <v>9.7170679621297676E-3</v>
      </c>
      <c r="S53" s="2"/>
      <c r="T53" s="2">
        <f>SUM(OSRRefT22_6x_0)</f>
        <v>755</v>
      </c>
      <c r="U53" s="2"/>
      <c r="V53" s="5">
        <f t="shared" si="5"/>
        <v>4.7958127155733696E-3</v>
      </c>
      <c r="W53" s="2"/>
      <c r="X53" s="2">
        <f t="shared" si="6"/>
        <v>398.93000000000006</v>
      </c>
      <c r="Y53" s="2"/>
      <c r="Z53" s="5">
        <f t="shared" si="7"/>
        <v>0.52838410596026497</v>
      </c>
    </row>
    <row r="54" spans="1:26" s="70" customFormat="1" ht="15" hidden="1" customHeight="1" outlineLevel="2" x14ac:dyDescent="0.3">
      <c r="A54" s="21"/>
      <c r="B54" s="9" t="str">
        <f>CONCATENATE("          ","6279"," - ","GENERAL EXPENSE")</f>
        <v xml:space="preserve">          6279 - GENERAL EXPENSE</v>
      </c>
      <c r="C54" s="9"/>
      <c r="D54" s="6"/>
      <c r="E54" s="3"/>
      <c r="F54" s="7">
        <f t="shared" ref="F54:F75" si="8">IF(D$12=0,0,D54/D$12)</f>
        <v>0</v>
      </c>
      <c r="G54" s="3"/>
      <c r="H54" s="6"/>
      <c r="I54" s="3"/>
      <c r="J54" s="7">
        <f t="shared" ref="J54:J75" si="9">IF(H$12=0,0,H54/H$12)</f>
        <v>0</v>
      </c>
      <c r="K54" s="3"/>
      <c r="L54" s="6">
        <f t="shared" ref="L54:L75" si="10">+D54-H54</f>
        <v>0</v>
      </c>
      <c r="M54" s="3"/>
      <c r="N54" s="7">
        <f t="shared" ref="N54:N75" si="11">IF(H54=0,0,L54/H54)</f>
        <v>0</v>
      </c>
      <c r="O54" s="9"/>
      <c r="P54" s="6">
        <v>1153.93</v>
      </c>
      <c r="Q54" s="3"/>
      <c r="R54" s="7">
        <f t="shared" ref="R54:R75" si="12">IF(P$12=0,0,P54/P$12)</f>
        <v>9.7170679621297676E-3</v>
      </c>
      <c r="S54" s="3"/>
      <c r="T54" s="6">
        <v>755</v>
      </c>
      <c r="U54" s="3"/>
      <c r="V54" s="7">
        <f t="shared" ref="V54:V75" si="13">IF(T$12=0,0,T54/T$12)</f>
        <v>4.7958127155733696E-3</v>
      </c>
      <c r="W54" s="3"/>
      <c r="X54" s="6">
        <f t="shared" ref="X54:X75" si="14">+P54-T54</f>
        <v>398.93000000000006</v>
      </c>
      <c r="Y54" s="3"/>
      <c r="Z54" s="7">
        <f t="shared" ref="Z54:Z75" si="15">IF(T54=0,0,X54/T54)</f>
        <v>0.52838410596026497</v>
      </c>
    </row>
    <row r="55" spans="1:26" s="69" customFormat="1" ht="15" customHeight="1" outlineLevel="1" collapsed="1" x14ac:dyDescent="0.3">
      <c r="A55" s="20"/>
      <c r="B55" s="11" t="str">
        <f>CONCATENATE("     ","Repair and Maintenance                            ")</f>
        <v xml:space="preserve">     Repair and Maintenance                            </v>
      </c>
      <c r="C55" s="11"/>
      <c r="D55" s="2">
        <f>SUM(OSRRefD22_7x_0)</f>
        <v>324.45</v>
      </c>
      <c r="E55" s="2"/>
      <c r="F55" s="5">
        <f t="shared" si="8"/>
        <v>0.11819413783305283</v>
      </c>
      <c r="G55" s="2"/>
      <c r="H55" s="2">
        <f>SUM(OSRRefH22_7x_0)</f>
        <v>115</v>
      </c>
      <c r="I55" s="2"/>
      <c r="J55" s="5">
        <f t="shared" si="9"/>
        <v>3.0798071772897697E-2</v>
      </c>
      <c r="K55" s="2"/>
      <c r="L55" s="2">
        <f t="shared" si="10"/>
        <v>209.45</v>
      </c>
      <c r="M55" s="2"/>
      <c r="N55" s="5">
        <f t="shared" si="11"/>
        <v>1.8213043478260869</v>
      </c>
      <c r="O55" s="11"/>
      <c r="P55" s="2">
        <f>SUM(OSRRefP22_7x_0)</f>
        <v>2535.6999999999998</v>
      </c>
      <c r="Q55" s="2"/>
      <c r="R55" s="5">
        <f t="shared" si="12"/>
        <v>2.1352741701465817E-2</v>
      </c>
      <c r="S55" s="2"/>
      <c r="T55" s="2">
        <f>SUM(OSRRefT22_7x_0)</f>
        <v>2394</v>
      </c>
      <c r="U55" s="2"/>
      <c r="V55" s="5">
        <f t="shared" si="13"/>
        <v>1.520685515375185E-2</v>
      </c>
      <c r="W55" s="2"/>
      <c r="X55" s="2">
        <f t="shared" si="14"/>
        <v>141.69999999999982</v>
      </c>
      <c r="Y55" s="2"/>
      <c r="Z55" s="5">
        <f t="shared" si="15"/>
        <v>5.9189640768588063E-2</v>
      </c>
    </row>
    <row r="56" spans="1:26" s="70" customFormat="1" ht="15" hidden="1" customHeight="1" outlineLevel="2" x14ac:dyDescent="0.3">
      <c r="A56" s="21"/>
      <c r="B56" s="9" t="str">
        <f>CONCATENATE("          ","6373"," - ","MAINTENANCE CONTRACTS")</f>
        <v xml:space="preserve">          6373 - MAINTENANCE CONTRACTS</v>
      </c>
      <c r="C56" s="9"/>
      <c r="D56" s="6"/>
      <c r="E56" s="3"/>
      <c r="F56" s="7">
        <f t="shared" si="8"/>
        <v>0</v>
      </c>
      <c r="G56" s="3"/>
      <c r="H56" s="6"/>
      <c r="I56" s="3"/>
      <c r="J56" s="7">
        <f t="shared" si="9"/>
        <v>0</v>
      </c>
      <c r="K56" s="3"/>
      <c r="L56" s="6">
        <f t="shared" si="10"/>
        <v>0</v>
      </c>
      <c r="M56" s="3"/>
      <c r="N56" s="7">
        <f t="shared" si="11"/>
        <v>0</v>
      </c>
      <c r="O56" s="9"/>
      <c r="P56" s="6">
        <v>531.95000000000005</v>
      </c>
      <c r="Q56" s="3"/>
      <c r="R56" s="7">
        <f t="shared" si="12"/>
        <v>4.4794695540066815E-3</v>
      </c>
      <c r="S56" s="3"/>
      <c r="T56" s="6">
        <v>1014</v>
      </c>
      <c r="U56" s="3"/>
      <c r="V56" s="7">
        <f t="shared" si="13"/>
        <v>6.4409987994588037E-3</v>
      </c>
      <c r="W56" s="3"/>
      <c r="X56" s="6">
        <f t="shared" si="14"/>
        <v>-482.04999999999995</v>
      </c>
      <c r="Y56" s="3"/>
      <c r="Z56" s="7">
        <f t="shared" si="15"/>
        <v>-0.47539447731755419</v>
      </c>
    </row>
    <row r="57" spans="1:26" s="70" customFormat="1" ht="15" hidden="1" customHeight="1" outlineLevel="2" x14ac:dyDescent="0.3">
      <c r="A57" s="21"/>
      <c r="B57" s="9" t="str">
        <f>CONCATENATE("          ","6375"," - ","OUTSIDE REPAIRS &amp; MAINTENANCE")</f>
        <v xml:space="preserve">          6375 - OUTSIDE REPAIRS &amp; MAINTENANCE</v>
      </c>
      <c r="C57" s="9"/>
      <c r="D57" s="6">
        <v>324.45</v>
      </c>
      <c r="E57" s="3"/>
      <c r="F57" s="7">
        <f t="shared" si="8"/>
        <v>0.11819413783305283</v>
      </c>
      <c r="G57" s="3"/>
      <c r="H57" s="6">
        <v>115</v>
      </c>
      <c r="I57" s="3"/>
      <c r="J57" s="7">
        <f t="shared" si="9"/>
        <v>3.0798071772897697E-2</v>
      </c>
      <c r="K57" s="3"/>
      <c r="L57" s="6">
        <f t="shared" si="10"/>
        <v>209.45</v>
      </c>
      <c r="M57" s="3"/>
      <c r="N57" s="7">
        <f t="shared" si="11"/>
        <v>1.8213043478260869</v>
      </c>
      <c r="O57" s="9"/>
      <c r="P57" s="6">
        <v>2003.75</v>
      </c>
      <c r="Q57" s="3"/>
      <c r="R57" s="7">
        <f t="shared" si="12"/>
        <v>1.6873272147459137E-2</v>
      </c>
      <c r="S57" s="3"/>
      <c r="T57" s="6">
        <v>1380</v>
      </c>
      <c r="U57" s="3"/>
      <c r="V57" s="7">
        <f t="shared" si="13"/>
        <v>8.765856354293047E-3</v>
      </c>
      <c r="W57" s="3"/>
      <c r="X57" s="6">
        <f t="shared" si="14"/>
        <v>623.75</v>
      </c>
      <c r="Y57" s="3"/>
      <c r="Z57" s="7">
        <f t="shared" si="15"/>
        <v>0.45199275362318841</v>
      </c>
    </row>
    <row r="58" spans="1:26" s="69" customFormat="1" ht="15" customHeight="1" outlineLevel="1" collapsed="1" x14ac:dyDescent="0.3">
      <c r="A58" s="20"/>
      <c r="B58" s="11" t="str">
        <f>CONCATENATE("     ","Royalty &amp; Commissions                             ")</f>
        <v xml:space="preserve">     Royalty &amp; Commissions                             </v>
      </c>
      <c r="C58" s="11"/>
      <c r="D58" s="2">
        <f>SUM(OSRRefD22_8x_0)</f>
        <v>0</v>
      </c>
      <c r="E58" s="2"/>
      <c r="F58" s="5">
        <f t="shared" si="8"/>
        <v>0</v>
      </c>
      <c r="G58" s="2"/>
      <c r="H58" s="2">
        <f>SUM(OSRRefH22_8x_0)</f>
        <v>336</v>
      </c>
      <c r="I58" s="2"/>
      <c r="J58" s="5">
        <f t="shared" si="9"/>
        <v>8.9983931440814138E-2</v>
      </c>
      <c r="K58" s="2"/>
      <c r="L58" s="2">
        <f t="shared" si="10"/>
        <v>-336</v>
      </c>
      <c r="M58" s="2"/>
      <c r="N58" s="5">
        <f t="shared" si="11"/>
        <v>-1</v>
      </c>
      <c r="O58" s="11"/>
      <c r="P58" s="2">
        <f>SUM(OSRRefP22_8x_0)</f>
        <v>4367.51</v>
      </c>
      <c r="Q58" s="2"/>
      <c r="R58" s="5">
        <f t="shared" si="12"/>
        <v>3.6778133418215474E-2</v>
      </c>
      <c r="S58" s="2"/>
      <c r="T58" s="2">
        <f>SUM(OSRRefT22_8x_0)</f>
        <v>14170</v>
      </c>
      <c r="U58" s="2"/>
      <c r="V58" s="5">
        <f t="shared" si="13"/>
        <v>9.0008829377052513E-2</v>
      </c>
      <c r="W58" s="2"/>
      <c r="X58" s="2">
        <f t="shared" si="14"/>
        <v>-9802.49</v>
      </c>
      <c r="Y58" s="2"/>
      <c r="Z58" s="5">
        <f t="shared" si="15"/>
        <v>-0.69177769936485534</v>
      </c>
    </row>
    <row r="59" spans="1:26" s="70" customFormat="1" ht="15" hidden="1" customHeight="1" outlineLevel="2" x14ac:dyDescent="0.3">
      <c r="A59" s="21"/>
      <c r="B59" s="9" t="str">
        <f>CONCATENATE("          ","6254"," - ","ROYALTY &amp; COMMISSIONS")</f>
        <v xml:space="preserve">          6254 - ROYALTY &amp; COMMISSIONS</v>
      </c>
      <c r="C59" s="9"/>
      <c r="D59" s="6"/>
      <c r="E59" s="3"/>
      <c r="F59" s="7">
        <f t="shared" si="8"/>
        <v>0</v>
      </c>
      <c r="G59" s="3"/>
      <c r="H59" s="6"/>
      <c r="I59" s="3"/>
      <c r="J59" s="7">
        <f t="shared" si="9"/>
        <v>0</v>
      </c>
      <c r="K59" s="3"/>
      <c r="L59" s="6">
        <f t="shared" si="10"/>
        <v>0</v>
      </c>
      <c r="M59" s="3"/>
      <c r="N59" s="7">
        <f t="shared" si="11"/>
        <v>0</v>
      </c>
      <c r="O59" s="9"/>
      <c r="P59" s="6">
        <v>4367.51</v>
      </c>
      <c r="Q59" s="3"/>
      <c r="R59" s="7">
        <f t="shared" si="12"/>
        <v>3.6778133418215474E-2</v>
      </c>
      <c r="S59" s="3"/>
      <c r="T59" s="6"/>
      <c r="U59" s="3"/>
      <c r="V59" s="7">
        <f t="shared" si="13"/>
        <v>0</v>
      </c>
      <c r="W59" s="3"/>
      <c r="X59" s="6">
        <f t="shared" si="14"/>
        <v>4367.51</v>
      </c>
      <c r="Y59" s="3"/>
      <c r="Z59" s="7">
        <f t="shared" si="15"/>
        <v>0</v>
      </c>
    </row>
    <row r="60" spans="1:26" s="70" customFormat="1" ht="15" hidden="1" customHeight="1" outlineLevel="2" x14ac:dyDescent="0.3">
      <c r="A60" s="21"/>
      <c r="B60" s="9" t="str">
        <f>CONCATENATE("          ","6259"," - ","ROYALTY &amp; COMMISSIONS")</f>
        <v xml:space="preserve">          6259 - ROYALTY &amp; COMMISSIONS</v>
      </c>
      <c r="C60" s="9"/>
      <c r="D60" s="6"/>
      <c r="E60" s="3"/>
      <c r="F60" s="7">
        <f t="shared" si="8"/>
        <v>0</v>
      </c>
      <c r="G60" s="3"/>
      <c r="H60" s="6">
        <v>336</v>
      </c>
      <c r="I60" s="3"/>
      <c r="J60" s="7">
        <f t="shared" si="9"/>
        <v>8.9983931440814138E-2</v>
      </c>
      <c r="K60" s="3"/>
      <c r="L60" s="6">
        <f t="shared" si="10"/>
        <v>-336</v>
      </c>
      <c r="M60" s="3"/>
      <c r="N60" s="7">
        <f t="shared" si="11"/>
        <v>-1</v>
      </c>
      <c r="O60" s="9"/>
      <c r="P60" s="6"/>
      <c r="Q60" s="3"/>
      <c r="R60" s="7">
        <f t="shared" si="12"/>
        <v>0</v>
      </c>
      <c r="S60" s="3"/>
      <c r="T60" s="6">
        <v>14170</v>
      </c>
      <c r="U60" s="3"/>
      <c r="V60" s="7">
        <f t="shared" si="13"/>
        <v>9.0008829377052513E-2</v>
      </c>
      <c r="W60" s="3"/>
      <c r="X60" s="6">
        <f t="shared" si="14"/>
        <v>-14170</v>
      </c>
      <c r="Y60" s="3"/>
      <c r="Z60" s="7">
        <f t="shared" si="15"/>
        <v>-1</v>
      </c>
    </row>
    <row r="61" spans="1:26" s="69" customFormat="1" ht="15" customHeight="1" outlineLevel="1" collapsed="1" x14ac:dyDescent="0.3">
      <c r="A61" s="20"/>
      <c r="B61" s="11" t="str">
        <f>CONCATENATE("     ","Services                                          ")</f>
        <v xml:space="preserve">     Services                                          </v>
      </c>
      <c r="C61" s="11"/>
      <c r="D61" s="2">
        <f>SUM(OSRRefD22_9x_0)</f>
        <v>0</v>
      </c>
      <c r="E61" s="2"/>
      <c r="F61" s="5">
        <f t="shared" si="8"/>
        <v>0</v>
      </c>
      <c r="G61" s="2"/>
      <c r="H61" s="2">
        <f>SUM(OSRRefH22_9x_0)</f>
        <v>100</v>
      </c>
      <c r="I61" s="2"/>
      <c r="J61" s="5">
        <f t="shared" si="9"/>
        <v>2.6780931976432779E-2</v>
      </c>
      <c r="K61" s="2"/>
      <c r="L61" s="2">
        <f t="shared" si="10"/>
        <v>-100</v>
      </c>
      <c r="M61" s="2"/>
      <c r="N61" s="5">
        <f t="shared" si="11"/>
        <v>-1</v>
      </c>
      <c r="O61" s="11"/>
      <c r="P61" s="2">
        <f>SUM(OSRRefP22_9x_0)</f>
        <v>422.24</v>
      </c>
      <c r="Q61" s="2"/>
      <c r="R61" s="5">
        <f t="shared" si="12"/>
        <v>3.5556184312130483E-3</v>
      </c>
      <c r="S61" s="2"/>
      <c r="T61" s="2">
        <f>SUM(OSRRefT22_9x_0)</f>
        <v>1100</v>
      </c>
      <c r="U61" s="2"/>
      <c r="V61" s="5">
        <f t="shared" si="13"/>
        <v>6.987276804146631E-3</v>
      </c>
      <c r="W61" s="2"/>
      <c r="X61" s="2">
        <f t="shared" si="14"/>
        <v>-677.76</v>
      </c>
      <c r="Y61" s="2"/>
      <c r="Z61" s="5">
        <f t="shared" si="15"/>
        <v>-0.61614545454545455</v>
      </c>
    </row>
    <row r="62" spans="1:26" s="70" customFormat="1" ht="15" hidden="1" customHeight="1" outlineLevel="2" x14ac:dyDescent="0.3">
      <c r="A62" s="21"/>
      <c r="B62" s="9" t="str">
        <f>CONCATENATE("          ","6282"," - ","JANITORIAL/EXTERMINATOR EXPENS")</f>
        <v xml:space="preserve">          6282 - JANITORIAL/EXTERMINATOR EXPENS</v>
      </c>
      <c r="C62" s="9"/>
      <c r="D62" s="6"/>
      <c r="E62" s="3"/>
      <c r="F62" s="7">
        <f t="shared" si="8"/>
        <v>0</v>
      </c>
      <c r="G62" s="3"/>
      <c r="H62" s="6">
        <v>100</v>
      </c>
      <c r="I62" s="3"/>
      <c r="J62" s="7">
        <f t="shared" si="9"/>
        <v>2.6780931976432779E-2</v>
      </c>
      <c r="K62" s="3"/>
      <c r="L62" s="6">
        <f t="shared" si="10"/>
        <v>-100</v>
      </c>
      <c r="M62" s="3"/>
      <c r="N62" s="7">
        <f t="shared" si="11"/>
        <v>-1</v>
      </c>
      <c r="O62" s="9"/>
      <c r="P62" s="6"/>
      <c r="Q62" s="3"/>
      <c r="R62" s="7">
        <f t="shared" si="12"/>
        <v>0</v>
      </c>
      <c r="S62" s="3"/>
      <c r="T62" s="6">
        <v>1100</v>
      </c>
      <c r="U62" s="3"/>
      <c r="V62" s="7">
        <f t="shared" si="13"/>
        <v>6.987276804146631E-3</v>
      </c>
      <c r="W62" s="3"/>
      <c r="X62" s="6">
        <f t="shared" si="14"/>
        <v>-1100</v>
      </c>
      <c r="Y62" s="3"/>
      <c r="Z62" s="7">
        <f t="shared" si="15"/>
        <v>-1</v>
      </c>
    </row>
    <row r="63" spans="1:26" s="70" customFormat="1" ht="15" hidden="1" customHeight="1" outlineLevel="2" x14ac:dyDescent="0.3">
      <c r="A63" s="21"/>
      <c r="B63" s="9" t="str">
        <f>CONCATENATE("          ","6285"," - ","JANITORIAL SERVICES")</f>
        <v xml:space="preserve">          6285 - JANITORIAL SERVICES</v>
      </c>
      <c r="C63" s="9"/>
      <c r="D63" s="6"/>
      <c r="E63" s="3"/>
      <c r="F63" s="7">
        <f t="shared" si="8"/>
        <v>0</v>
      </c>
      <c r="G63" s="3"/>
      <c r="H63" s="6"/>
      <c r="I63" s="3"/>
      <c r="J63" s="7">
        <f t="shared" si="9"/>
        <v>0</v>
      </c>
      <c r="K63" s="3"/>
      <c r="L63" s="6">
        <f t="shared" si="10"/>
        <v>0</v>
      </c>
      <c r="M63" s="3"/>
      <c r="N63" s="7">
        <f t="shared" si="11"/>
        <v>0</v>
      </c>
      <c r="O63" s="9"/>
      <c r="P63" s="6">
        <v>206.4</v>
      </c>
      <c r="Q63" s="3"/>
      <c r="R63" s="7">
        <f t="shared" si="12"/>
        <v>1.7380628178343435E-3</v>
      </c>
      <c r="S63" s="3"/>
      <c r="T63" s="6"/>
      <c r="U63" s="3"/>
      <c r="V63" s="7">
        <f t="shared" si="13"/>
        <v>0</v>
      </c>
      <c r="W63" s="3"/>
      <c r="X63" s="6">
        <f t="shared" si="14"/>
        <v>206.4</v>
      </c>
      <c r="Y63" s="3"/>
      <c r="Z63" s="7">
        <f t="shared" si="15"/>
        <v>0</v>
      </c>
    </row>
    <row r="64" spans="1:26" s="70" customFormat="1" ht="15" hidden="1" customHeight="1" outlineLevel="2" x14ac:dyDescent="0.3">
      <c r="A64" s="21"/>
      <c r="B64" s="9" t="str">
        <f>CONCATENATE("          ","6286"," - ","LAUNDRY EXPENSE")</f>
        <v xml:space="preserve">          6286 - LAUNDRY EXPENSE</v>
      </c>
      <c r="C64" s="9"/>
      <c r="D64" s="6"/>
      <c r="E64" s="3"/>
      <c r="F64" s="7">
        <f t="shared" si="8"/>
        <v>0</v>
      </c>
      <c r="G64" s="3"/>
      <c r="H64" s="6"/>
      <c r="I64" s="3"/>
      <c r="J64" s="7">
        <f t="shared" si="9"/>
        <v>0</v>
      </c>
      <c r="K64" s="3"/>
      <c r="L64" s="6">
        <f t="shared" si="10"/>
        <v>0</v>
      </c>
      <c r="M64" s="3"/>
      <c r="N64" s="7">
        <f t="shared" si="11"/>
        <v>0</v>
      </c>
      <c r="O64" s="9"/>
      <c r="P64" s="6">
        <v>215.84</v>
      </c>
      <c r="Q64" s="3"/>
      <c r="R64" s="7">
        <f t="shared" si="12"/>
        <v>1.817555613378705E-3</v>
      </c>
      <c r="S64" s="3"/>
      <c r="T64" s="6"/>
      <c r="U64" s="3"/>
      <c r="V64" s="7">
        <f t="shared" si="13"/>
        <v>0</v>
      </c>
      <c r="W64" s="3"/>
      <c r="X64" s="6">
        <f t="shared" si="14"/>
        <v>215.84</v>
      </c>
      <c r="Y64" s="3"/>
      <c r="Z64" s="7">
        <f t="shared" si="15"/>
        <v>0</v>
      </c>
    </row>
    <row r="65" spans="1:26" s="69" customFormat="1" ht="15" customHeight="1" outlineLevel="1" collapsed="1" x14ac:dyDescent="0.3">
      <c r="A65" s="20"/>
      <c r="B65" s="11" t="str">
        <f>CONCATENATE("     ","Supplies                                          ")</f>
        <v xml:space="preserve">     Supplies                                          </v>
      </c>
      <c r="C65" s="11"/>
      <c r="D65" s="2">
        <f>SUM(OSRRefD22_10x_0)</f>
        <v>0</v>
      </c>
      <c r="E65" s="2"/>
      <c r="F65" s="5">
        <f t="shared" si="8"/>
        <v>0</v>
      </c>
      <c r="G65" s="2"/>
      <c r="H65" s="2">
        <f>SUM(OSRRefH22_10x_0)</f>
        <v>0</v>
      </c>
      <c r="I65" s="2"/>
      <c r="J65" s="5">
        <f t="shared" si="9"/>
        <v>0</v>
      </c>
      <c r="K65" s="2"/>
      <c r="L65" s="2">
        <f t="shared" si="10"/>
        <v>0</v>
      </c>
      <c r="M65" s="2"/>
      <c r="N65" s="5">
        <f t="shared" si="11"/>
        <v>0</v>
      </c>
      <c r="O65" s="11"/>
      <c r="P65" s="2">
        <f>SUM(OSRRefP22_10x_0)</f>
        <v>1478.1000000000001</v>
      </c>
      <c r="Q65" s="2"/>
      <c r="R65" s="5">
        <f t="shared" si="12"/>
        <v>1.2446853929461935E-2</v>
      </c>
      <c r="S65" s="2"/>
      <c r="T65" s="2">
        <f>SUM(OSRRefT22_10x_0)</f>
        <v>9700</v>
      </c>
      <c r="U65" s="2"/>
      <c r="V65" s="5">
        <f t="shared" si="13"/>
        <v>6.1615077272929385E-2</v>
      </c>
      <c r="W65" s="2"/>
      <c r="X65" s="2">
        <f t="shared" si="14"/>
        <v>-8221.9</v>
      </c>
      <c r="Y65" s="2"/>
      <c r="Z65" s="5">
        <f t="shared" si="15"/>
        <v>-0.84761855670103092</v>
      </c>
    </row>
    <row r="66" spans="1:26" s="70" customFormat="1" ht="15" hidden="1" customHeight="1" outlineLevel="2" x14ac:dyDescent="0.3">
      <c r="A66" s="21"/>
      <c r="B66" s="9" t="str">
        <f>CONCATENATE("          ","6234"," - ","EXPENDABLE SUPPLIES &amp; EQUIPMEN")</f>
        <v xml:space="preserve">          6234 - EXPENDABLE SUPPLIES &amp; EQUIPMEN</v>
      </c>
      <c r="C66" s="9"/>
      <c r="D66" s="6"/>
      <c r="E66" s="3"/>
      <c r="F66" s="7">
        <f t="shared" si="8"/>
        <v>0</v>
      </c>
      <c r="G66" s="3"/>
      <c r="H66" s="6"/>
      <c r="I66" s="3"/>
      <c r="J66" s="7">
        <f t="shared" si="9"/>
        <v>0</v>
      </c>
      <c r="K66" s="3"/>
      <c r="L66" s="6">
        <f t="shared" si="10"/>
        <v>0</v>
      </c>
      <c r="M66" s="3"/>
      <c r="N66" s="7">
        <f t="shared" si="11"/>
        <v>0</v>
      </c>
      <c r="O66" s="9"/>
      <c r="P66" s="6">
        <v>1194.8900000000001</v>
      </c>
      <c r="Q66" s="3"/>
      <c r="R66" s="7">
        <f t="shared" si="12"/>
        <v>1.0061985854661235E-2</v>
      </c>
      <c r="S66" s="3"/>
      <c r="T66" s="6"/>
      <c r="U66" s="3"/>
      <c r="V66" s="7">
        <f t="shared" si="13"/>
        <v>0</v>
      </c>
      <c r="W66" s="3"/>
      <c r="X66" s="6">
        <f t="shared" si="14"/>
        <v>1194.8900000000001</v>
      </c>
      <c r="Y66" s="3"/>
      <c r="Z66" s="7">
        <f t="shared" si="15"/>
        <v>0</v>
      </c>
    </row>
    <row r="67" spans="1:26" s="70" customFormat="1" ht="15" hidden="1" customHeight="1" outlineLevel="2" x14ac:dyDescent="0.3">
      <c r="A67" s="21"/>
      <c r="B67" s="9" t="str">
        <f>CONCATENATE("          ","6237"," - ","JANITORIAL SUPPLIES")</f>
        <v xml:space="preserve">          6237 - JANITORIAL SUPPLIES</v>
      </c>
      <c r="C67" s="9"/>
      <c r="D67" s="6"/>
      <c r="E67" s="3"/>
      <c r="F67" s="7">
        <f t="shared" si="8"/>
        <v>0</v>
      </c>
      <c r="G67" s="3"/>
      <c r="H67" s="6"/>
      <c r="I67" s="3"/>
      <c r="J67" s="7">
        <f t="shared" si="9"/>
        <v>0</v>
      </c>
      <c r="K67" s="3"/>
      <c r="L67" s="6">
        <f t="shared" si="10"/>
        <v>0</v>
      </c>
      <c r="M67" s="3"/>
      <c r="N67" s="7">
        <f t="shared" si="11"/>
        <v>0</v>
      </c>
      <c r="O67" s="9"/>
      <c r="P67" s="6">
        <v>-51.66</v>
      </c>
      <c r="Q67" s="3"/>
      <c r="R67" s="7">
        <f t="shared" si="12"/>
        <v>-4.3502095527772372E-4</v>
      </c>
      <c r="S67" s="3"/>
      <c r="T67" s="6"/>
      <c r="U67" s="3"/>
      <c r="V67" s="7">
        <f t="shared" si="13"/>
        <v>0</v>
      </c>
      <c r="W67" s="3"/>
      <c r="X67" s="6">
        <f t="shared" si="14"/>
        <v>-51.66</v>
      </c>
      <c r="Y67" s="3"/>
      <c r="Z67" s="7">
        <f t="shared" si="15"/>
        <v>0</v>
      </c>
    </row>
    <row r="68" spans="1:26" s="70" customFormat="1" ht="15" hidden="1" customHeight="1" outlineLevel="2" x14ac:dyDescent="0.3">
      <c r="A68" s="21"/>
      <c r="B68" s="9" t="str">
        <f>CONCATENATE("          ","6241"," - ","OFFICE EXPENSE")</f>
        <v xml:space="preserve">          6241 - OFFICE EXPENSE</v>
      </c>
      <c r="C68" s="9"/>
      <c r="D68" s="6"/>
      <c r="E68" s="3"/>
      <c r="F68" s="7">
        <f t="shared" si="8"/>
        <v>0</v>
      </c>
      <c r="G68" s="3"/>
      <c r="H68" s="6"/>
      <c r="I68" s="3"/>
      <c r="J68" s="7">
        <f t="shared" si="9"/>
        <v>0</v>
      </c>
      <c r="K68" s="3"/>
      <c r="L68" s="6">
        <f t="shared" si="10"/>
        <v>0</v>
      </c>
      <c r="M68" s="3"/>
      <c r="N68" s="7">
        <f t="shared" si="11"/>
        <v>0</v>
      </c>
      <c r="O68" s="9"/>
      <c r="P68" s="6">
        <v>19.940000000000001</v>
      </c>
      <c r="Q68" s="3"/>
      <c r="R68" s="7">
        <f t="shared" si="12"/>
        <v>1.679116888934923E-4</v>
      </c>
      <c r="S68" s="3"/>
      <c r="T68" s="6"/>
      <c r="U68" s="3"/>
      <c r="V68" s="7">
        <f t="shared" si="13"/>
        <v>0</v>
      </c>
      <c r="W68" s="3"/>
      <c r="X68" s="6">
        <f t="shared" si="14"/>
        <v>19.940000000000001</v>
      </c>
      <c r="Y68" s="3"/>
      <c r="Z68" s="7">
        <f t="shared" si="15"/>
        <v>0</v>
      </c>
    </row>
    <row r="69" spans="1:26" s="70" customFormat="1" ht="15" hidden="1" customHeight="1" outlineLevel="2" x14ac:dyDescent="0.3">
      <c r="A69" s="21"/>
      <c r="B69" s="9" t="str">
        <f>CONCATENATE("          ","6247"," - ","STORE SUPPLIES")</f>
        <v xml:space="preserve">          6247 - STORE SUPPLIES</v>
      </c>
      <c r="C69" s="9"/>
      <c r="D69" s="6"/>
      <c r="E69" s="3"/>
      <c r="F69" s="7">
        <f t="shared" si="8"/>
        <v>0</v>
      </c>
      <c r="G69" s="3"/>
      <c r="H69" s="6">
        <v>0</v>
      </c>
      <c r="I69" s="3"/>
      <c r="J69" s="7">
        <f t="shared" si="9"/>
        <v>0</v>
      </c>
      <c r="K69" s="3"/>
      <c r="L69" s="6">
        <f t="shared" si="10"/>
        <v>0</v>
      </c>
      <c r="M69" s="3"/>
      <c r="N69" s="7">
        <f t="shared" si="11"/>
        <v>0</v>
      </c>
      <c r="O69" s="9"/>
      <c r="P69" s="6">
        <v>314.93</v>
      </c>
      <c r="Q69" s="3"/>
      <c r="R69" s="7">
        <f t="shared" si="12"/>
        <v>2.6519773411849312E-3</v>
      </c>
      <c r="S69" s="3"/>
      <c r="T69" s="6">
        <v>9700</v>
      </c>
      <c r="U69" s="3"/>
      <c r="V69" s="7">
        <f t="shared" si="13"/>
        <v>6.1615077272929385E-2</v>
      </c>
      <c r="W69" s="3"/>
      <c r="X69" s="6">
        <f t="shared" si="14"/>
        <v>-9385.07</v>
      </c>
      <c r="Y69" s="3"/>
      <c r="Z69" s="7">
        <f t="shared" si="15"/>
        <v>-0.96753298969072166</v>
      </c>
    </row>
    <row r="70" spans="1:26" s="69" customFormat="1" ht="15" customHeight="1" outlineLevel="1" collapsed="1" x14ac:dyDescent="0.3">
      <c r="A70" s="20"/>
      <c r="B70" s="11" t="str">
        <f>CONCATENATE("     ","Telephone/Data Lines                              ")</f>
        <v xml:space="preserve">     Telephone/Data Lines                              </v>
      </c>
      <c r="C70" s="11"/>
      <c r="D70" s="2">
        <f>SUM(OSRRefD22_11x_0)</f>
        <v>51.5</v>
      </c>
      <c r="E70" s="2"/>
      <c r="F70" s="5">
        <f t="shared" si="8"/>
        <v>1.8760974259214736E-2</v>
      </c>
      <c r="G70" s="2"/>
      <c r="H70" s="2">
        <f>SUM(OSRRefH22_11x_0)</f>
        <v>53</v>
      </c>
      <c r="I70" s="2"/>
      <c r="J70" s="5">
        <f t="shared" si="9"/>
        <v>1.4193893947509374E-2</v>
      </c>
      <c r="K70" s="2"/>
      <c r="L70" s="2">
        <f t="shared" si="10"/>
        <v>-1.5</v>
      </c>
      <c r="M70" s="2"/>
      <c r="N70" s="5">
        <f t="shared" si="11"/>
        <v>-2.8301886792452831E-2</v>
      </c>
      <c r="O70" s="11"/>
      <c r="P70" s="2">
        <f>SUM(OSRRefP22_11x_0)</f>
        <v>844.5</v>
      </c>
      <c r="Q70" s="2"/>
      <c r="R70" s="5">
        <f t="shared" si="12"/>
        <v>7.1114052793658095E-3</v>
      </c>
      <c r="S70" s="2"/>
      <c r="T70" s="2">
        <f>SUM(OSRRefT22_11x_0)</f>
        <v>636</v>
      </c>
      <c r="U70" s="2"/>
      <c r="V70" s="5">
        <f t="shared" si="13"/>
        <v>4.0399164067611432E-3</v>
      </c>
      <c r="W70" s="2"/>
      <c r="X70" s="2">
        <f t="shared" si="14"/>
        <v>208.5</v>
      </c>
      <c r="Y70" s="2"/>
      <c r="Z70" s="5">
        <f t="shared" si="15"/>
        <v>0.32783018867924529</v>
      </c>
    </row>
    <row r="71" spans="1:26" s="70" customFormat="1" ht="15" hidden="1" customHeight="1" outlineLevel="2" x14ac:dyDescent="0.3">
      <c r="A71" s="21"/>
      <c r="B71" s="9" t="str">
        <f>CONCATENATE("          ","6309"," - ","TELEPHONE")</f>
        <v xml:space="preserve">          6309 - TELEPHONE</v>
      </c>
      <c r="C71" s="9"/>
      <c r="D71" s="6">
        <v>51.5</v>
      </c>
      <c r="E71" s="3"/>
      <c r="F71" s="7">
        <f t="shared" si="8"/>
        <v>1.8760974259214736E-2</v>
      </c>
      <c r="G71" s="3"/>
      <c r="H71" s="6">
        <v>53</v>
      </c>
      <c r="I71" s="3"/>
      <c r="J71" s="7">
        <f t="shared" si="9"/>
        <v>1.4193893947509374E-2</v>
      </c>
      <c r="K71" s="3"/>
      <c r="L71" s="6">
        <f t="shared" si="10"/>
        <v>-1.5</v>
      </c>
      <c r="M71" s="3"/>
      <c r="N71" s="7">
        <f t="shared" si="11"/>
        <v>-2.8301886792452831E-2</v>
      </c>
      <c r="O71" s="9"/>
      <c r="P71" s="6">
        <v>844.5</v>
      </c>
      <c r="Q71" s="3"/>
      <c r="R71" s="7">
        <f t="shared" si="12"/>
        <v>7.1114052793658095E-3</v>
      </c>
      <c r="S71" s="3"/>
      <c r="T71" s="6">
        <v>636</v>
      </c>
      <c r="U71" s="3"/>
      <c r="V71" s="7">
        <f t="shared" si="13"/>
        <v>4.0399164067611432E-3</v>
      </c>
      <c r="W71" s="3"/>
      <c r="X71" s="6">
        <f t="shared" si="14"/>
        <v>208.5</v>
      </c>
      <c r="Y71" s="3"/>
      <c r="Z71" s="7">
        <f t="shared" si="15"/>
        <v>0.32783018867924529</v>
      </c>
    </row>
    <row r="72" spans="1:26" s="69" customFormat="1" ht="15" customHeight="1" outlineLevel="1" collapsed="1" x14ac:dyDescent="0.3">
      <c r="A72" s="20"/>
      <c r="B72" s="11" t="str">
        <f>CONCATENATE("     ","Training                                          ")</f>
        <v xml:space="preserve">     Training                                          </v>
      </c>
      <c r="C72" s="11"/>
      <c r="D72" s="2">
        <f>SUM(OSRRefD22_12x_0)</f>
        <v>0</v>
      </c>
      <c r="E72" s="2"/>
      <c r="F72" s="5">
        <f t="shared" si="8"/>
        <v>0</v>
      </c>
      <c r="G72" s="2"/>
      <c r="H72" s="2">
        <f>SUM(OSRRefH22_12x_0)</f>
        <v>0</v>
      </c>
      <c r="I72" s="2"/>
      <c r="J72" s="5">
        <f t="shared" si="9"/>
        <v>0</v>
      </c>
      <c r="K72" s="2"/>
      <c r="L72" s="2">
        <f t="shared" si="10"/>
        <v>0</v>
      </c>
      <c r="M72" s="2"/>
      <c r="N72" s="5">
        <f t="shared" si="11"/>
        <v>0</v>
      </c>
      <c r="O72" s="11"/>
      <c r="P72" s="2">
        <f>SUM(OSRRefP22_12x_0)</f>
        <v>80</v>
      </c>
      <c r="Q72" s="2"/>
      <c r="R72" s="5">
        <f t="shared" si="12"/>
        <v>6.736677588505207E-4</v>
      </c>
      <c r="S72" s="2"/>
      <c r="T72" s="2">
        <f>SUM(OSRRefT22_12x_0)</f>
        <v>150</v>
      </c>
      <c r="U72" s="2"/>
      <c r="V72" s="5">
        <f t="shared" si="13"/>
        <v>9.528104732927224E-4</v>
      </c>
      <c r="W72" s="2"/>
      <c r="X72" s="2">
        <f t="shared" si="14"/>
        <v>-70</v>
      </c>
      <c r="Y72" s="2"/>
      <c r="Z72" s="5">
        <f t="shared" si="15"/>
        <v>-0.46666666666666667</v>
      </c>
    </row>
    <row r="73" spans="1:26" s="70" customFormat="1" ht="15" hidden="1" customHeight="1" outlineLevel="2" x14ac:dyDescent="0.3">
      <c r="A73" s="21"/>
      <c r="B73" s="9" t="str">
        <f>CONCATENATE("          ","6376"," - ","TRAINING")</f>
        <v xml:space="preserve">          6376 - TRAINING</v>
      </c>
      <c r="C73" s="9"/>
      <c r="D73" s="6"/>
      <c r="E73" s="3"/>
      <c r="F73" s="7">
        <f t="shared" si="8"/>
        <v>0</v>
      </c>
      <c r="G73" s="3"/>
      <c r="H73" s="6"/>
      <c r="I73" s="3"/>
      <c r="J73" s="7">
        <f t="shared" si="9"/>
        <v>0</v>
      </c>
      <c r="K73" s="3"/>
      <c r="L73" s="6">
        <f t="shared" si="10"/>
        <v>0</v>
      </c>
      <c r="M73" s="3"/>
      <c r="N73" s="7">
        <f t="shared" si="11"/>
        <v>0</v>
      </c>
      <c r="O73" s="9"/>
      <c r="P73" s="6">
        <v>80</v>
      </c>
      <c r="Q73" s="3"/>
      <c r="R73" s="7">
        <f t="shared" si="12"/>
        <v>6.736677588505207E-4</v>
      </c>
      <c r="S73" s="3"/>
      <c r="T73" s="6">
        <v>150</v>
      </c>
      <c r="U73" s="3"/>
      <c r="V73" s="7">
        <f t="shared" si="13"/>
        <v>9.528104732927224E-4</v>
      </c>
      <c r="W73" s="3"/>
      <c r="X73" s="6">
        <f t="shared" si="14"/>
        <v>-70</v>
      </c>
      <c r="Y73" s="3"/>
      <c r="Z73" s="7">
        <f t="shared" si="15"/>
        <v>-0.46666666666666667</v>
      </c>
    </row>
    <row r="74" spans="1:26" s="69" customFormat="1" ht="15" customHeight="1" outlineLevel="1" collapsed="1" x14ac:dyDescent="0.3">
      <c r="A74" s="20"/>
      <c r="B74" s="11" t="str">
        <f>CONCATENATE("     ","Utilities                                         ")</f>
        <v xml:space="preserve">     Utilities                                         </v>
      </c>
      <c r="C74" s="11"/>
      <c r="D74" s="2">
        <f>SUM(OSRRefD22_13x_0)</f>
        <v>-756</v>
      </c>
      <c r="E74" s="2"/>
      <c r="F74" s="5">
        <f t="shared" si="8"/>
        <v>-0.27540381631002603</v>
      </c>
      <c r="G74" s="2"/>
      <c r="H74" s="2">
        <f>SUM(OSRRefH22_13x_0)</f>
        <v>0</v>
      </c>
      <c r="I74" s="2"/>
      <c r="J74" s="5">
        <f t="shared" si="9"/>
        <v>0</v>
      </c>
      <c r="K74" s="2"/>
      <c r="L74" s="2">
        <f t="shared" si="10"/>
        <v>-756</v>
      </c>
      <c r="M74" s="2"/>
      <c r="N74" s="5">
        <f t="shared" si="11"/>
        <v>0</v>
      </c>
      <c r="O74" s="11"/>
      <c r="P74" s="2">
        <f>SUM(OSRRefP22_13x_0)</f>
        <v>-756</v>
      </c>
      <c r="Q74" s="2"/>
      <c r="R74" s="5">
        <f t="shared" si="12"/>
        <v>-6.3661603211374205E-3</v>
      </c>
      <c r="S74" s="2"/>
      <c r="T74" s="2">
        <f>SUM(OSRRefT22_13x_0)</f>
        <v>0</v>
      </c>
      <c r="U74" s="2"/>
      <c r="V74" s="5">
        <f t="shared" si="13"/>
        <v>0</v>
      </c>
      <c r="W74" s="2"/>
      <c r="X74" s="2">
        <f t="shared" si="14"/>
        <v>-756</v>
      </c>
      <c r="Y74" s="2"/>
      <c r="Z74" s="5">
        <f t="shared" si="15"/>
        <v>0</v>
      </c>
    </row>
    <row r="75" spans="1:26" s="70" customFormat="1" ht="15" hidden="1" customHeight="1" outlineLevel="2" x14ac:dyDescent="0.3">
      <c r="A75" s="21"/>
      <c r="B75" s="9" t="str">
        <f>CONCATENATE("          ","6274"," - ","UTILITIES")</f>
        <v xml:space="preserve">          6274 - UTILITIES</v>
      </c>
      <c r="C75" s="9"/>
      <c r="D75" s="6">
        <v>-756</v>
      </c>
      <c r="E75" s="3"/>
      <c r="F75" s="7">
        <f t="shared" si="8"/>
        <v>-0.27540381631002603</v>
      </c>
      <c r="G75" s="3"/>
      <c r="H75" s="6"/>
      <c r="I75" s="3"/>
      <c r="J75" s="7">
        <f t="shared" si="9"/>
        <v>0</v>
      </c>
      <c r="K75" s="3"/>
      <c r="L75" s="6">
        <f t="shared" si="10"/>
        <v>-756</v>
      </c>
      <c r="M75" s="3"/>
      <c r="N75" s="7">
        <f t="shared" si="11"/>
        <v>0</v>
      </c>
      <c r="O75" s="9"/>
      <c r="P75" s="6">
        <v>-756</v>
      </c>
      <c r="Q75" s="3"/>
      <c r="R75" s="7">
        <f t="shared" si="12"/>
        <v>-6.3661603211374205E-3</v>
      </c>
      <c r="S75" s="3"/>
      <c r="T75" s="6"/>
      <c r="U75" s="3"/>
      <c r="V75" s="7">
        <f t="shared" si="13"/>
        <v>0</v>
      </c>
      <c r="W75" s="3"/>
      <c r="X75" s="6">
        <f t="shared" si="14"/>
        <v>-756</v>
      </c>
      <c r="Y75" s="3"/>
      <c r="Z75" s="7">
        <f t="shared" si="15"/>
        <v>0</v>
      </c>
    </row>
    <row r="76" spans="1:26" s="65" customFormat="1" ht="15" customHeight="1" x14ac:dyDescent="0.3">
      <c r="A76" s="36"/>
      <c r="B76" s="36"/>
      <c r="C76" s="36"/>
      <c r="D76" s="2"/>
      <c r="E76" s="2"/>
      <c r="F76" s="5"/>
      <c r="G76" s="2"/>
      <c r="H76" s="2"/>
      <c r="I76" s="2"/>
      <c r="J76" s="5"/>
      <c r="K76" s="2"/>
      <c r="L76" s="2"/>
      <c r="M76" s="2"/>
      <c r="N76" s="5"/>
      <c r="O76" s="36"/>
      <c r="P76" s="2"/>
      <c r="Q76" s="2"/>
      <c r="R76" s="5"/>
      <c r="S76" s="2"/>
      <c r="T76" s="2"/>
      <c r="U76" s="2"/>
      <c r="V76" s="5"/>
      <c r="W76" s="2"/>
      <c r="X76" s="2"/>
      <c r="Y76" s="2"/>
      <c r="Z76" s="5"/>
    </row>
    <row r="77" spans="1:26" s="63" customFormat="1" ht="15" customHeight="1" x14ac:dyDescent="0.3">
      <c r="A77" s="13"/>
      <c r="B77" s="28" t="s">
        <v>291</v>
      </c>
      <c r="C77" s="13"/>
      <c r="D77" s="8">
        <f>SUM(0)</f>
        <v>0</v>
      </c>
      <c r="E77" s="8"/>
      <c r="F77" s="14">
        <f>IF(D$12=0,0,D77/D$12)</f>
        <v>0</v>
      </c>
      <c r="G77" s="8"/>
      <c r="H77" s="8">
        <f>SUM(0)</f>
        <v>0</v>
      </c>
      <c r="I77" s="8"/>
      <c r="J77" s="14">
        <f>IF(H$12=0,0,H77/H$12)</f>
        <v>0</v>
      </c>
      <c r="K77" s="8"/>
      <c r="L77" s="8">
        <f>+D77-H77</f>
        <v>0</v>
      </c>
      <c r="M77" s="8"/>
      <c r="N77" s="14">
        <f>IF(H77=0,0,L77/H77)</f>
        <v>0</v>
      </c>
      <c r="O77" s="13"/>
      <c r="P77" s="8">
        <f>SUM(0)</f>
        <v>0</v>
      </c>
      <c r="Q77" s="8"/>
      <c r="R77" s="14">
        <f>IF(P$12=0,0,P77/P$12)</f>
        <v>0</v>
      </c>
      <c r="S77" s="8"/>
      <c r="T77" s="8">
        <f>SUM(0)</f>
        <v>0</v>
      </c>
      <c r="U77" s="8"/>
      <c r="V77" s="14">
        <f>IF(T$12=0,0,T77/T$12)</f>
        <v>0</v>
      </c>
      <c r="W77" s="8"/>
      <c r="X77" s="8">
        <f>+P77-T77</f>
        <v>0</v>
      </c>
      <c r="Y77" s="8"/>
      <c r="Z77" s="14">
        <f>IF(T77=0,0,X77/T77)</f>
        <v>0</v>
      </c>
    </row>
    <row r="78" spans="1:26" ht="15" customHeight="1" x14ac:dyDescent="0.3">
      <c r="A78" s="12"/>
      <c r="B78" s="13"/>
      <c r="C78" s="13"/>
      <c r="D78" s="4"/>
      <c r="E78" s="4"/>
      <c r="F78" s="10"/>
      <c r="G78" s="4"/>
      <c r="H78" s="4"/>
      <c r="I78" s="4"/>
      <c r="J78" s="10"/>
      <c r="K78" s="4"/>
      <c r="L78" s="4"/>
      <c r="M78" s="4"/>
      <c r="N78" s="10"/>
      <c r="O78" s="13"/>
      <c r="P78" s="4"/>
      <c r="Q78" s="4"/>
      <c r="R78" s="10"/>
      <c r="S78" s="4"/>
      <c r="T78" s="4"/>
      <c r="U78" s="4"/>
      <c r="V78" s="10"/>
      <c r="W78" s="4"/>
      <c r="X78" s="4"/>
      <c r="Y78" s="4"/>
      <c r="Z78" s="10"/>
    </row>
    <row r="79" spans="1:26" s="63" customFormat="1" ht="15" customHeight="1" x14ac:dyDescent="0.3">
      <c r="A79" s="13"/>
      <c r="B79" s="27" t="s">
        <v>292</v>
      </c>
      <c r="C79" s="27"/>
      <c r="D79" s="23">
        <f>+D20-D22+D77</f>
        <v>-5566.3100000000013</v>
      </c>
      <c r="E79" s="15"/>
      <c r="F79" s="22">
        <f>IF(D$12=0,0,D79/D$12)</f>
        <v>-2.0277553131807688</v>
      </c>
      <c r="G79" s="15"/>
      <c r="H79" s="23">
        <f>+H20-H22+H77</f>
        <v>-2149.952624</v>
      </c>
      <c r="I79" s="15"/>
      <c r="J79" s="22">
        <f>IF(H$12=0,0,H79/H$12)</f>
        <v>-0.57577734975897166</v>
      </c>
      <c r="K79" s="17"/>
      <c r="L79" s="23">
        <f>+D79-H79</f>
        <v>-3416.3573760000013</v>
      </c>
      <c r="M79" s="17"/>
      <c r="N79" s="22">
        <f>IF(H79=0,0,L79/H79)</f>
        <v>1.589038445714142</v>
      </c>
      <c r="O79" s="28"/>
      <c r="P79" s="23">
        <f>+P20-P22+P77</f>
        <v>-32189.739999999976</v>
      </c>
      <c r="Q79" s="15"/>
      <c r="R79" s="22">
        <f>IF(P$12=0,0,P79/P$12)</f>
        <v>-0.27106487504726179</v>
      </c>
      <c r="S79" s="15"/>
      <c r="T79" s="23">
        <f>+T20-T22+T77</f>
        <v>-8360.1108329999988</v>
      </c>
      <c r="U79" s="15"/>
      <c r="V79" s="22">
        <f>IF(T$12=0,0,T79/T$12)</f>
        <v>-5.3104007730468965E-2</v>
      </c>
      <c r="W79" s="17"/>
      <c r="X79" s="23">
        <f>+P79-T79</f>
        <v>-23829.629166999977</v>
      </c>
      <c r="Y79" s="17"/>
      <c r="Z79" s="22">
        <f>IF(T79=0,0,X79/T79)</f>
        <v>2.8503963216536441</v>
      </c>
    </row>
    <row r="80" spans="1:26" ht="15" customHeight="1" x14ac:dyDescent="0.3">
      <c r="A80" s="12"/>
      <c r="B80" s="13"/>
      <c r="C80" s="12"/>
      <c r="D80" s="4"/>
      <c r="E80" s="4"/>
      <c r="F80" s="10"/>
      <c r="G80" s="4"/>
      <c r="H80" s="4"/>
      <c r="I80" s="4"/>
      <c r="J80" s="10"/>
      <c r="K80" s="4"/>
      <c r="L80" s="4"/>
      <c r="M80" s="4"/>
      <c r="N80" s="10"/>
      <c r="P80" s="4"/>
      <c r="Q80" s="4"/>
      <c r="R80" s="10"/>
      <c r="S80" s="4"/>
      <c r="T80" s="4"/>
      <c r="U80" s="4"/>
      <c r="V80" s="10"/>
      <c r="W80" s="4"/>
      <c r="X80" s="4"/>
      <c r="Y80" s="4"/>
      <c r="Z80" s="10"/>
    </row>
    <row r="81" spans="1:26" s="63" customFormat="1" ht="15" customHeight="1" x14ac:dyDescent="0.3">
      <c r="A81" s="49"/>
      <c r="B81" s="13" t="s">
        <v>293</v>
      </c>
      <c r="C81" s="13"/>
      <c r="D81" s="8">
        <v>-26733.09</v>
      </c>
      <c r="E81" s="8"/>
      <c r="F81" s="14">
        <f>IF(D$12=0,0,D81/D$12)</f>
        <v>-9.7386177351314736</v>
      </c>
      <c r="G81" s="8"/>
      <c r="H81" s="8">
        <v>-1201</v>
      </c>
      <c r="I81" s="8"/>
      <c r="J81" s="14">
        <f>IF(H$12=0,0,H81/H$12)</f>
        <v>-0.3216389930369577</v>
      </c>
      <c r="K81" s="8"/>
      <c r="L81" s="8">
        <f>+D81-H81</f>
        <v>-25532.09</v>
      </c>
      <c r="M81" s="8"/>
      <c r="N81" s="14">
        <f>IF(H81=0,0,L81/H81)</f>
        <v>21.259025811823481</v>
      </c>
      <c r="O81" s="13"/>
      <c r="P81" s="8">
        <v>-13690.87</v>
      </c>
      <c r="Q81" s="8"/>
      <c r="R81" s="14">
        <f>IF(P$12=0,0,P81/P$12)</f>
        <v>-0.11528872137017286</v>
      </c>
      <c r="S81" s="8"/>
      <c r="T81" s="8">
        <v>17850</v>
      </c>
      <c r="U81" s="8"/>
      <c r="V81" s="14">
        <f>IF(T$12=0,0,T81/T$12)</f>
        <v>0.11338444632183398</v>
      </c>
      <c r="W81" s="8"/>
      <c r="X81" s="8">
        <f>+P81-T81</f>
        <v>-31540.870000000003</v>
      </c>
      <c r="Y81" s="8"/>
      <c r="Z81" s="14">
        <f>IF(T81=0,0,X81/T81)</f>
        <v>-1.766995518207283</v>
      </c>
    </row>
    <row r="82" spans="1:26" ht="15" customHeight="1" x14ac:dyDescent="0.3">
      <c r="A82" s="12"/>
      <c r="B82" s="13"/>
      <c r="C82" s="13"/>
      <c r="D82" s="4"/>
      <c r="E82" s="4"/>
      <c r="F82" s="10"/>
      <c r="G82" s="4"/>
      <c r="H82" s="4"/>
      <c r="I82" s="4"/>
      <c r="J82" s="10"/>
      <c r="K82" s="4"/>
      <c r="L82" s="4"/>
      <c r="M82" s="4"/>
      <c r="N82" s="10"/>
      <c r="O82" s="13"/>
      <c r="P82" s="4"/>
      <c r="Q82" s="4"/>
      <c r="R82" s="10"/>
      <c r="S82" s="4"/>
      <c r="T82" s="4"/>
      <c r="U82" s="4"/>
      <c r="V82" s="10"/>
      <c r="W82" s="4"/>
      <c r="X82" s="4"/>
      <c r="Y82" s="4"/>
      <c r="Z82" s="10"/>
    </row>
    <row r="83" spans="1:26" s="63" customFormat="1" ht="15" customHeight="1" x14ac:dyDescent="0.3">
      <c r="A83" s="13"/>
      <c r="B83" s="27" t="s">
        <v>294</v>
      </c>
      <c r="C83" s="27"/>
      <c r="D83" s="30">
        <f>+D79-D81</f>
        <v>21166.78</v>
      </c>
      <c r="E83" s="15"/>
      <c r="F83" s="35">
        <f>IF(D$12=0,0,D83/D$12)</f>
        <v>7.7108624219507043</v>
      </c>
      <c r="G83" s="15"/>
      <c r="H83" s="30">
        <f>+H79-H81</f>
        <v>-948.95262400000001</v>
      </c>
      <c r="I83" s="15"/>
      <c r="J83" s="35">
        <f>IF(H$12=0,0,H83/H$12)</f>
        <v>-0.2541383567220139</v>
      </c>
      <c r="K83" s="17"/>
      <c r="L83" s="30">
        <f>D83-H83</f>
        <v>22115.732624</v>
      </c>
      <c r="M83" s="17"/>
      <c r="N83" s="35">
        <f>IF(H83=0,0,L83/H83)</f>
        <v>-23.305412793716034</v>
      </c>
      <c r="O83" s="28"/>
      <c r="P83" s="30">
        <f>+P79-P81</f>
        <v>-18498.869999999974</v>
      </c>
      <c r="Q83" s="15"/>
      <c r="R83" s="35">
        <f>IF(P$12=0,0,P83/P$12)</f>
        <v>-0.15577615367708894</v>
      </c>
      <c r="S83" s="15"/>
      <c r="T83" s="30">
        <f>+T79-T81</f>
        <v>-26210.110832999999</v>
      </c>
      <c r="U83" s="15"/>
      <c r="V83" s="35">
        <f>IF(T$12=0,0,T83/T$12)</f>
        <v>-0.16648845405230295</v>
      </c>
      <c r="W83" s="17"/>
      <c r="X83" s="30">
        <f>P83-T83</f>
        <v>7711.2408330000253</v>
      </c>
      <c r="Y83" s="17"/>
      <c r="Z83" s="35">
        <f>IF(T83=0,0,X83/T83)</f>
        <v>-0.29420863124665392</v>
      </c>
    </row>
    <row r="84" spans="1:26" ht="15" customHeight="1" x14ac:dyDescent="0.3">
      <c r="A84" s="12"/>
      <c r="B84" s="12"/>
      <c r="C84" s="12"/>
      <c r="D84" s="4"/>
      <c r="E84" s="4"/>
      <c r="F84" s="10"/>
      <c r="G84" s="4"/>
      <c r="H84" s="4"/>
      <c r="I84" s="4"/>
      <c r="J84" s="10"/>
      <c r="K84" s="4"/>
      <c r="L84" s="4"/>
      <c r="M84" s="4"/>
      <c r="N84" s="10"/>
      <c r="P84" s="4"/>
      <c r="Q84" s="4"/>
      <c r="R84" s="10"/>
      <c r="S84" s="4"/>
      <c r="T84" s="4"/>
      <c r="U84" s="4"/>
      <c r="V84" s="10"/>
      <c r="W84" s="4"/>
      <c r="X84" s="4"/>
      <c r="Y84" s="4"/>
      <c r="Z84" s="10"/>
    </row>
    <row r="85" spans="1:26" ht="15" customHeight="1" x14ac:dyDescent="0.3">
      <c r="A85" s="12"/>
      <c r="B85" s="12"/>
      <c r="C85" s="12"/>
      <c r="D85" s="4"/>
      <c r="E85" s="4"/>
      <c r="F85" s="10"/>
      <c r="G85" s="4"/>
      <c r="H85" s="4"/>
      <c r="I85" s="4"/>
      <c r="J85" s="10"/>
      <c r="K85" s="4"/>
      <c r="L85" s="4"/>
      <c r="M85" s="4"/>
      <c r="N85" s="10"/>
      <c r="P85" s="4"/>
      <c r="Q85" s="4"/>
      <c r="R85" s="10"/>
      <c r="S85" s="4"/>
      <c r="T85" s="4"/>
      <c r="U85" s="4"/>
      <c r="V85" s="10"/>
      <c r="W85" s="4"/>
      <c r="X85" s="4"/>
      <c r="Y85" s="4"/>
      <c r="Z85" s="10"/>
    </row>
    <row r="86" spans="1:26" s="63" customFormat="1" ht="15" customHeight="1" x14ac:dyDescent="0.3">
      <c r="A86" s="13"/>
      <c r="B86" s="27" t="s">
        <v>297</v>
      </c>
      <c r="C86" s="27"/>
      <c r="D86" s="33">
        <f>SUM(D83:D85)</f>
        <v>21166.78</v>
      </c>
      <c r="E86" s="15"/>
      <c r="F86" s="31">
        <f>IF(D$12=0,0,D86/D$12)</f>
        <v>7.7108624219507043</v>
      </c>
      <c r="G86" s="15"/>
      <c r="H86" s="33">
        <f>SUM(H83:H85)</f>
        <v>-948.95262400000001</v>
      </c>
      <c r="I86" s="15"/>
      <c r="J86" s="31">
        <f>IF(H$12=0,0,H86/H$12)</f>
        <v>-0.2541383567220139</v>
      </c>
      <c r="K86" s="17"/>
      <c r="L86" s="33">
        <f>+D86-H86</f>
        <v>22115.732624</v>
      </c>
      <c r="M86" s="17"/>
      <c r="N86" s="31">
        <f>IF(H86=0,0,L86/H86)</f>
        <v>-23.305412793716034</v>
      </c>
      <c r="O86" s="28"/>
      <c r="P86" s="33">
        <f>SUM(P83:P85)</f>
        <v>-18498.869999999974</v>
      </c>
      <c r="Q86" s="15"/>
      <c r="R86" s="31">
        <f>IF(P$12=0,0,P86/P$12)</f>
        <v>-0.15577615367708894</v>
      </c>
      <c r="S86" s="15"/>
      <c r="T86" s="33">
        <f>SUM(T83:T85)</f>
        <v>-26210.110832999999</v>
      </c>
      <c r="U86" s="15"/>
      <c r="V86" s="31">
        <f>IF(T$12=0,0,T86/T$12)</f>
        <v>-0.16648845405230295</v>
      </c>
      <c r="W86" s="17"/>
      <c r="X86" s="33">
        <f>+P86-T86</f>
        <v>7711.2408330000253</v>
      </c>
      <c r="Y86" s="17"/>
      <c r="Z86" s="31">
        <f>IF(T86=0,0,X86/T86)</f>
        <v>-0.29420863124665392</v>
      </c>
    </row>
    <row r="87" spans="1:26" ht="15" customHeight="1" x14ac:dyDescent="0.3">
      <c r="A87" s="12"/>
      <c r="C87" s="12"/>
      <c r="D87" s="19"/>
      <c r="E87" s="19"/>
      <c r="G87" s="19"/>
      <c r="H87" s="19"/>
      <c r="I87" s="19"/>
      <c r="J87" s="41"/>
      <c r="K87" s="19"/>
      <c r="L87" s="19"/>
      <c r="M87" s="19"/>
      <c r="P87" s="19"/>
      <c r="Q87" s="19"/>
      <c r="R87" s="41"/>
      <c r="S87" s="19"/>
      <c r="T87" s="19"/>
      <c r="U87" s="19"/>
      <c r="V87" s="41"/>
      <c r="W87" s="19"/>
      <c r="X87" s="19"/>
    </row>
    <row r="88" spans="1:26" ht="15" customHeight="1" x14ac:dyDescent="0.3">
      <c r="A88" s="12"/>
      <c r="B88" s="50">
        <v>44767.799547766204</v>
      </c>
      <c r="D88" s="19"/>
      <c r="E88" s="19"/>
      <c r="G88" s="19"/>
      <c r="H88" s="19"/>
      <c r="I88" s="19"/>
      <c r="J88" s="41"/>
      <c r="K88" s="19"/>
      <c r="L88" s="19"/>
      <c r="M88" s="19"/>
      <c r="P88" s="19"/>
      <c r="Q88" s="19"/>
      <c r="R88" s="41"/>
      <c r="S88" s="19"/>
      <c r="T88" s="19"/>
      <c r="U88" s="19"/>
      <c r="V88" s="41"/>
      <c r="W88" s="19"/>
      <c r="X88" s="19"/>
    </row>
    <row r="89" spans="1:26" ht="15" customHeight="1" x14ac:dyDescent="0.3">
      <c r="A89" s="12"/>
      <c r="B89" s="57" t="s">
        <v>298</v>
      </c>
      <c r="D89" s="19"/>
      <c r="E89" s="19"/>
      <c r="G89" s="19"/>
      <c r="H89" s="19"/>
      <c r="I89" s="19"/>
      <c r="J89" s="41"/>
      <c r="K89" s="19"/>
      <c r="L89" s="19"/>
      <c r="M89" s="19"/>
      <c r="P89" s="19"/>
      <c r="Q89" s="19"/>
      <c r="R89" s="41"/>
      <c r="S89" s="19"/>
      <c r="T89" s="19"/>
      <c r="U89" s="19"/>
      <c r="V89" s="41"/>
      <c r="W89" s="19"/>
      <c r="X89" s="19"/>
    </row>
    <row r="90" spans="1:26" ht="15" customHeight="1" x14ac:dyDescent="0.3">
      <c r="A90" s="12"/>
      <c r="B90" s="51"/>
      <c r="D90" s="19"/>
      <c r="E90" s="19"/>
      <c r="G90" s="19"/>
      <c r="H90" s="19"/>
      <c r="I90" s="19"/>
      <c r="J90" s="41"/>
      <c r="K90" s="19"/>
      <c r="L90" s="19"/>
      <c r="M90" s="19"/>
      <c r="P90" s="19"/>
      <c r="Q90" s="19"/>
      <c r="R90" s="41"/>
      <c r="S90" s="19"/>
      <c r="T90" s="19"/>
      <c r="U90" s="19"/>
      <c r="V90" s="41"/>
      <c r="W90" s="19"/>
      <c r="X90" s="19"/>
    </row>
    <row r="91" spans="1:26" ht="15" customHeight="1" x14ac:dyDescent="0.3">
      <c r="D91" s="19"/>
      <c r="E91" s="19"/>
      <c r="G91" s="19"/>
      <c r="H91" s="19"/>
      <c r="I91" s="19"/>
      <c r="J91" s="41"/>
      <c r="K91" s="19"/>
      <c r="L91" s="19"/>
      <c r="M91" s="19"/>
      <c r="P91" s="19"/>
      <c r="Q91" s="19"/>
      <c r="R91" s="41"/>
      <c r="S91" s="19"/>
      <c r="T91" s="19"/>
      <c r="U91" s="19"/>
      <c r="V91" s="41"/>
      <c r="W91" s="19"/>
      <c r="X91" s="19"/>
    </row>
  </sheetData>
  <pageMargins left="0.25" right="0.25" top="0.75" bottom="0.75" header="0.3" footer="0.3"/>
  <pageSetup scale="55" orientation="landscape" r:id="rId1"/>
  <headerFooter>
    <oddHeader>&amp;RPre-Audit</oddHeader>
    <oddFooter>&amp;L&amp;C&amp;R</oddFooter>
    <evenHeader>&amp;L&amp;C&amp;R</evenHeader>
    <evenFooter>&amp;L&amp;C&amp;R</even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1E36AA-E25F-2B0C-5C2D-8941CDA4986F}">
  <sheetPr>
    <tabColor rgb="FF92D050"/>
    <outlinePr summaryBelow="0" summaryRight="0"/>
  </sheetPr>
  <dimension ref="A2:Z101"/>
  <sheetViews>
    <sheetView showGridLines="0" defaultGridColor="0" colorId="8" zoomScale="80" workbookViewId="0">
      <pane xSplit="3" ySplit="10" topLeftCell="D11" activePane="bottomRight" state="frozen"/>
      <selection activeCell="D78" sqref="D78"/>
      <selection pane="topRight" activeCell="D78" sqref="D78"/>
      <selection pane="bottomLeft" activeCell="D78" sqref="D78"/>
      <selection pane="bottomRight" activeCell="D78" sqref="D78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3" t="s">
        <v>276</v>
      </c>
    </row>
    <row r="3" spans="1:26" ht="15" customHeight="1" x14ac:dyDescent="0.3">
      <c r="D3" s="53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3" t="str">
        <f>CONCATENATE("Period ",RIGHT(202212,2),", ",2022)</f>
        <v>Period 12,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5"/>
      <c r="D5" s="60">
        <v>44742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5"/>
      <c r="B6" s="47"/>
      <c r="C6" s="47"/>
      <c r="D6" s="25" t="str">
        <f>CONCATENATE("Department ","325"," - ","Outpost C-Store")</f>
        <v>Department 325 - Outpost C-Store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4"/>
    </row>
    <row r="8" spans="1:26" ht="15" customHeight="1" x14ac:dyDescent="0.3">
      <c r="B8" s="54"/>
    </row>
    <row r="9" spans="1:26" ht="15" customHeight="1" x14ac:dyDescent="0.3">
      <c r="B9" s="12"/>
      <c r="C9" s="12"/>
      <c r="D9" s="16" t="s">
        <v>279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280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ht="15" customHeight="1" x14ac:dyDescent="0.3">
      <c r="A10" s="13"/>
      <c r="B10" s="52"/>
      <c r="C10" s="13"/>
      <c r="D10" s="40" t="s">
        <v>281</v>
      </c>
      <c r="E10" s="32"/>
      <c r="F10" s="39" t="s">
        <v>282</v>
      </c>
      <c r="G10" s="32"/>
      <c r="H10" s="45" t="s">
        <v>283</v>
      </c>
      <c r="I10" s="32"/>
      <c r="J10" s="42" t="s">
        <v>284</v>
      </c>
      <c r="K10" s="13"/>
      <c r="L10" s="40" t="s">
        <v>285</v>
      </c>
      <c r="M10" s="13"/>
      <c r="N10" s="39" t="s">
        <v>286</v>
      </c>
      <c r="O10" s="13"/>
      <c r="P10" s="55" t="s">
        <v>281</v>
      </c>
      <c r="Q10" s="32"/>
      <c r="R10" s="39" t="s">
        <v>282</v>
      </c>
      <c r="S10" s="32"/>
      <c r="T10" s="45" t="s">
        <v>283</v>
      </c>
      <c r="U10" s="32"/>
      <c r="V10" s="42" t="s">
        <v>284</v>
      </c>
      <c r="W10" s="13"/>
      <c r="X10" s="40" t="s">
        <v>285</v>
      </c>
      <c r="Y10" s="13"/>
      <c r="Z10" s="39" t="s">
        <v>286</v>
      </c>
    </row>
    <row r="11" spans="1:26" ht="16.5" customHeight="1" x14ac:dyDescent="0.3">
      <c r="A11" s="12"/>
      <c r="B11" s="58"/>
      <c r="C11" s="12"/>
      <c r="D11" s="12"/>
      <c r="E11" s="12"/>
      <c r="F11" s="10"/>
      <c r="G11" s="12"/>
      <c r="H11" s="12"/>
      <c r="I11" s="12"/>
      <c r="J11" s="43"/>
      <c r="K11" s="12"/>
      <c r="L11" s="12"/>
      <c r="M11" s="12"/>
      <c r="N11" s="10"/>
      <c r="P11" s="12"/>
      <c r="Q11" s="12"/>
      <c r="R11" s="10"/>
      <c r="S11" s="12"/>
      <c r="T11" s="12"/>
      <c r="U11" s="12"/>
      <c r="V11" s="43"/>
      <c r="W11" s="12"/>
      <c r="X11" s="12"/>
      <c r="Y11" s="12"/>
      <c r="Z11" s="10"/>
    </row>
    <row r="12" spans="1:26" s="63" customFormat="1" ht="15" customHeight="1" collapsed="1" x14ac:dyDescent="0.3">
      <c r="A12" s="13"/>
      <c r="B12" s="28" t="s">
        <v>287</v>
      </c>
      <c r="C12" s="13"/>
      <c r="D12" s="8">
        <f>SUM(OSRRefD13x_0)</f>
        <v>12773.599999999999</v>
      </c>
      <c r="E12" s="8"/>
      <c r="F12" s="14"/>
      <c r="G12" s="8"/>
      <c r="H12" s="8">
        <f>SUM(OSRRefH13x_0)</f>
        <v>9241</v>
      </c>
      <c r="I12" s="8"/>
      <c r="J12" s="14"/>
      <c r="K12" s="8"/>
      <c r="L12" s="8">
        <f>+D12-H12</f>
        <v>3532.5999999999985</v>
      </c>
      <c r="M12" s="8"/>
      <c r="N12" s="14">
        <f>IF(H12=0,0,L12/H12)</f>
        <v>0.38227464560112528</v>
      </c>
      <c r="O12" s="13"/>
      <c r="P12" s="8">
        <f>SUM(OSRRefP13x_0)</f>
        <v>300525.7</v>
      </c>
      <c r="Q12" s="8"/>
      <c r="R12" s="14"/>
      <c r="S12" s="8"/>
      <c r="T12" s="8">
        <f>SUM(OSRRefT13x_0)</f>
        <v>359555</v>
      </c>
      <c r="U12" s="8"/>
      <c r="V12" s="14"/>
      <c r="W12" s="8"/>
      <c r="X12" s="8">
        <f>+P12-T12</f>
        <v>-59029.299999999988</v>
      </c>
      <c r="Y12" s="8"/>
      <c r="Z12" s="14">
        <f>IF(T12=0,0,X12/T12)</f>
        <v>-0.16417321411188826</v>
      </c>
    </row>
    <row r="13" spans="1:26" s="70" customFormat="1" ht="15" hidden="1" customHeight="1" outlineLevel="1" x14ac:dyDescent="0.3">
      <c r="A13" s="48"/>
      <c r="B13" s="9" t="str">
        <f>CONCATENATE("          ","4000"," - ","TAXABLE SALES")</f>
        <v xml:space="preserve">          4000 - TAXABLE SALES</v>
      </c>
      <c r="C13" s="9"/>
      <c r="D13" s="3">
        <f>--1785.47</f>
        <v>1785.47</v>
      </c>
      <c r="E13" s="3"/>
      <c r="F13" s="26"/>
      <c r="G13" s="3"/>
      <c r="H13" s="3">
        <v>1638</v>
      </c>
      <c r="I13" s="3"/>
      <c r="J13" s="26"/>
      <c r="K13" s="3"/>
      <c r="L13" s="3">
        <f>+D13-H13</f>
        <v>147.47000000000003</v>
      </c>
      <c r="M13" s="3"/>
      <c r="N13" s="26">
        <f>IF(H13=0,0,L13/H13)</f>
        <v>9.0030525030525041E-2</v>
      </c>
      <c r="O13" s="9"/>
      <c r="P13" s="3">
        <f>--43795.54</f>
        <v>43795.54</v>
      </c>
      <c r="Q13" s="3"/>
      <c r="R13" s="26"/>
      <c r="S13" s="3"/>
      <c r="T13" s="3">
        <v>63790</v>
      </c>
      <c r="U13" s="3"/>
      <c r="V13" s="26"/>
      <c r="W13" s="3"/>
      <c r="X13" s="3">
        <f>+P13-T13</f>
        <v>-19994.46</v>
      </c>
      <c r="Y13" s="3"/>
      <c r="Z13" s="26">
        <f>IF(T13=0,0,X13/T13)</f>
        <v>-0.31344191879604955</v>
      </c>
    </row>
    <row r="14" spans="1:26" s="70" customFormat="1" ht="15" hidden="1" customHeight="1" outlineLevel="1" x14ac:dyDescent="0.3">
      <c r="A14" s="48"/>
      <c r="B14" s="9" t="str">
        <f>CONCATENATE("          ","4100"," - ","NON-TAXABLE SALES")</f>
        <v xml:space="preserve">          4100 - NON-TAXABLE SALES</v>
      </c>
      <c r="C14" s="9"/>
      <c r="D14" s="3">
        <f>--10988.13</f>
        <v>10988.13</v>
      </c>
      <c r="E14" s="3"/>
      <c r="F14" s="26"/>
      <c r="G14" s="3"/>
      <c r="H14" s="3">
        <v>7603</v>
      </c>
      <c r="I14" s="3"/>
      <c r="J14" s="26"/>
      <c r="K14" s="3"/>
      <c r="L14" s="3">
        <f>+D14-H14</f>
        <v>3385.1299999999992</v>
      </c>
      <c r="M14" s="3"/>
      <c r="N14" s="26">
        <f>IF(H14=0,0,L14/H14)</f>
        <v>0.44523609101670381</v>
      </c>
      <c r="O14" s="9"/>
      <c r="P14" s="3">
        <f>--256730.16</f>
        <v>256730.16</v>
      </c>
      <c r="Q14" s="3"/>
      <c r="R14" s="26"/>
      <c r="S14" s="3"/>
      <c r="T14" s="3">
        <v>295765</v>
      </c>
      <c r="U14" s="3"/>
      <c r="V14" s="26"/>
      <c r="W14" s="3"/>
      <c r="X14" s="3">
        <f>+P14-T14</f>
        <v>-39034.839999999997</v>
      </c>
      <c r="Y14" s="3"/>
      <c r="Z14" s="26">
        <f>IF(T14=0,0,X14/T14)</f>
        <v>-0.13197924027521848</v>
      </c>
    </row>
    <row r="15" spans="1:26" ht="15" customHeight="1" x14ac:dyDescent="0.3">
      <c r="A15" s="12"/>
      <c r="B15" s="13"/>
      <c r="C15" s="12"/>
      <c r="D15" s="4"/>
      <c r="E15" s="4"/>
      <c r="F15" s="10"/>
      <c r="G15" s="4"/>
      <c r="H15" s="4"/>
      <c r="I15" s="4"/>
      <c r="J15" s="10"/>
      <c r="K15" s="4"/>
      <c r="L15" s="4"/>
      <c r="M15" s="4"/>
      <c r="N15" s="10"/>
      <c r="P15" s="4"/>
      <c r="Q15" s="4"/>
      <c r="R15" s="10"/>
      <c r="S15" s="4"/>
      <c r="T15" s="4"/>
      <c r="U15" s="4"/>
      <c r="V15" s="10"/>
      <c r="W15" s="4"/>
      <c r="X15" s="4"/>
      <c r="Y15" s="4"/>
      <c r="Z15" s="10"/>
    </row>
    <row r="16" spans="1:26" s="63" customFormat="1" ht="15" customHeight="1" collapsed="1" x14ac:dyDescent="0.3">
      <c r="A16" s="13"/>
      <c r="B16" s="28" t="s">
        <v>288</v>
      </c>
      <c r="C16" s="13"/>
      <c r="D16" s="8">
        <f>SUM(OSRRefD16x_0)</f>
        <v>20049.260000000002</v>
      </c>
      <c r="E16" s="8"/>
      <c r="F16" s="14">
        <f>IF(D$12=0,0,D16/D$12)</f>
        <v>1.5695857080227973</v>
      </c>
      <c r="G16" s="8"/>
      <c r="H16" s="8">
        <f>SUM(OSRRefH16x_0)</f>
        <v>4528</v>
      </c>
      <c r="I16" s="8"/>
      <c r="J16" s="14">
        <f>IF(H$12=0,0,H16/H$12)</f>
        <v>0.48999026079428631</v>
      </c>
      <c r="K16" s="8"/>
      <c r="L16" s="8">
        <f>+D16-H16</f>
        <v>15521.260000000002</v>
      </c>
      <c r="M16" s="8"/>
      <c r="N16" s="14">
        <f>IF(H16=0,0,L16/H16)</f>
        <v>3.4278401060070678</v>
      </c>
      <c r="O16" s="13"/>
      <c r="P16" s="8">
        <f>SUM(OSRRefP16x_0)</f>
        <v>142978.75</v>
      </c>
      <c r="Q16" s="8"/>
      <c r="R16" s="14">
        <f>IF(P$12=0,0,P16/P$12)</f>
        <v>0.47576213947758877</v>
      </c>
      <c r="S16" s="8"/>
      <c r="T16" s="8">
        <f>SUM(OSRRefT16x_0)</f>
        <v>176348</v>
      </c>
      <c r="U16" s="8"/>
      <c r="V16" s="14">
        <f>IF(T$12=0,0,T16/T$12)</f>
        <v>0.49046182086189871</v>
      </c>
      <c r="W16" s="8"/>
      <c r="X16" s="8">
        <f>+P16-T16</f>
        <v>-33369.25</v>
      </c>
      <c r="Y16" s="8"/>
      <c r="Z16" s="14">
        <f>IF(T16=0,0,X16/T16)</f>
        <v>-0.18922386417764875</v>
      </c>
    </row>
    <row r="17" spans="1:26" s="70" customFormat="1" ht="15" hidden="1" customHeight="1" outlineLevel="1" x14ac:dyDescent="0.3">
      <c r="A17" s="48"/>
      <c r="B17" s="9" t="str">
        <f>CONCATENATE("          ","5000"," - ","PURCHASES @ COST")</f>
        <v xml:space="preserve">          5000 - PURCHASES @ COST</v>
      </c>
      <c r="C17" s="9"/>
      <c r="D17" s="3"/>
      <c r="E17" s="3"/>
      <c r="F17" s="26">
        <f>IF(D$12=0,0,D17/D$12)</f>
        <v>0</v>
      </c>
      <c r="G17" s="3"/>
      <c r="H17" s="3">
        <v>4528</v>
      </c>
      <c r="I17" s="3"/>
      <c r="J17" s="26">
        <f>IF(H$12=0,0,H17/H$12)</f>
        <v>0.48999026079428631</v>
      </c>
      <c r="K17" s="3"/>
      <c r="L17" s="3">
        <f>+D17-H17</f>
        <v>-4528</v>
      </c>
      <c r="M17" s="3"/>
      <c r="N17" s="26">
        <f>IF(H17=0,0,L17/H17)</f>
        <v>-1</v>
      </c>
      <c r="O17" s="9"/>
      <c r="P17" s="3"/>
      <c r="Q17" s="3"/>
      <c r="R17" s="26">
        <f>IF(P$12=0,0,P17/P$12)</f>
        <v>0</v>
      </c>
      <c r="S17" s="3"/>
      <c r="T17" s="3">
        <v>176348</v>
      </c>
      <c r="U17" s="3"/>
      <c r="V17" s="26">
        <f>IF(T$12=0,0,T17/T$12)</f>
        <v>0.49046182086189871</v>
      </c>
      <c r="W17" s="3"/>
      <c r="X17" s="3">
        <f>+P17-T17</f>
        <v>-176348</v>
      </c>
      <c r="Y17" s="3"/>
      <c r="Z17" s="26">
        <f>IF(T17=0,0,X17/T17)</f>
        <v>-1</v>
      </c>
    </row>
    <row r="18" spans="1:26" s="70" customFormat="1" ht="15" hidden="1" customHeight="1" outlineLevel="1" x14ac:dyDescent="0.3">
      <c r="A18" s="48"/>
      <c r="B18" s="9" t="str">
        <f>CONCATENATE("          ","5053"," - ","PURCHASES @ COST-FOOD")</f>
        <v xml:space="preserve">          5053 - PURCHASES @ COST-FOOD</v>
      </c>
      <c r="C18" s="9"/>
      <c r="D18" s="3">
        <v>442.2</v>
      </c>
      <c r="E18" s="3"/>
      <c r="F18" s="26">
        <f>IF(D$12=0,0,D18/D$12)</f>
        <v>3.4618275192584709E-2</v>
      </c>
      <c r="G18" s="3"/>
      <c r="H18" s="3"/>
      <c r="I18" s="3"/>
      <c r="J18" s="26">
        <f>IF(H$12=0,0,H18/H$12)</f>
        <v>0</v>
      </c>
      <c r="K18" s="3"/>
      <c r="L18" s="3">
        <f>+D18-H18</f>
        <v>442.2</v>
      </c>
      <c r="M18" s="3"/>
      <c r="N18" s="26">
        <f>IF(H18=0,0,L18/H18)</f>
        <v>0</v>
      </c>
      <c r="O18" s="9"/>
      <c r="P18" s="3">
        <v>47539.83</v>
      </c>
      <c r="Q18" s="3"/>
      <c r="R18" s="26">
        <f>IF(P$12=0,0,P18/P$12)</f>
        <v>0.15818890031701116</v>
      </c>
      <c r="S18" s="3"/>
      <c r="T18" s="3"/>
      <c r="U18" s="3"/>
      <c r="V18" s="26">
        <f>IF(T$12=0,0,T18/T$12)</f>
        <v>0</v>
      </c>
      <c r="W18" s="3"/>
      <c r="X18" s="3">
        <f>+P18-T18</f>
        <v>47539.83</v>
      </c>
      <c r="Y18" s="3"/>
      <c r="Z18" s="26">
        <f>IF(T18=0,0,X18/T18)</f>
        <v>0</v>
      </c>
    </row>
    <row r="19" spans="1:26" s="70" customFormat="1" ht="15" hidden="1" customHeight="1" outlineLevel="1" x14ac:dyDescent="0.3">
      <c r="A19" s="48"/>
      <c r="B19" s="9" t="str">
        <f>CONCATENATE("          ","5059"," - ","PURCHASES @ COST-FOOD")</f>
        <v xml:space="preserve">          5059 - PURCHASES @ COST-FOOD</v>
      </c>
      <c r="C19" s="9"/>
      <c r="D19" s="3">
        <v>19607.060000000001</v>
      </c>
      <c r="E19" s="3"/>
      <c r="F19" s="26">
        <f>IF(D$12=0,0,D19/D$12)</f>
        <v>1.5349674328302125</v>
      </c>
      <c r="G19" s="3"/>
      <c r="H19" s="3"/>
      <c r="I19" s="3"/>
      <c r="J19" s="26">
        <f>IF(H$12=0,0,H19/H$12)</f>
        <v>0</v>
      </c>
      <c r="K19" s="3"/>
      <c r="L19" s="3">
        <f>+D19-H19</f>
        <v>19607.060000000001</v>
      </c>
      <c r="M19" s="3"/>
      <c r="N19" s="26">
        <f>IF(H19=0,0,L19/H19)</f>
        <v>0</v>
      </c>
      <c r="O19" s="9"/>
      <c r="P19" s="3">
        <v>95438.92</v>
      </c>
      <c r="Q19" s="3"/>
      <c r="R19" s="26">
        <f>IF(P$12=0,0,P19/P$12)</f>
        <v>0.31757323916057761</v>
      </c>
      <c r="S19" s="3"/>
      <c r="T19" s="3"/>
      <c r="U19" s="3"/>
      <c r="V19" s="26">
        <f>IF(T$12=0,0,T19/T$12)</f>
        <v>0</v>
      </c>
      <c r="W19" s="3"/>
      <c r="X19" s="3">
        <f>+P19-T19</f>
        <v>95438.92</v>
      </c>
      <c r="Y19" s="3"/>
      <c r="Z19" s="26">
        <f>IF(T19=0,0,X19/T19)</f>
        <v>0</v>
      </c>
    </row>
    <row r="20" spans="1:26" ht="15" customHeight="1" x14ac:dyDescent="0.3">
      <c r="A20" s="12"/>
      <c r="B20" s="13"/>
      <c r="C20" s="13"/>
      <c r="D20" s="4"/>
      <c r="E20" s="4"/>
      <c r="F20" s="10"/>
      <c r="G20" s="4"/>
      <c r="H20" s="4"/>
      <c r="I20" s="4"/>
      <c r="J20" s="10"/>
      <c r="K20" s="4"/>
      <c r="L20" s="4"/>
      <c r="M20" s="4"/>
      <c r="N20" s="10"/>
      <c r="O20" s="13"/>
      <c r="P20" s="4"/>
      <c r="Q20" s="4"/>
      <c r="R20" s="10"/>
      <c r="S20" s="4"/>
      <c r="T20" s="4"/>
      <c r="U20" s="4"/>
      <c r="V20" s="10"/>
      <c r="W20" s="4"/>
      <c r="X20" s="4"/>
      <c r="Y20" s="4"/>
      <c r="Z20" s="10"/>
    </row>
    <row r="21" spans="1:26" s="63" customFormat="1" ht="15" customHeight="1" x14ac:dyDescent="0.3">
      <c r="A21" s="13"/>
      <c r="B21" s="27" t="s">
        <v>289</v>
      </c>
      <c r="C21" s="27"/>
      <c r="D21" s="23">
        <f>D12-D16</f>
        <v>-7275.6600000000035</v>
      </c>
      <c r="E21" s="15"/>
      <c r="F21" s="22">
        <f>IF(D$12=0,0,D21/D$12)</f>
        <v>-0.5695857080227974</v>
      </c>
      <c r="G21" s="15"/>
      <c r="H21" s="23">
        <f>H12-H16</f>
        <v>4713</v>
      </c>
      <c r="I21" s="15"/>
      <c r="J21" s="22">
        <f>IF(H$12=0,0,H21/H$12)</f>
        <v>0.51000973920571369</v>
      </c>
      <c r="K21" s="17"/>
      <c r="L21" s="23">
        <f>+D21-H21</f>
        <v>-11988.660000000003</v>
      </c>
      <c r="M21" s="17"/>
      <c r="N21" s="22">
        <f>IF(H21=0,0,L21/H21)</f>
        <v>-2.5437428389560797</v>
      </c>
      <c r="O21" s="28"/>
      <c r="P21" s="23">
        <f>P12-P16</f>
        <v>157546.95000000001</v>
      </c>
      <c r="Q21" s="15"/>
      <c r="R21" s="22">
        <f>IF(P$12=0,0,P21/P$12)</f>
        <v>0.52423786052241128</v>
      </c>
      <c r="S21" s="15"/>
      <c r="T21" s="23">
        <f>T12-T16</f>
        <v>183207</v>
      </c>
      <c r="U21" s="15"/>
      <c r="V21" s="22">
        <f>IF(T$12=0,0,T21/T$12)</f>
        <v>0.50953817913810129</v>
      </c>
      <c r="W21" s="17"/>
      <c r="X21" s="23">
        <f>+P21-T21</f>
        <v>-25660.049999999988</v>
      </c>
      <c r="Y21" s="17"/>
      <c r="Z21" s="22">
        <f>IF(T21=0,0,X21/T21)</f>
        <v>-0.1400604234554356</v>
      </c>
    </row>
    <row r="22" spans="1:26" ht="15" customHeight="1" x14ac:dyDescent="0.3">
      <c r="A22" s="12"/>
      <c r="B22" s="13"/>
      <c r="C22" s="12"/>
      <c r="D22" s="2"/>
      <c r="E22" s="2"/>
      <c r="F22" s="5"/>
      <c r="G22" s="2"/>
      <c r="H22" s="2"/>
      <c r="I22" s="2"/>
      <c r="J22" s="5"/>
      <c r="K22" s="2"/>
      <c r="L22" s="2"/>
      <c r="M22" s="2"/>
      <c r="N22" s="5"/>
      <c r="O22" s="36"/>
      <c r="P22" s="2"/>
      <c r="Q22" s="2"/>
      <c r="R22" s="5"/>
      <c r="S22" s="2"/>
      <c r="T22" s="2"/>
      <c r="U22" s="2"/>
      <c r="V22" s="5"/>
      <c r="W22" s="2"/>
      <c r="X22" s="2"/>
      <c r="Y22" s="2"/>
      <c r="Z22" s="5"/>
    </row>
    <row r="23" spans="1:26" s="63" customFormat="1" ht="15" customHeight="1" x14ac:dyDescent="0.3">
      <c r="A23" s="13"/>
      <c r="B23" s="28" t="s">
        <v>290</v>
      </c>
      <c r="C23" s="13"/>
      <c r="D23" s="24" cm="1">
        <f t="array" ref="D23">SUM(OSRRefD22x_0)</f>
        <v>27981.64</v>
      </c>
      <c r="E23" s="24"/>
      <c r="F23" s="34">
        <f t="shared" ref="F23:F54" si="0">IF(D$12=0,0,D23/D$12)</f>
        <v>2.1905837038892719</v>
      </c>
      <c r="G23" s="24"/>
      <c r="H23" s="24" cm="1">
        <f t="array" ref="H23">SUM(OSRRefH22x_0)</f>
        <v>23660.092781807689</v>
      </c>
      <c r="I23" s="24"/>
      <c r="J23" s="34">
        <f t="shared" ref="J23:J54" si="1">IF(H$12=0,0,H23/H$12)</f>
        <v>2.5603390089609013</v>
      </c>
      <c r="K23" s="8"/>
      <c r="L23" s="24">
        <f t="shared" ref="L23:L54" si="2">+D23-H23</f>
        <v>4321.5472181923105</v>
      </c>
      <c r="M23" s="8"/>
      <c r="N23" s="34">
        <f t="shared" ref="N23:N54" si="3">IF(H23=0,0,L23/H23)</f>
        <v>0.18265132170213466</v>
      </c>
      <c r="O23" s="13"/>
      <c r="P23" s="24" cm="1">
        <f t="array" ref="P23">SUM(OSRRefP22x_0)</f>
        <v>280106.40999999992</v>
      </c>
      <c r="Q23" s="24"/>
      <c r="R23" s="34">
        <f t="shared" ref="R23:R54" si="4">IF(P$12=0,0,P23/P$12)</f>
        <v>0.93205476270415444</v>
      </c>
      <c r="S23" s="24"/>
      <c r="T23" s="24" cm="1">
        <f t="array" ref="T23">SUM(OSRRefT22x_0)</f>
        <v>340637.84652174998</v>
      </c>
      <c r="U23" s="24"/>
      <c r="V23" s="34">
        <f t="shared" ref="V23:V54" si="5">IF(T$12=0,0,T23/T$12)</f>
        <v>0.94738731632643125</v>
      </c>
      <c r="W23" s="8"/>
      <c r="X23" s="24">
        <f t="shared" ref="X23:X54" si="6">+P23-T23</f>
        <v>-60531.43652175006</v>
      </c>
      <c r="Y23" s="8"/>
      <c r="Z23" s="34">
        <f t="shared" ref="Z23:Z54" si="7">IF(T23=0,0,X23/T23)</f>
        <v>-0.17770026771785935</v>
      </c>
    </row>
    <row r="24" spans="1:26" s="69" customFormat="1" ht="15" customHeight="1" outlineLevel="1" collapsed="1" x14ac:dyDescent="0.3">
      <c r="A24" s="20"/>
      <c r="B24" s="11" t="str">
        <f>CONCATENATE("     ","*Benefits                                         ")</f>
        <v xml:space="preserve">     *Benefits                                         </v>
      </c>
      <c r="C24" s="11"/>
      <c r="D24" s="2">
        <f>SUM(OSRRefD22_0x_0)</f>
        <v>3837.9700000000003</v>
      </c>
      <c r="E24" s="2"/>
      <c r="F24" s="5">
        <f t="shared" si="0"/>
        <v>0.30046110728377284</v>
      </c>
      <c r="G24" s="2"/>
      <c r="H24" s="2">
        <f>SUM(OSRRefH22_0x_0)</f>
        <v>3825.6398510384606</v>
      </c>
      <c r="I24" s="2"/>
      <c r="J24" s="5">
        <f t="shared" si="1"/>
        <v>0.41398548328519214</v>
      </c>
      <c r="K24" s="2"/>
      <c r="L24" s="2">
        <f t="shared" si="2"/>
        <v>12.330148961539635</v>
      </c>
      <c r="M24" s="2"/>
      <c r="N24" s="5">
        <f t="shared" si="3"/>
        <v>3.2230292033874142E-3</v>
      </c>
      <c r="O24" s="11"/>
      <c r="P24" s="2">
        <f>SUM(OSRRefP22_0x_0)</f>
        <v>26370.36</v>
      </c>
      <c r="Q24" s="2"/>
      <c r="R24" s="5">
        <f t="shared" si="4"/>
        <v>8.7747437240808357E-2</v>
      </c>
      <c r="S24" s="2"/>
      <c r="T24" s="2">
        <f>SUM(OSRRefT22_0x_0)</f>
        <v>49059.461371750003</v>
      </c>
      <c r="U24" s="2"/>
      <c r="V24" s="5">
        <f t="shared" si="5"/>
        <v>0.13644494269791826</v>
      </c>
      <c r="W24" s="2"/>
      <c r="X24" s="2">
        <f t="shared" si="6"/>
        <v>-22689.101371750003</v>
      </c>
      <c r="Y24" s="2"/>
      <c r="Z24" s="5">
        <f t="shared" si="7"/>
        <v>-0.46248166484793712</v>
      </c>
    </row>
    <row r="25" spans="1:26" s="70" customFormat="1" ht="15" hidden="1" customHeight="1" outlineLevel="2" x14ac:dyDescent="0.3">
      <c r="A25" s="21"/>
      <c r="B25" s="9" t="str">
        <f>CONCATENATE("          ","6111"," - ","F.I.C.A.")</f>
        <v xml:space="preserve">          6111 - F.I.C.A.</v>
      </c>
      <c r="C25" s="9"/>
      <c r="D25" s="6">
        <v>680.69</v>
      </c>
      <c r="E25" s="3"/>
      <c r="F25" s="7">
        <f t="shared" si="0"/>
        <v>5.328881442976139E-2</v>
      </c>
      <c r="G25" s="3"/>
      <c r="H25" s="6">
        <v>480.62576642307698</v>
      </c>
      <c r="I25" s="3"/>
      <c r="J25" s="7">
        <f t="shared" si="1"/>
        <v>5.2010146783148685E-2</v>
      </c>
      <c r="K25" s="3"/>
      <c r="L25" s="6">
        <f t="shared" si="2"/>
        <v>200.06423357692307</v>
      </c>
      <c r="M25" s="3"/>
      <c r="N25" s="7">
        <f t="shared" si="3"/>
        <v>0.41625781960431552</v>
      </c>
      <c r="O25" s="9"/>
      <c r="P25" s="6">
        <v>5078.01</v>
      </c>
      <c r="Q25" s="3"/>
      <c r="R25" s="7">
        <f t="shared" si="4"/>
        <v>1.6897090664791729E-2</v>
      </c>
      <c r="S25" s="3"/>
      <c r="T25" s="6">
        <v>6032.8197217500001</v>
      </c>
      <c r="U25" s="3"/>
      <c r="V25" s="7">
        <f t="shared" si="5"/>
        <v>1.6778572740609919E-2</v>
      </c>
      <c r="W25" s="3"/>
      <c r="X25" s="6">
        <f t="shared" si="6"/>
        <v>-954.80972174999988</v>
      </c>
      <c r="Y25" s="3"/>
      <c r="Z25" s="7">
        <f t="shared" si="7"/>
        <v>-0.15826922828601095</v>
      </c>
    </row>
    <row r="26" spans="1:26" s="70" customFormat="1" ht="15" hidden="1" customHeight="1" outlineLevel="2" x14ac:dyDescent="0.3">
      <c r="A26" s="21"/>
      <c r="B26" s="9" t="str">
        <f>CONCATENATE("          ","6112"," - ","COMPENSATION INSURANCE")</f>
        <v xml:space="preserve">          6112 - COMPENSATION INSURANCE</v>
      </c>
      <c r="C26" s="9"/>
      <c r="D26" s="6"/>
      <c r="E26" s="3"/>
      <c r="F26" s="7">
        <f t="shared" si="0"/>
        <v>0</v>
      </c>
      <c r="G26" s="3"/>
      <c r="H26" s="6">
        <v>349.86577438461501</v>
      </c>
      <c r="I26" s="3"/>
      <c r="J26" s="7">
        <f t="shared" si="1"/>
        <v>3.7860163876703282E-2</v>
      </c>
      <c r="K26" s="3"/>
      <c r="L26" s="6">
        <f t="shared" si="2"/>
        <v>-349.86577438461501</v>
      </c>
      <c r="M26" s="3"/>
      <c r="N26" s="7">
        <f t="shared" si="3"/>
        <v>-1</v>
      </c>
      <c r="O26" s="9"/>
      <c r="P26" s="6">
        <v>1522.75</v>
      </c>
      <c r="Q26" s="3"/>
      <c r="R26" s="7">
        <f t="shared" si="4"/>
        <v>5.0669543403442695E-3</v>
      </c>
      <c r="S26" s="3"/>
      <c r="T26" s="6">
        <v>5370.3919105000004</v>
      </c>
      <c r="U26" s="3"/>
      <c r="V26" s="7">
        <f t="shared" si="5"/>
        <v>1.4936218132135557E-2</v>
      </c>
      <c r="W26" s="3"/>
      <c r="X26" s="6">
        <f t="shared" si="6"/>
        <v>-3847.6419105000004</v>
      </c>
      <c r="Y26" s="3"/>
      <c r="Z26" s="7">
        <f t="shared" si="7"/>
        <v>-0.7164545855540313</v>
      </c>
    </row>
    <row r="27" spans="1:26" s="70" customFormat="1" ht="15" hidden="1" customHeight="1" outlineLevel="2" x14ac:dyDescent="0.3">
      <c r="A27" s="21"/>
      <c r="B27" s="9" t="str">
        <f>CONCATENATE("          ","6113"," - ","GROUP INSURANCE")</f>
        <v xml:space="preserve">          6113 - GROUP INSURANCE</v>
      </c>
      <c r="C27" s="9"/>
      <c r="D27" s="6">
        <v>1752.24</v>
      </c>
      <c r="E27" s="3"/>
      <c r="F27" s="7">
        <f t="shared" si="0"/>
        <v>0.13717667689609822</v>
      </c>
      <c r="G27" s="3"/>
      <c r="H27" s="6">
        <v>1977</v>
      </c>
      <c r="I27" s="3"/>
      <c r="J27" s="7">
        <f t="shared" si="1"/>
        <v>0.21393788551022616</v>
      </c>
      <c r="K27" s="3"/>
      <c r="L27" s="6">
        <f t="shared" si="2"/>
        <v>-224.76</v>
      </c>
      <c r="M27" s="3"/>
      <c r="N27" s="7">
        <f t="shared" si="3"/>
        <v>-0.11368740515933232</v>
      </c>
      <c r="O27" s="9"/>
      <c r="P27" s="6">
        <v>10513.44</v>
      </c>
      <c r="Q27" s="3"/>
      <c r="R27" s="7">
        <f t="shared" si="4"/>
        <v>3.4983497251649363E-2</v>
      </c>
      <c r="S27" s="3"/>
      <c r="T27" s="6">
        <v>23724</v>
      </c>
      <c r="U27" s="3"/>
      <c r="V27" s="7">
        <f t="shared" si="5"/>
        <v>6.5981560540112089E-2</v>
      </c>
      <c r="W27" s="3"/>
      <c r="X27" s="6">
        <f t="shared" si="6"/>
        <v>-13210.56</v>
      </c>
      <c r="Y27" s="3"/>
      <c r="Z27" s="7">
        <f t="shared" si="7"/>
        <v>-0.55684370257966609</v>
      </c>
    </row>
    <row r="28" spans="1:26" s="70" customFormat="1" ht="15" hidden="1" customHeight="1" outlineLevel="2" x14ac:dyDescent="0.3">
      <c r="A28" s="21"/>
      <c r="B28" s="9" t="str">
        <f>CONCATENATE("          ","6114"," - ","STATE UNEMPLOYMENT INSURANCE")</f>
        <v xml:space="preserve">          6114 - STATE UNEMPLOYMENT INSURANCE</v>
      </c>
      <c r="C28" s="9"/>
      <c r="D28" s="6"/>
      <c r="E28" s="3"/>
      <c r="F28" s="7">
        <f t="shared" si="0"/>
        <v>0</v>
      </c>
      <c r="G28" s="3"/>
      <c r="H28" s="6">
        <v>19.385702538461501</v>
      </c>
      <c r="I28" s="3"/>
      <c r="J28" s="7">
        <f t="shared" si="1"/>
        <v>2.097792721400444E-3</v>
      </c>
      <c r="K28" s="3"/>
      <c r="L28" s="6">
        <f t="shared" si="2"/>
        <v>-19.385702538461501</v>
      </c>
      <c r="M28" s="3"/>
      <c r="N28" s="7">
        <f t="shared" si="3"/>
        <v>-1</v>
      </c>
      <c r="O28" s="9"/>
      <c r="P28" s="6">
        <v>246.83</v>
      </c>
      <c r="Q28" s="3"/>
      <c r="R28" s="7">
        <f t="shared" si="4"/>
        <v>8.2132742723833602E-4</v>
      </c>
      <c r="S28" s="3"/>
      <c r="T28" s="6">
        <v>297.56788949999998</v>
      </c>
      <c r="U28" s="3"/>
      <c r="V28" s="7">
        <f t="shared" si="5"/>
        <v>8.2760047697848726E-4</v>
      </c>
      <c r="W28" s="3"/>
      <c r="X28" s="6">
        <f t="shared" si="6"/>
        <v>-50.737889499999966</v>
      </c>
      <c r="Y28" s="3"/>
      <c r="Z28" s="7">
        <f t="shared" si="7"/>
        <v>-0.17050861766454128</v>
      </c>
    </row>
    <row r="29" spans="1:26" s="70" customFormat="1" ht="15" hidden="1" customHeight="1" outlineLevel="2" x14ac:dyDescent="0.3">
      <c r="A29" s="21"/>
      <c r="B29" s="9" t="str">
        <f>CONCATENATE("          ","6115"," - ","P.E.R.S.")</f>
        <v xml:space="preserve">          6115 - P.E.R.S.</v>
      </c>
      <c r="C29" s="9"/>
      <c r="D29" s="6">
        <v>520.78</v>
      </c>
      <c r="E29" s="3"/>
      <c r="F29" s="7">
        <f t="shared" si="0"/>
        <v>4.07700256779608E-2</v>
      </c>
      <c r="G29" s="3"/>
      <c r="H29" s="6">
        <v>397.928615384615</v>
      </c>
      <c r="I29" s="3"/>
      <c r="J29" s="7">
        <f t="shared" si="1"/>
        <v>4.3061207162062007E-2</v>
      </c>
      <c r="K29" s="3"/>
      <c r="L29" s="6">
        <f t="shared" si="2"/>
        <v>122.85138461538497</v>
      </c>
      <c r="M29" s="3"/>
      <c r="N29" s="7">
        <f t="shared" si="3"/>
        <v>0.30872719343554589</v>
      </c>
      <c r="O29" s="9"/>
      <c r="P29" s="6">
        <v>3508.37</v>
      </c>
      <c r="Q29" s="3"/>
      <c r="R29" s="7">
        <f t="shared" si="4"/>
        <v>1.1674109735040962E-2</v>
      </c>
      <c r="S29" s="3"/>
      <c r="T29" s="6">
        <v>5173.0720000000001</v>
      </c>
      <c r="U29" s="3"/>
      <c r="V29" s="7">
        <f t="shared" si="5"/>
        <v>1.4387428905174452E-2</v>
      </c>
      <c r="W29" s="3"/>
      <c r="X29" s="6">
        <f t="shared" si="6"/>
        <v>-1664.7020000000002</v>
      </c>
      <c r="Y29" s="3"/>
      <c r="Z29" s="7">
        <f t="shared" si="7"/>
        <v>-0.32180143636121827</v>
      </c>
    </row>
    <row r="30" spans="1:26" s="70" customFormat="1" ht="15" hidden="1" customHeight="1" outlineLevel="2" x14ac:dyDescent="0.3">
      <c r="A30" s="21"/>
      <c r="B30" s="9" t="str">
        <f>CONCATENATE("          ","6116"," - ","EDUCATIONAL BENEFITS")</f>
        <v xml:space="preserve">          6116 - EDUCATIONAL BENEFITS</v>
      </c>
      <c r="C30" s="9"/>
      <c r="D30" s="6"/>
      <c r="E30" s="3"/>
      <c r="F30" s="7">
        <f t="shared" si="0"/>
        <v>0</v>
      </c>
      <c r="G30" s="3"/>
      <c r="H30" s="6">
        <v>0</v>
      </c>
      <c r="I30" s="3"/>
      <c r="J30" s="7">
        <f t="shared" si="1"/>
        <v>0</v>
      </c>
      <c r="K30" s="3"/>
      <c r="L30" s="6">
        <f t="shared" si="2"/>
        <v>0</v>
      </c>
      <c r="M30" s="3"/>
      <c r="N30" s="7">
        <f t="shared" si="3"/>
        <v>0</v>
      </c>
      <c r="O30" s="9"/>
      <c r="P30" s="6"/>
      <c r="Q30" s="3"/>
      <c r="R30" s="7">
        <f t="shared" si="4"/>
        <v>0</v>
      </c>
      <c r="S30" s="3"/>
      <c r="T30" s="6">
        <v>0</v>
      </c>
      <c r="U30" s="3"/>
      <c r="V30" s="7">
        <f t="shared" si="5"/>
        <v>0</v>
      </c>
      <c r="W30" s="3"/>
      <c r="X30" s="6">
        <f t="shared" si="6"/>
        <v>0</v>
      </c>
      <c r="Y30" s="3"/>
      <c r="Z30" s="7">
        <f t="shared" si="7"/>
        <v>0</v>
      </c>
    </row>
    <row r="31" spans="1:26" s="70" customFormat="1" ht="15" hidden="1" customHeight="1" outlineLevel="2" x14ac:dyDescent="0.3">
      <c r="A31" s="21"/>
      <c r="B31" s="9" t="str">
        <f>CONCATENATE("          ","6118"," - ","VACATION")</f>
        <v xml:space="preserve">          6118 - VACATION</v>
      </c>
      <c r="C31" s="9"/>
      <c r="D31" s="6">
        <v>406.86</v>
      </c>
      <c r="E31" s="3"/>
      <c r="F31" s="7">
        <f t="shared" si="0"/>
        <v>3.1851631489948025E-2</v>
      </c>
      <c r="G31" s="3"/>
      <c r="H31" s="6">
        <v>231.35384615384601</v>
      </c>
      <c r="I31" s="3"/>
      <c r="J31" s="7">
        <f t="shared" si="1"/>
        <v>2.5035585559338384E-2</v>
      </c>
      <c r="K31" s="3"/>
      <c r="L31" s="6">
        <f t="shared" si="2"/>
        <v>175.50615384615401</v>
      </c>
      <c r="M31" s="3"/>
      <c r="N31" s="7">
        <f t="shared" si="3"/>
        <v>0.75860486766857416</v>
      </c>
      <c r="O31" s="9"/>
      <c r="P31" s="6">
        <v>2471.6999999999998</v>
      </c>
      <c r="Q31" s="3"/>
      <c r="R31" s="7">
        <f t="shared" si="4"/>
        <v>8.2245877806789887E-3</v>
      </c>
      <c r="S31" s="3"/>
      <c r="T31" s="6">
        <v>3007.6</v>
      </c>
      <c r="U31" s="3"/>
      <c r="V31" s="7">
        <f t="shared" si="5"/>
        <v>8.364784247194449E-3</v>
      </c>
      <c r="W31" s="3"/>
      <c r="X31" s="6">
        <f t="shared" si="6"/>
        <v>-535.90000000000009</v>
      </c>
      <c r="Y31" s="3"/>
      <c r="Z31" s="7">
        <f t="shared" si="7"/>
        <v>-0.17818193908764468</v>
      </c>
    </row>
    <row r="32" spans="1:26" s="70" customFormat="1" ht="15" hidden="1" customHeight="1" outlineLevel="2" x14ac:dyDescent="0.3">
      <c r="A32" s="21"/>
      <c r="B32" s="9" t="str">
        <f>CONCATENATE("          ","6119"," - ","SICK LEAVE")</f>
        <v xml:space="preserve">          6119 - SICK LEAVE</v>
      </c>
      <c r="C32" s="9"/>
      <c r="D32" s="6">
        <v>232.4</v>
      </c>
      <c r="E32" s="3"/>
      <c r="F32" s="7">
        <f t="shared" si="0"/>
        <v>1.819377466023674E-2</v>
      </c>
      <c r="G32" s="3"/>
      <c r="H32" s="6">
        <v>369.48014615384602</v>
      </c>
      <c r="I32" s="3"/>
      <c r="J32" s="7">
        <f t="shared" si="1"/>
        <v>3.9982701672313173E-2</v>
      </c>
      <c r="K32" s="3"/>
      <c r="L32" s="6">
        <f t="shared" si="2"/>
        <v>-137.08014615384602</v>
      </c>
      <c r="M32" s="3"/>
      <c r="N32" s="7">
        <f t="shared" si="3"/>
        <v>-0.37100815180680341</v>
      </c>
      <c r="O32" s="9"/>
      <c r="P32" s="6">
        <v>1510.6</v>
      </c>
      <c r="Q32" s="3"/>
      <c r="R32" s="7">
        <f t="shared" si="4"/>
        <v>5.0265251856995916E-3</v>
      </c>
      <c r="S32" s="3"/>
      <c r="T32" s="6">
        <v>5454.0098500000004</v>
      </c>
      <c r="U32" s="3"/>
      <c r="V32" s="7">
        <f t="shared" si="5"/>
        <v>1.5168777655713313E-2</v>
      </c>
      <c r="W32" s="3"/>
      <c r="X32" s="6">
        <f t="shared" si="6"/>
        <v>-3943.4098500000005</v>
      </c>
      <c r="Y32" s="3"/>
      <c r="Z32" s="7">
        <f t="shared" si="7"/>
        <v>-0.72302946977626015</v>
      </c>
    </row>
    <row r="33" spans="1:26" s="70" customFormat="1" ht="15" hidden="1" customHeight="1" outlineLevel="2" x14ac:dyDescent="0.3">
      <c r="A33" s="21"/>
      <c r="B33" s="9" t="str">
        <f>CONCATENATE("          ","6156"," - ","EMPLOYEE MEALS")</f>
        <v xml:space="preserve">          6156 - EMPLOYEE MEALS</v>
      </c>
      <c r="C33" s="9"/>
      <c r="D33" s="6">
        <v>245</v>
      </c>
      <c r="E33" s="3"/>
      <c r="F33" s="7">
        <f t="shared" si="0"/>
        <v>1.9180184129767647E-2</v>
      </c>
      <c r="G33" s="3"/>
      <c r="H33" s="6"/>
      <c r="I33" s="3"/>
      <c r="J33" s="7">
        <f t="shared" si="1"/>
        <v>0</v>
      </c>
      <c r="K33" s="3"/>
      <c r="L33" s="6">
        <f t="shared" si="2"/>
        <v>245</v>
      </c>
      <c r="M33" s="3"/>
      <c r="N33" s="7">
        <f t="shared" si="3"/>
        <v>0</v>
      </c>
      <c r="O33" s="9"/>
      <c r="P33" s="6">
        <v>1518.66</v>
      </c>
      <c r="Q33" s="3"/>
      <c r="R33" s="7">
        <f t="shared" si="4"/>
        <v>5.0533448553651151E-3</v>
      </c>
      <c r="S33" s="3"/>
      <c r="T33" s="6"/>
      <c r="U33" s="3"/>
      <c r="V33" s="7">
        <f t="shared" si="5"/>
        <v>0</v>
      </c>
      <c r="W33" s="3"/>
      <c r="X33" s="6">
        <f t="shared" si="6"/>
        <v>1518.66</v>
      </c>
      <c r="Y33" s="3"/>
      <c r="Z33" s="7">
        <f t="shared" si="7"/>
        <v>0</v>
      </c>
    </row>
    <row r="34" spans="1:26" s="69" customFormat="1" ht="15" customHeight="1" outlineLevel="1" collapsed="1" x14ac:dyDescent="0.3">
      <c r="A34" s="20"/>
      <c r="B34" s="11" t="str">
        <f>CONCATENATE("     ","*Payroll                                          ")</f>
        <v xml:space="preserve">     *Payroll                                          </v>
      </c>
      <c r="C34" s="11"/>
      <c r="D34" s="2">
        <f>SUM(OSRRefD22_1x_0)</f>
        <v>7890.23</v>
      </c>
      <c r="E34" s="2"/>
      <c r="F34" s="5">
        <f t="shared" si="0"/>
        <v>0.61769822133149621</v>
      </c>
      <c r="G34" s="2"/>
      <c r="H34" s="2">
        <f>SUM(OSRRefH22_1x_0)</f>
        <v>8630.4529307692301</v>
      </c>
      <c r="I34" s="2"/>
      <c r="J34" s="5">
        <f t="shared" si="1"/>
        <v>0.9339306277209426</v>
      </c>
      <c r="K34" s="2"/>
      <c r="L34" s="2">
        <f t="shared" si="2"/>
        <v>-740.22293076923052</v>
      </c>
      <c r="M34" s="2"/>
      <c r="N34" s="5">
        <f t="shared" si="3"/>
        <v>-8.5768723461800353E-2</v>
      </c>
      <c r="O34" s="11"/>
      <c r="P34" s="2">
        <f>SUM(OSRRefP22_1x_0)</f>
        <v>99345.75</v>
      </c>
      <c r="Q34" s="2"/>
      <c r="R34" s="5">
        <f t="shared" si="4"/>
        <v>0.33057322551781759</v>
      </c>
      <c r="S34" s="2"/>
      <c r="T34" s="2">
        <f>SUM(OSRRefT22_1x_0)</f>
        <v>133237.38514999999</v>
      </c>
      <c r="U34" s="2"/>
      <c r="V34" s="5">
        <f t="shared" si="5"/>
        <v>0.37056190332494332</v>
      </c>
      <c r="W34" s="2"/>
      <c r="X34" s="2">
        <f t="shared" si="6"/>
        <v>-33891.635149999987</v>
      </c>
      <c r="Y34" s="2"/>
      <c r="Z34" s="5">
        <f t="shared" si="7"/>
        <v>-0.25437031139454175</v>
      </c>
    </row>
    <row r="35" spans="1:26" s="70" customFormat="1" ht="15" hidden="1" customHeight="1" outlineLevel="2" x14ac:dyDescent="0.3">
      <c r="A35" s="21"/>
      <c r="B35" s="9" t="str">
        <f>CONCATENATE("          ","6001"," - ","ADMINISTRATIVE SALARIES")</f>
        <v xml:space="preserve">          6001 - ADMINISTRATIVE SALARIES</v>
      </c>
      <c r="C35" s="9"/>
      <c r="D35" s="6"/>
      <c r="E35" s="3"/>
      <c r="F35" s="7">
        <f t="shared" si="0"/>
        <v>0</v>
      </c>
      <c r="G35" s="3"/>
      <c r="H35" s="6">
        <v>0</v>
      </c>
      <c r="I35" s="3"/>
      <c r="J35" s="7">
        <f t="shared" si="1"/>
        <v>0</v>
      </c>
      <c r="K35" s="3"/>
      <c r="L35" s="6">
        <f t="shared" si="2"/>
        <v>0</v>
      </c>
      <c r="M35" s="3"/>
      <c r="N35" s="7">
        <f t="shared" si="3"/>
        <v>0</v>
      </c>
      <c r="O35" s="9"/>
      <c r="P35" s="6"/>
      <c r="Q35" s="3"/>
      <c r="R35" s="7">
        <f t="shared" si="4"/>
        <v>0</v>
      </c>
      <c r="S35" s="3"/>
      <c r="T35" s="6">
        <v>0</v>
      </c>
      <c r="U35" s="3"/>
      <c r="V35" s="7">
        <f t="shared" si="5"/>
        <v>0</v>
      </c>
      <c r="W35" s="3"/>
      <c r="X35" s="6">
        <f t="shared" si="6"/>
        <v>0</v>
      </c>
      <c r="Y35" s="3"/>
      <c r="Z35" s="7">
        <f t="shared" si="7"/>
        <v>0</v>
      </c>
    </row>
    <row r="36" spans="1:26" s="70" customFormat="1" ht="15" hidden="1" customHeight="1" outlineLevel="2" x14ac:dyDescent="0.3">
      <c r="A36" s="21"/>
      <c r="B36" s="9" t="str">
        <f>CONCATENATE("          ","6002"," - ","STAFF SALARIES")</f>
        <v xml:space="preserve">          6002 - STAFF SALARIES</v>
      </c>
      <c r="C36" s="9"/>
      <c r="D36" s="6">
        <v>4030.76</v>
      </c>
      <c r="E36" s="3"/>
      <c r="F36" s="7">
        <f t="shared" si="0"/>
        <v>0.31555395503225409</v>
      </c>
      <c r="G36" s="3"/>
      <c r="H36" s="6">
        <v>4164.3692307692299</v>
      </c>
      <c r="I36" s="3"/>
      <c r="J36" s="7">
        <f t="shared" si="1"/>
        <v>0.45064054006809112</v>
      </c>
      <c r="K36" s="3"/>
      <c r="L36" s="6">
        <f t="shared" si="2"/>
        <v>-133.60923076922973</v>
      </c>
      <c r="M36" s="3"/>
      <c r="N36" s="7">
        <f t="shared" si="3"/>
        <v>-3.2083905956761145E-2</v>
      </c>
      <c r="O36" s="9"/>
      <c r="P36" s="6">
        <v>29978.84</v>
      </c>
      <c r="Q36" s="3"/>
      <c r="R36" s="7">
        <f t="shared" si="4"/>
        <v>9.9754663245106817E-2</v>
      </c>
      <c r="S36" s="3"/>
      <c r="T36" s="6">
        <v>54136.800000000003</v>
      </c>
      <c r="U36" s="3"/>
      <c r="V36" s="7">
        <f t="shared" si="5"/>
        <v>0.15056611644950008</v>
      </c>
      <c r="W36" s="3"/>
      <c r="X36" s="6">
        <f t="shared" si="6"/>
        <v>-24157.960000000003</v>
      </c>
      <c r="Y36" s="3"/>
      <c r="Z36" s="7">
        <f t="shared" si="7"/>
        <v>-0.44623915709831391</v>
      </c>
    </row>
    <row r="37" spans="1:26" s="70" customFormat="1" ht="15" hidden="1" customHeight="1" outlineLevel="2" x14ac:dyDescent="0.3">
      <c r="A37" s="21"/>
      <c r="B37" s="9" t="str">
        <f>CONCATENATE("          ","6003"," - ","STAFF HOURLY-9 MONTH")</f>
        <v xml:space="preserve">          6003 - STAFF HOURLY-9 MONTH</v>
      </c>
      <c r="C37" s="9"/>
      <c r="D37" s="6"/>
      <c r="E37" s="3"/>
      <c r="F37" s="7">
        <f t="shared" si="0"/>
        <v>0</v>
      </c>
      <c r="G37" s="3"/>
      <c r="H37" s="6">
        <v>0</v>
      </c>
      <c r="I37" s="3"/>
      <c r="J37" s="7">
        <f t="shared" si="1"/>
        <v>0</v>
      </c>
      <c r="K37" s="3"/>
      <c r="L37" s="6">
        <f t="shared" si="2"/>
        <v>0</v>
      </c>
      <c r="M37" s="3"/>
      <c r="N37" s="7">
        <f t="shared" si="3"/>
        <v>0</v>
      </c>
      <c r="O37" s="9"/>
      <c r="P37" s="6"/>
      <c r="Q37" s="3"/>
      <c r="R37" s="7">
        <f t="shared" si="4"/>
        <v>0</v>
      </c>
      <c r="S37" s="3"/>
      <c r="T37" s="6">
        <v>0</v>
      </c>
      <c r="U37" s="3"/>
      <c r="V37" s="7">
        <f t="shared" si="5"/>
        <v>0</v>
      </c>
      <c r="W37" s="3"/>
      <c r="X37" s="6">
        <f t="shared" si="6"/>
        <v>0</v>
      </c>
      <c r="Y37" s="3"/>
      <c r="Z37" s="7">
        <f t="shared" si="7"/>
        <v>0</v>
      </c>
    </row>
    <row r="38" spans="1:26" s="70" customFormat="1" ht="15" hidden="1" customHeight="1" outlineLevel="2" x14ac:dyDescent="0.3">
      <c r="A38" s="21"/>
      <c r="B38" s="9" t="str">
        <f>CONCATENATE("          ","6004"," - ","STAFF HOURLY")</f>
        <v xml:space="preserve">          6004 - STAFF HOURLY</v>
      </c>
      <c r="C38" s="9"/>
      <c r="D38" s="6"/>
      <c r="E38" s="3"/>
      <c r="F38" s="7">
        <f t="shared" si="0"/>
        <v>0</v>
      </c>
      <c r="G38" s="3"/>
      <c r="H38" s="6">
        <v>1603.5554999999999</v>
      </c>
      <c r="I38" s="3"/>
      <c r="J38" s="7">
        <f t="shared" si="1"/>
        <v>0.17352618764203007</v>
      </c>
      <c r="K38" s="3"/>
      <c r="L38" s="6">
        <f t="shared" si="2"/>
        <v>-1603.5554999999999</v>
      </c>
      <c r="M38" s="3"/>
      <c r="N38" s="7">
        <f t="shared" si="3"/>
        <v>-1</v>
      </c>
      <c r="O38" s="9"/>
      <c r="P38" s="6"/>
      <c r="Q38" s="3"/>
      <c r="R38" s="7">
        <f t="shared" si="4"/>
        <v>0</v>
      </c>
      <c r="S38" s="3"/>
      <c r="T38" s="6">
        <v>18117.150750000001</v>
      </c>
      <c r="U38" s="3"/>
      <c r="V38" s="7">
        <f t="shared" si="5"/>
        <v>5.0387703550221805E-2</v>
      </c>
      <c r="W38" s="3"/>
      <c r="X38" s="6">
        <f t="shared" si="6"/>
        <v>-18117.150750000001</v>
      </c>
      <c r="Y38" s="3"/>
      <c r="Z38" s="7">
        <f t="shared" si="7"/>
        <v>-1</v>
      </c>
    </row>
    <row r="39" spans="1:26" s="70" customFormat="1" ht="15" hidden="1" customHeight="1" outlineLevel="2" x14ac:dyDescent="0.3">
      <c r="A39" s="21"/>
      <c r="B39" s="9" t="str">
        <f>CONCATENATE("          ","6005"," - ","TEMPORARY WAGES-HOURLY")</f>
        <v xml:space="preserve">          6005 - TEMPORARY WAGES-HOURLY</v>
      </c>
      <c r="C39" s="9"/>
      <c r="D39" s="6">
        <v>3377.82</v>
      </c>
      <c r="E39" s="3"/>
      <c r="F39" s="7">
        <f t="shared" si="0"/>
        <v>0.26443759002943573</v>
      </c>
      <c r="G39" s="3"/>
      <c r="H39" s="6">
        <v>0</v>
      </c>
      <c r="I39" s="3"/>
      <c r="J39" s="7">
        <f t="shared" si="1"/>
        <v>0</v>
      </c>
      <c r="K39" s="3"/>
      <c r="L39" s="6">
        <f t="shared" si="2"/>
        <v>3377.82</v>
      </c>
      <c r="M39" s="3"/>
      <c r="N39" s="7">
        <f t="shared" si="3"/>
        <v>0</v>
      </c>
      <c r="O39" s="9"/>
      <c r="P39" s="6">
        <v>31849.03</v>
      </c>
      <c r="Q39" s="3"/>
      <c r="R39" s="7">
        <f t="shared" si="4"/>
        <v>0.10597772503316687</v>
      </c>
      <c r="S39" s="3"/>
      <c r="T39" s="6">
        <v>0</v>
      </c>
      <c r="U39" s="3"/>
      <c r="V39" s="7">
        <f t="shared" si="5"/>
        <v>0</v>
      </c>
      <c r="W39" s="3"/>
      <c r="X39" s="6">
        <f t="shared" si="6"/>
        <v>31849.03</v>
      </c>
      <c r="Y39" s="3"/>
      <c r="Z39" s="7">
        <f t="shared" si="7"/>
        <v>0</v>
      </c>
    </row>
    <row r="40" spans="1:26" s="70" customFormat="1" ht="15" hidden="1" customHeight="1" outlineLevel="2" x14ac:dyDescent="0.3">
      <c r="A40" s="21"/>
      <c r="B40" s="9" t="str">
        <f>CONCATENATE("          ","6006"," - ","TEMPORARY PART TIME")</f>
        <v xml:space="preserve">          6006 - TEMPORARY PART TIME</v>
      </c>
      <c r="C40" s="9"/>
      <c r="D40" s="6"/>
      <c r="E40" s="3"/>
      <c r="F40" s="7">
        <f t="shared" si="0"/>
        <v>0</v>
      </c>
      <c r="G40" s="3"/>
      <c r="H40" s="6">
        <v>0</v>
      </c>
      <c r="I40" s="3"/>
      <c r="J40" s="7">
        <f t="shared" si="1"/>
        <v>0</v>
      </c>
      <c r="K40" s="3"/>
      <c r="L40" s="6">
        <f t="shared" si="2"/>
        <v>0</v>
      </c>
      <c r="M40" s="3"/>
      <c r="N40" s="7">
        <f t="shared" si="3"/>
        <v>0</v>
      </c>
      <c r="O40" s="9"/>
      <c r="P40" s="6"/>
      <c r="Q40" s="3"/>
      <c r="R40" s="7">
        <f t="shared" si="4"/>
        <v>0</v>
      </c>
      <c r="S40" s="3"/>
      <c r="T40" s="6">
        <v>0</v>
      </c>
      <c r="U40" s="3"/>
      <c r="V40" s="7">
        <f t="shared" si="5"/>
        <v>0</v>
      </c>
      <c r="W40" s="3"/>
      <c r="X40" s="6">
        <f t="shared" si="6"/>
        <v>0</v>
      </c>
      <c r="Y40" s="3"/>
      <c r="Z40" s="7">
        <f t="shared" si="7"/>
        <v>0</v>
      </c>
    </row>
    <row r="41" spans="1:26" s="70" customFormat="1" ht="15" hidden="1" customHeight="1" outlineLevel="2" x14ac:dyDescent="0.3">
      <c r="A41" s="21"/>
      <c r="B41" s="9" t="str">
        <f>CONCATENATE("          ","6007"," - ","STUDENT HOURLY")</f>
        <v xml:space="preserve">          6007 - STUDENT HOURLY</v>
      </c>
      <c r="C41" s="9"/>
      <c r="D41" s="6">
        <v>481.65</v>
      </c>
      <c r="E41" s="3"/>
      <c r="F41" s="7">
        <f t="shared" si="0"/>
        <v>3.7706676269806477E-2</v>
      </c>
      <c r="G41" s="3"/>
      <c r="H41" s="6">
        <v>0</v>
      </c>
      <c r="I41" s="3"/>
      <c r="J41" s="7">
        <f t="shared" si="1"/>
        <v>0</v>
      </c>
      <c r="K41" s="3"/>
      <c r="L41" s="6">
        <f t="shared" si="2"/>
        <v>481.65</v>
      </c>
      <c r="M41" s="3"/>
      <c r="N41" s="7">
        <f t="shared" si="3"/>
        <v>0</v>
      </c>
      <c r="O41" s="9"/>
      <c r="P41" s="6">
        <v>37517.879999999997</v>
      </c>
      <c r="Q41" s="3"/>
      <c r="R41" s="7">
        <f t="shared" si="4"/>
        <v>0.12484083723954389</v>
      </c>
      <c r="S41" s="3"/>
      <c r="T41" s="6">
        <v>0</v>
      </c>
      <c r="U41" s="3"/>
      <c r="V41" s="7">
        <f t="shared" si="5"/>
        <v>0</v>
      </c>
      <c r="W41" s="3"/>
      <c r="X41" s="6">
        <f t="shared" si="6"/>
        <v>37517.879999999997</v>
      </c>
      <c r="Y41" s="3"/>
      <c r="Z41" s="7">
        <f t="shared" si="7"/>
        <v>0</v>
      </c>
    </row>
    <row r="42" spans="1:26" s="70" customFormat="1" ht="15" hidden="1" customHeight="1" outlineLevel="2" x14ac:dyDescent="0.3">
      <c r="A42" s="21"/>
      <c r="B42" s="9" t="str">
        <f>CONCATENATE("          ","6008"," - ","STUDENT HOURLY-FICA EXEMPT")</f>
        <v xml:space="preserve">          6008 - STUDENT HOURLY-FICA EXEMPT</v>
      </c>
      <c r="C42" s="9"/>
      <c r="D42" s="6"/>
      <c r="E42" s="3"/>
      <c r="F42" s="7">
        <f t="shared" si="0"/>
        <v>0</v>
      </c>
      <c r="G42" s="3"/>
      <c r="H42" s="6">
        <v>2862.5282000000002</v>
      </c>
      <c r="I42" s="3"/>
      <c r="J42" s="7">
        <f t="shared" si="1"/>
        <v>0.30976390001082138</v>
      </c>
      <c r="K42" s="3"/>
      <c r="L42" s="6">
        <f t="shared" si="2"/>
        <v>-2862.5282000000002</v>
      </c>
      <c r="M42" s="3"/>
      <c r="N42" s="7">
        <f t="shared" si="3"/>
        <v>-1</v>
      </c>
      <c r="O42" s="9"/>
      <c r="P42" s="6"/>
      <c r="Q42" s="3"/>
      <c r="R42" s="7">
        <f t="shared" si="4"/>
        <v>0</v>
      </c>
      <c r="S42" s="3"/>
      <c r="T42" s="6">
        <v>60983.434399999998</v>
      </c>
      <c r="U42" s="3"/>
      <c r="V42" s="7">
        <f t="shared" si="5"/>
        <v>0.16960808332522145</v>
      </c>
      <c r="W42" s="3"/>
      <c r="X42" s="6">
        <f t="shared" si="6"/>
        <v>-60983.434399999998</v>
      </c>
      <c r="Y42" s="3"/>
      <c r="Z42" s="7">
        <f t="shared" si="7"/>
        <v>-1</v>
      </c>
    </row>
    <row r="43" spans="1:26" s="70" customFormat="1" ht="15" hidden="1" customHeight="1" outlineLevel="2" x14ac:dyDescent="0.3">
      <c r="A43" s="21"/>
      <c r="B43" s="9" t="str">
        <f>CONCATENATE("          ","6009"," - ","TEMPORARY-SEASONAL")</f>
        <v xml:space="preserve">          6009 - TEMPORARY-SEASONAL</v>
      </c>
      <c r="C43" s="9"/>
      <c r="D43" s="6"/>
      <c r="E43" s="3"/>
      <c r="F43" s="7">
        <f t="shared" si="0"/>
        <v>0</v>
      </c>
      <c r="G43" s="3"/>
      <c r="H43" s="6">
        <v>0</v>
      </c>
      <c r="I43" s="3"/>
      <c r="J43" s="7">
        <f t="shared" si="1"/>
        <v>0</v>
      </c>
      <c r="K43" s="3"/>
      <c r="L43" s="6">
        <f t="shared" si="2"/>
        <v>0</v>
      </c>
      <c r="M43" s="3"/>
      <c r="N43" s="7">
        <f t="shared" si="3"/>
        <v>0</v>
      </c>
      <c r="O43" s="9"/>
      <c r="P43" s="6"/>
      <c r="Q43" s="3"/>
      <c r="R43" s="7">
        <f t="shared" si="4"/>
        <v>0</v>
      </c>
      <c r="S43" s="3"/>
      <c r="T43" s="6">
        <v>0</v>
      </c>
      <c r="U43" s="3"/>
      <c r="V43" s="7">
        <f t="shared" si="5"/>
        <v>0</v>
      </c>
      <c r="W43" s="3"/>
      <c r="X43" s="6">
        <f t="shared" si="6"/>
        <v>0</v>
      </c>
      <c r="Y43" s="3"/>
      <c r="Z43" s="7">
        <f t="shared" si="7"/>
        <v>0</v>
      </c>
    </row>
    <row r="44" spans="1:26" s="70" customFormat="1" ht="15" hidden="1" customHeight="1" outlineLevel="2" x14ac:dyDescent="0.3">
      <c r="A44" s="21"/>
      <c r="B44" s="9" t="str">
        <f>CONCATENATE("          ","6010"," - ","GRATUITY")</f>
        <v xml:space="preserve">          6010 - GRATUITY</v>
      </c>
      <c r="C44" s="9"/>
      <c r="D44" s="6"/>
      <c r="E44" s="3"/>
      <c r="F44" s="7">
        <f t="shared" si="0"/>
        <v>0</v>
      </c>
      <c r="G44" s="3"/>
      <c r="H44" s="6">
        <v>0</v>
      </c>
      <c r="I44" s="3"/>
      <c r="J44" s="7">
        <f t="shared" si="1"/>
        <v>0</v>
      </c>
      <c r="K44" s="3"/>
      <c r="L44" s="6">
        <f t="shared" si="2"/>
        <v>0</v>
      </c>
      <c r="M44" s="3"/>
      <c r="N44" s="7">
        <f t="shared" si="3"/>
        <v>0</v>
      </c>
      <c r="O44" s="9"/>
      <c r="P44" s="6"/>
      <c r="Q44" s="3"/>
      <c r="R44" s="7">
        <f t="shared" si="4"/>
        <v>0</v>
      </c>
      <c r="S44" s="3"/>
      <c r="T44" s="6">
        <v>0</v>
      </c>
      <c r="U44" s="3"/>
      <c r="V44" s="7">
        <f t="shared" si="5"/>
        <v>0</v>
      </c>
      <c r="W44" s="3"/>
      <c r="X44" s="6">
        <f t="shared" si="6"/>
        <v>0</v>
      </c>
      <c r="Y44" s="3"/>
      <c r="Z44" s="7">
        <f t="shared" si="7"/>
        <v>0</v>
      </c>
    </row>
    <row r="45" spans="1:26" s="69" customFormat="1" ht="15" customHeight="1" outlineLevel="1" collapsed="1" x14ac:dyDescent="0.3">
      <c r="A45" s="20"/>
      <c r="B45" s="11" t="str">
        <f>CONCATENATE("     ","Advertising/Promo                                 ")</f>
        <v xml:space="preserve">     Advertising/Promo                                 </v>
      </c>
      <c r="C45" s="11"/>
      <c r="D45" s="2">
        <f>SUM(OSRRefD22_2x_0)</f>
        <v>0</v>
      </c>
      <c r="E45" s="2"/>
      <c r="F45" s="5">
        <f t="shared" si="0"/>
        <v>0</v>
      </c>
      <c r="G45" s="2"/>
      <c r="H45" s="2">
        <f>SUM(OSRRefH22_2x_0)</f>
        <v>0</v>
      </c>
      <c r="I45" s="2"/>
      <c r="J45" s="5">
        <f t="shared" si="1"/>
        <v>0</v>
      </c>
      <c r="K45" s="2"/>
      <c r="L45" s="2">
        <f t="shared" si="2"/>
        <v>0</v>
      </c>
      <c r="M45" s="2"/>
      <c r="N45" s="5">
        <f t="shared" si="3"/>
        <v>0</v>
      </c>
      <c r="O45" s="11"/>
      <c r="P45" s="2">
        <f>SUM(OSRRefP22_2x_0)</f>
        <v>91.22</v>
      </c>
      <c r="Q45" s="2"/>
      <c r="R45" s="5">
        <f t="shared" si="4"/>
        <v>3.0353477256687196E-4</v>
      </c>
      <c r="S45" s="2"/>
      <c r="T45" s="2">
        <f>SUM(OSRRefT22_2x_0)</f>
        <v>0</v>
      </c>
      <c r="U45" s="2"/>
      <c r="V45" s="5">
        <f t="shared" si="5"/>
        <v>0</v>
      </c>
      <c r="W45" s="2"/>
      <c r="X45" s="2">
        <f t="shared" si="6"/>
        <v>91.22</v>
      </c>
      <c r="Y45" s="2"/>
      <c r="Z45" s="5">
        <f t="shared" si="7"/>
        <v>0</v>
      </c>
    </row>
    <row r="46" spans="1:26" s="70" customFormat="1" ht="15" hidden="1" customHeight="1" outlineLevel="2" x14ac:dyDescent="0.3">
      <c r="A46" s="21"/>
      <c r="B46" s="9" t="str">
        <f>CONCATENATE("          ","6362"," - ","ADVERTISING EXPENSE")</f>
        <v xml:space="preserve">          6362 - ADVERTISING EXPENSE</v>
      </c>
      <c r="C46" s="9"/>
      <c r="D46" s="6"/>
      <c r="E46" s="3"/>
      <c r="F46" s="7">
        <f t="shared" si="0"/>
        <v>0</v>
      </c>
      <c r="G46" s="3"/>
      <c r="H46" s="6"/>
      <c r="I46" s="3"/>
      <c r="J46" s="7">
        <f t="shared" si="1"/>
        <v>0</v>
      </c>
      <c r="K46" s="3"/>
      <c r="L46" s="6">
        <f t="shared" si="2"/>
        <v>0</v>
      </c>
      <c r="M46" s="3"/>
      <c r="N46" s="7">
        <f t="shared" si="3"/>
        <v>0</v>
      </c>
      <c r="O46" s="9"/>
      <c r="P46" s="6">
        <v>91.22</v>
      </c>
      <c r="Q46" s="3"/>
      <c r="R46" s="7">
        <f t="shared" si="4"/>
        <v>3.0353477256687196E-4</v>
      </c>
      <c r="S46" s="3"/>
      <c r="T46" s="6"/>
      <c r="U46" s="3"/>
      <c r="V46" s="7">
        <f t="shared" si="5"/>
        <v>0</v>
      </c>
      <c r="W46" s="3"/>
      <c r="X46" s="6">
        <f t="shared" si="6"/>
        <v>91.22</v>
      </c>
      <c r="Y46" s="3"/>
      <c r="Z46" s="7">
        <f t="shared" si="7"/>
        <v>0</v>
      </c>
    </row>
    <row r="47" spans="1:26" s="69" customFormat="1" ht="15" customHeight="1" outlineLevel="1" collapsed="1" x14ac:dyDescent="0.3">
      <c r="A47" s="20"/>
      <c r="B47" s="11" t="str">
        <f>CONCATENATE("     ","Bad Debts/Over/Short                              ")</f>
        <v xml:space="preserve">     Bad Debts/Over/Short                              </v>
      </c>
      <c r="C47" s="11"/>
      <c r="D47" s="2">
        <f>SUM(OSRRefD22_3x_0)</f>
        <v>-97.24</v>
      </c>
      <c r="E47" s="2"/>
      <c r="F47" s="5">
        <f t="shared" si="0"/>
        <v>-7.6125759378718608E-3</v>
      </c>
      <c r="G47" s="2"/>
      <c r="H47" s="2">
        <f>SUM(OSRRefH22_3x_0)</f>
        <v>0</v>
      </c>
      <c r="I47" s="2"/>
      <c r="J47" s="5">
        <f t="shared" si="1"/>
        <v>0</v>
      </c>
      <c r="K47" s="2"/>
      <c r="L47" s="2">
        <f t="shared" si="2"/>
        <v>-97.24</v>
      </c>
      <c r="M47" s="2"/>
      <c r="N47" s="5">
        <f t="shared" si="3"/>
        <v>0</v>
      </c>
      <c r="O47" s="11"/>
      <c r="P47" s="2">
        <f>SUM(OSRRefP22_3x_0)</f>
        <v>-106.88</v>
      </c>
      <c r="Q47" s="2"/>
      <c r="R47" s="5">
        <f t="shared" si="4"/>
        <v>-3.556434607755676E-4</v>
      </c>
      <c r="S47" s="2"/>
      <c r="T47" s="2">
        <f>SUM(OSRRefT22_3x_0)</f>
        <v>0</v>
      </c>
      <c r="U47" s="2"/>
      <c r="V47" s="5">
        <f t="shared" si="5"/>
        <v>0</v>
      </c>
      <c r="W47" s="2"/>
      <c r="X47" s="2">
        <f t="shared" si="6"/>
        <v>-106.88</v>
      </c>
      <c r="Y47" s="2"/>
      <c r="Z47" s="5">
        <f t="shared" si="7"/>
        <v>0</v>
      </c>
    </row>
    <row r="48" spans="1:26" s="70" customFormat="1" ht="15" hidden="1" customHeight="1" outlineLevel="2" x14ac:dyDescent="0.3">
      <c r="A48" s="21"/>
      <c r="B48" s="9" t="str">
        <f>CONCATENATE("          ","6272"," - ","CASH (OVER/SHORT)")</f>
        <v xml:space="preserve">          6272 - CASH (OVER/SHORT)</v>
      </c>
      <c r="C48" s="9"/>
      <c r="D48" s="6">
        <v>-97.24</v>
      </c>
      <c r="E48" s="3"/>
      <c r="F48" s="7">
        <f t="shared" si="0"/>
        <v>-7.6125759378718608E-3</v>
      </c>
      <c r="G48" s="3"/>
      <c r="H48" s="6"/>
      <c r="I48" s="3"/>
      <c r="J48" s="7">
        <f t="shared" si="1"/>
        <v>0</v>
      </c>
      <c r="K48" s="3"/>
      <c r="L48" s="6">
        <f t="shared" si="2"/>
        <v>-97.24</v>
      </c>
      <c r="M48" s="3"/>
      <c r="N48" s="7">
        <f t="shared" si="3"/>
        <v>0</v>
      </c>
      <c r="O48" s="9"/>
      <c r="P48" s="6">
        <v>-106.88</v>
      </c>
      <c r="Q48" s="3"/>
      <c r="R48" s="7">
        <f t="shared" si="4"/>
        <v>-3.556434607755676E-4</v>
      </c>
      <c r="S48" s="3"/>
      <c r="T48" s="6">
        <v>0</v>
      </c>
      <c r="U48" s="3"/>
      <c r="V48" s="7">
        <f t="shared" si="5"/>
        <v>0</v>
      </c>
      <c r="W48" s="3"/>
      <c r="X48" s="6">
        <f t="shared" si="6"/>
        <v>-106.88</v>
      </c>
      <c r="Y48" s="3"/>
      <c r="Z48" s="7">
        <f t="shared" si="7"/>
        <v>0</v>
      </c>
    </row>
    <row r="49" spans="1:26" s="69" customFormat="1" ht="15" customHeight="1" outlineLevel="1" collapsed="1" x14ac:dyDescent="0.3">
      <c r="A49" s="20"/>
      <c r="B49" s="11" t="str">
        <f>CONCATENATE("     ","Bank/card Fees                                    ")</f>
        <v xml:space="preserve">     Bank/card Fees                                    </v>
      </c>
      <c r="C49" s="11"/>
      <c r="D49" s="2">
        <f>SUM(OSRRefD22_4x_0)</f>
        <v>465.94</v>
      </c>
      <c r="E49" s="2"/>
      <c r="F49" s="5">
        <f t="shared" si="0"/>
        <v>3.6476795891526276E-2</v>
      </c>
      <c r="G49" s="2"/>
      <c r="H49" s="2">
        <f>SUM(OSRRefH22_4x_0)</f>
        <v>550</v>
      </c>
      <c r="I49" s="2"/>
      <c r="J49" s="5">
        <f t="shared" si="1"/>
        <v>5.951736825018937E-2</v>
      </c>
      <c r="K49" s="2"/>
      <c r="L49" s="2">
        <f t="shared" si="2"/>
        <v>-84.06</v>
      </c>
      <c r="M49" s="2"/>
      <c r="N49" s="5">
        <f t="shared" si="3"/>
        <v>-0.15283636363636363</v>
      </c>
      <c r="O49" s="11"/>
      <c r="P49" s="2">
        <f>SUM(OSRRefP22_4x_0)</f>
        <v>11977.17</v>
      </c>
      <c r="Q49" s="2"/>
      <c r="R49" s="5">
        <f t="shared" si="4"/>
        <v>3.9854062397991254E-2</v>
      </c>
      <c r="S49" s="2"/>
      <c r="T49" s="2">
        <f>SUM(OSRRefT22_4x_0)</f>
        <v>19008</v>
      </c>
      <c r="U49" s="2"/>
      <c r="V49" s="5">
        <f t="shared" si="5"/>
        <v>5.2865347443367496E-2</v>
      </c>
      <c r="W49" s="2"/>
      <c r="X49" s="2">
        <f t="shared" si="6"/>
        <v>-7030.83</v>
      </c>
      <c r="Y49" s="2"/>
      <c r="Z49" s="5">
        <f t="shared" si="7"/>
        <v>-0.36988794191919194</v>
      </c>
    </row>
    <row r="50" spans="1:26" s="70" customFormat="1" ht="15" hidden="1" customHeight="1" outlineLevel="2" x14ac:dyDescent="0.3">
      <c r="A50" s="21"/>
      <c r="B50" s="9" t="str">
        <f>CONCATENATE("          ","6381"," - ","BANK/CREDIT CARD FEES")</f>
        <v xml:space="preserve">          6381 - BANK/CREDIT CARD FEES</v>
      </c>
      <c r="C50" s="9"/>
      <c r="D50" s="6">
        <v>465.94</v>
      </c>
      <c r="E50" s="3"/>
      <c r="F50" s="7">
        <f t="shared" si="0"/>
        <v>3.6476795891526276E-2</v>
      </c>
      <c r="G50" s="3"/>
      <c r="H50" s="6">
        <v>550</v>
      </c>
      <c r="I50" s="3"/>
      <c r="J50" s="7">
        <f t="shared" si="1"/>
        <v>5.951736825018937E-2</v>
      </c>
      <c r="K50" s="3"/>
      <c r="L50" s="6">
        <f t="shared" si="2"/>
        <v>-84.06</v>
      </c>
      <c r="M50" s="3"/>
      <c r="N50" s="7">
        <f t="shared" si="3"/>
        <v>-0.15283636363636363</v>
      </c>
      <c r="O50" s="9"/>
      <c r="P50" s="6">
        <v>11977.17</v>
      </c>
      <c r="Q50" s="3"/>
      <c r="R50" s="7">
        <f t="shared" si="4"/>
        <v>3.9854062397991254E-2</v>
      </c>
      <c r="S50" s="3"/>
      <c r="T50" s="6">
        <v>19008</v>
      </c>
      <c r="U50" s="3"/>
      <c r="V50" s="7">
        <f t="shared" si="5"/>
        <v>5.2865347443367496E-2</v>
      </c>
      <c r="W50" s="3"/>
      <c r="X50" s="6">
        <f t="shared" si="6"/>
        <v>-7030.83</v>
      </c>
      <c r="Y50" s="3"/>
      <c r="Z50" s="7">
        <f t="shared" si="7"/>
        <v>-0.36988794191919194</v>
      </c>
    </row>
    <row r="51" spans="1:26" s="69" customFormat="1" ht="15" customHeight="1" outlineLevel="1" collapsed="1" x14ac:dyDescent="0.3">
      <c r="A51" s="20"/>
      <c r="B51" s="11" t="str">
        <f>CONCATENATE("     ","Depreciation                                      ")</f>
        <v xml:space="preserve">     Depreciation                                      </v>
      </c>
      <c r="C51" s="11"/>
      <c r="D51" s="2">
        <f>SUM(OSRRefD22_5x_0)</f>
        <v>5471.12</v>
      </c>
      <c r="E51" s="2"/>
      <c r="F51" s="5">
        <f t="shared" si="0"/>
        <v>0.42831464896348725</v>
      </c>
      <c r="G51" s="2"/>
      <c r="H51" s="2">
        <f>SUM(OSRRefH22_5x_0)</f>
        <v>5471</v>
      </c>
      <c r="I51" s="2"/>
      <c r="J51" s="5">
        <f t="shared" si="1"/>
        <v>0.59203549399415645</v>
      </c>
      <c r="K51" s="2"/>
      <c r="L51" s="2">
        <f t="shared" si="2"/>
        <v>0.11999999999989086</v>
      </c>
      <c r="M51" s="2"/>
      <c r="N51" s="5">
        <f t="shared" si="3"/>
        <v>2.1933832937285847E-5</v>
      </c>
      <c r="O51" s="11"/>
      <c r="P51" s="2">
        <f>SUM(OSRRefP22_5x_0)</f>
        <v>65654.429999999993</v>
      </c>
      <c r="Q51" s="2"/>
      <c r="R51" s="5">
        <f t="shared" si="4"/>
        <v>0.21846527601466362</v>
      </c>
      <c r="S51" s="2"/>
      <c r="T51" s="2">
        <f>SUM(OSRRefT22_5x_0)</f>
        <v>65652</v>
      </c>
      <c r="U51" s="2"/>
      <c r="V51" s="5">
        <f t="shared" si="5"/>
        <v>0.18259237112541893</v>
      </c>
      <c r="W51" s="2"/>
      <c r="X51" s="2">
        <f t="shared" si="6"/>
        <v>2.4299999999930151</v>
      </c>
      <c r="Y51" s="2"/>
      <c r="Z51" s="5">
        <f t="shared" si="7"/>
        <v>3.7013343081597135E-5</v>
      </c>
    </row>
    <row r="52" spans="1:26" s="70" customFormat="1" ht="15" hidden="1" customHeight="1" outlineLevel="2" x14ac:dyDescent="0.3">
      <c r="A52" s="21"/>
      <c r="B52" s="9" t="str">
        <f>CONCATENATE("          ","6321"," - ","BUILDING DEPRECIATION")</f>
        <v xml:space="preserve">          6321 - BUILDING DEPRECIATION</v>
      </c>
      <c r="C52" s="9"/>
      <c r="D52" s="6">
        <v>5080.4799999999996</v>
      </c>
      <c r="E52" s="3"/>
      <c r="F52" s="7">
        <f t="shared" si="0"/>
        <v>0.39773282394939563</v>
      </c>
      <c r="G52" s="3"/>
      <c r="H52" s="6"/>
      <c r="I52" s="3"/>
      <c r="J52" s="7">
        <f t="shared" si="1"/>
        <v>0</v>
      </c>
      <c r="K52" s="3"/>
      <c r="L52" s="6">
        <f t="shared" si="2"/>
        <v>5080.4799999999996</v>
      </c>
      <c r="M52" s="3"/>
      <c r="N52" s="7">
        <f t="shared" si="3"/>
        <v>0</v>
      </c>
      <c r="O52" s="9"/>
      <c r="P52" s="6">
        <v>60966.09</v>
      </c>
      <c r="Q52" s="3"/>
      <c r="R52" s="7">
        <f t="shared" si="4"/>
        <v>0.20286481322562427</v>
      </c>
      <c r="S52" s="3"/>
      <c r="T52" s="6"/>
      <c r="U52" s="3"/>
      <c r="V52" s="7">
        <f t="shared" si="5"/>
        <v>0</v>
      </c>
      <c r="W52" s="3"/>
      <c r="X52" s="6">
        <f t="shared" si="6"/>
        <v>60966.09</v>
      </c>
      <c r="Y52" s="3"/>
      <c r="Z52" s="7">
        <f t="shared" si="7"/>
        <v>0</v>
      </c>
    </row>
    <row r="53" spans="1:26" s="70" customFormat="1" ht="15" hidden="1" customHeight="1" outlineLevel="2" x14ac:dyDescent="0.3">
      <c r="A53" s="21"/>
      <c r="B53" s="9" t="str">
        <f>CONCATENATE("          ","6322"," - ","EQUIPMENT DEPRECIATION EXPENSE")</f>
        <v xml:space="preserve">          6322 - EQUIPMENT DEPRECIATION EXPENSE</v>
      </c>
      <c r="C53" s="9"/>
      <c r="D53" s="6">
        <v>390.64</v>
      </c>
      <c r="E53" s="3"/>
      <c r="F53" s="7">
        <f t="shared" si="0"/>
        <v>3.0581825014091565E-2</v>
      </c>
      <c r="G53" s="3"/>
      <c r="H53" s="6">
        <v>5471</v>
      </c>
      <c r="I53" s="3"/>
      <c r="J53" s="7">
        <f t="shared" si="1"/>
        <v>0.59203549399415645</v>
      </c>
      <c r="K53" s="3"/>
      <c r="L53" s="6">
        <f t="shared" si="2"/>
        <v>-5080.3599999999997</v>
      </c>
      <c r="M53" s="3"/>
      <c r="N53" s="7">
        <f t="shared" si="3"/>
        <v>-0.92859806251142385</v>
      </c>
      <c r="O53" s="9"/>
      <c r="P53" s="6">
        <v>4688.34</v>
      </c>
      <c r="Q53" s="3"/>
      <c r="R53" s="7">
        <f t="shared" si="4"/>
        <v>1.560046278903934E-2</v>
      </c>
      <c r="S53" s="3"/>
      <c r="T53" s="6">
        <v>65652</v>
      </c>
      <c r="U53" s="3"/>
      <c r="V53" s="7">
        <f t="shared" si="5"/>
        <v>0.18259237112541893</v>
      </c>
      <c r="W53" s="3"/>
      <c r="X53" s="6">
        <f t="shared" si="6"/>
        <v>-60963.66</v>
      </c>
      <c r="Y53" s="3"/>
      <c r="Z53" s="7">
        <f t="shared" si="7"/>
        <v>-0.92858800950466103</v>
      </c>
    </row>
    <row r="54" spans="1:26" s="69" customFormat="1" ht="15" customHeight="1" outlineLevel="1" collapsed="1" x14ac:dyDescent="0.3">
      <c r="A54" s="20"/>
      <c r="B54" s="11" t="str">
        <f>CONCATENATE("     ","Employees' Appreciation                           ")</f>
        <v xml:space="preserve">     Employees' Appreciation                           </v>
      </c>
      <c r="C54" s="11"/>
      <c r="D54" s="2">
        <f>SUM(OSRRefD22_6x_0)</f>
        <v>0</v>
      </c>
      <c r="E54" s="2"/>
      <c r="F54" s="5">
        <f t="shared" si="0"/>
        <v>0</v>
      </c>
      <c r="G54" s="2"/>
      <c r="H54" s="2">
        <f>SUM(OSRRefH22_6x_0)</f>
        <v>0</v>
      </c>
      <c r="I54" s="2"/>
      <c r="J54" s="5">
        <f t="shared" si="1"/>
        <v>0</v>
      </c>
      <c r="K54" s="2"/>
      <c r="L54" s="2">
        <f t="shared" si="2"/>
        <v>0</v>
      </c>
      <c r="M54" s="2"/>
      <c r="N54" s="5">
        <f t="shared" si="3"/>
        <v>0</v>
      </c>
      <c r="O54" s="11"/>
      <c r="P54" s="2">
        <f>SUM(OSRRefP22_6x_0)</f>
        <v>16.2</v>
      </c>
      <c r="Q54" s="2"/>
      <c r="R54" s="5">
        <f t="shared" si="4"/>
        <v>5.3905539526236851E-5</v>
      </c>
      <c r="S54" s="2"/>
      <c r="T54" s="2">
        <f>SUM(OSRRefT22_6x_0)</f>
        <v>100</v>
      </c>
      <c r="U54" s="2"/>
      <c r="V54" s="5">
        <f t="shared" si="5"/>
        <v>2.7812156693690811E-4</v>
      </c>
      <c r="W54" s="2"/>
      <c r="X54" s="2">
        <f t="shared" si="6"/>
        <v>-83.8</v>
      </c>
      <c r="Y54" s="2"/>
      <c r="Z54" s="5">
        <f t="shared" si="7"/>
        <v>-0.83799999999999997</v>
      </c>
    </row>
    <row r="55" spans="1:26" s="70" customFormat="1" ht="15" hidden="1" customHeight="1" outlineLevel="2" x14ac:dyDescent="0.3">
      <c r="A55" s="21"/>
      <c r="B55" s="9" t="str">
        <f>CONCATENATE("          ","6277"," - ","EMPLOYEE APPRECIATION")</f>
        <v xml:space="preserve">          6277 - EMPLOYEE APPRECIATION</v>
      </c>
      <c r="C55" s="9"/>
      <c r="D55" s="6"/>
      <c r="E55" s="3"/>
      <c r="F55" s="7">
        <f t="shared" ref="F55:F85" si="8">IF(D$12=0,0,D55/D$12)</f>
        <v>0</v>
      </c>
      <c r="G55" s="3"/>
      <c r="H55" s="6"/>
      <c r="I55" s="3"/>
      <c r="J55" s="7">
        <f t="shared" ref="J55:J85" si="9">IF(H$12=0,0,H55/H$12)</f>
        <v>0</v>
      </c>
      <c r="K55" s="3"/>
      <c r="L55" s="6">
        <f t="shared" ref="L55:L85" si="10">+D55-H55</f>
        <v>0</v>
      </c>
      <c r="M55" s="3"/>
      <c r="N55" s="7">
        <f t="shared" ref="N55:N85" si="11">IF(H55=0,0,L55/H55)</f>
        <v>0</v>
      </c>
      <c r="O55" s="9"/>
      <c r="P55" s="6">
        <v>16.2</v>
      </c>
      <c r="Q55" s="3"/>
      <c r="R55" s="7">
        <f t="shared" ref="R55:R85" si="12">IF(P$12=0,0,P55/P$12)</f>
        <v>5.3905539526236851E-5</v>
      </c>
      <c r="S55" s="3"/>
      <c r="T55" s="6">
        <v>100</v>
      </c>
      <c r="U55" s="3"/>
      <c r="V55" s="7">
        <f t="shared" ref="V55:V85" si="13">IF(T$12=0,0,T55/T$12)</f>
        <v>2.7812156693690811E-4</v>
      </c>
      <c r="W55" s="3"/>
      <c r="X55" s="6">
        <f t="shared" ref="X55:X85" si="14">+P55-T55</f>
        <v>-83.8</v>
      </c>
      <c r="Y55" s="3"/>
      <c r="Z55" s="7">
        <f t="shared" ref="Z55:Z85" si="15">IF(T55=0,0,X55/T55)</f>
        <v>-0.83799999999999997</v>
      </c>
    </row>
    <row r="56" spans="1:26" s="69" customFormat="1" ht="15" customHeight="1" outlineLevel="1" collapsed="1" x14ac:dyDescent="0.3">
      <c r="A56" s="20"/>
      <c r="B56" s="11" t="str">
        <f>CONCATENATE("     ","Equipment Rental                                  ")</f>
        <v xml:space="preserve">     Equipment Rental                                  </v>
      </c>
      <c r="C56" s="11"/>
      <c r="D56" s="2">
        <f>SUM(OSRRefD22_7x_0)</f>
        <v>0</v>
      </c>
      <c r="E56" s="2"/>
      <c r="F56" s="5">
        <f t="shared" si="8"/>
        <v>0</v>
      </c>
      <c r="G56" s="2"/>
      <c r="H56" s="2">
        <f>SUM(OSRRefH22_7x_0)</f>
        <v>176</v>
      </c>
      <c r="I56" s="2"/>
      <c r="J56" s="5">
        <f t="shared" si="9"/>
        <v>1.9045557840060599E-2</v>
      </c>
      <c r="K56" s="2"/>
      <c r="L56" s="2">
        <f t="shared" si="10"/>
        <v>-176</v>
      </c>
      <c r="M56" s="2"/>
      <c r="N56" s="5">
        <f t="shared" si="11"/>
        <v>-1</v>
      </c>
      <c r="O56" s="11"/>
      <c r="P56" s="2">
        <f>SUM(OSRRefP22_7x_0)</f>
        <v>0</v>
      </c>
      <c r="Q56" s="2"/>
      <c r="R56" s="5">
        <f t="shared" si="12"/>
        <v>0</v>
      </c>
      <c r="S56" s="2"/>
      <c r="T56" s="2">
        <f>SUM(OSRRefT22_7x_0)</f>
        <v>2112</v>
      </c>
      <c r="U56" s="2"/>
      <c r="V56" s="5">
        <f t="shared" si="13"/>
        <v>5.8739274937074995E-3</v>
      </c>
      <c r="W56" s="2"/>
      <c r="X56" s="2">
        <f t="shared" si="14"/>
        <v>-2112</v>
      </c>
      <c r="Y56" s="2"/>
      <c r="Z56" s="5">
        <f t="shared" si="15"/>
        <v>-1</v>
      </c>
    </row>
    <row r="57" spans="1:26" s="70" customFormat="1" ht="15" hidden="1" customHeight="1" outlineLevel="2" x14ac:dyDescent="0.3">
      <c r="A57" s="21"/>
      <c r="B57" s="9" t="str">
        <f>CONCATENATE("          ","6351"," - ","EQUIPMENT RENTAL")</f>
        <v xml:space="preserve">          6351 - EQUIPMENT RENTAL</v>
      </c>
      <c r="C57" s="9"/>
      <c r="D57" s="6"/>
      <c r="E57" s="3"/>
      <c r="F57" s="7">
        <f t="shared" si="8"/>
        <v>0</v>
      </c>
      <c r="G57" s="3"/>
      <c r="H57" s="6">
        <v>176</v>
      </c>
      <c r="I57" s="3"/>
      <c r="J57" s="7">
        <f t="shared" si="9"/>
        <v>1.9045557840060599E-2</v>
      </c>
      <c r="K57" s="3"/>
      <c r="L57" s="6">
        <f t="shared" si="10"/>
        <v>-176</v>
      </c>
      <c r="M57" s="3"/>
      <c r="N57" s="7">
        <f t="shared" si="11"/>
        <v>-1</v>
      </c>
      <c r="O57" s="9"/>
      <c r="P57" s="6"/>
      <c r="Q57" s="3"/>
      <c r="R57" s="7">
        <f t="shared" si="12"/>
        <v>0</v>
      </c>
      <c r="S57" s="3"/>
      <c r="T57" s="6">
        <v>2112</v>
      </c>
      <c r="U57" s="3"/>
      <c r="V57" s="7">
        <f t="shared" si="13"/>
        <v>5.8739274937074995E-3</v>
      </c>
      <c r="W57" s="3"/>
      <c r="X57" s="6">
        <f t="shared" si="14"/>
        <v>-2112</v>
      </c>
      <c r="Y57" s="3"/>
      <c r="Z57" s="7">
        <f t="shared" si="15"/>
        <v>-1</v>
      </c>
    </row>
    <row r="58" spans="1:26" s="69" customFormat="1" ht="15" customHeight="1" outlineLevel="1" collapsed="1" x14ac:dyDescent="0.3">
      <c r="A58" s="20"/>
      <c r="B58" s="11" t="str">
        <f>CONCATENATE("     ","General                                           ")</f>
        <v xml:space="preserve">     General                                           </v>
      </c>
      <c r="C58" s="11"/>
      <c r="D58" s="2">
        <f>SUM(OSRRefD22_8x_0)</f>
        <v>0</v>
      </c>
      <c r="E58" s="2"/>
      <c r="F58" s="5">
        <f t="shared" si="8"/>
        <v>0</v>
      </c>
      <c r="G58" s="2"/>
      <c r="H58" s="2">
        <f>SUM(OSRRefH22_8x_0)</f>
        <v>0</v>
      </c>
      <c r="I58" s="2"/>
      <c r="J58" s="5">
        <f t="shared" si="9"/>
        <v>0</v>
      </c>
      <c r="K58" s="2"/>
      <c r="L58" s="2">
        <f t="shared" si="10"/>
        <v>0</v>
      </c>
      <c r="M58" s="2"/>
      <c r="N58" s="5">
        <f t="shared" si="11"/>
        <v>0</v>
      </c>
      <c r="O58" s="11"/>
      <c r="P58" s="2">
        <f>SUM(OSRRefP22_8x_0)</f>
        <v>1002.45</v>
      </c>
      <c r="Q58" s="2"/>
      <c r="R58" s="5">
        <f t="shared" si="12"/>
        <v>3.3356548208688976E-3</v>
      </c>
      <c r="S58" s="2"/>
      <c r="T58" s="2">
        <f>SUM(OSRRefT22_8x_0)</f>
        <v>455</v>
      </c>
      <c r="U58" s="2"/>
      <c r="V58" s="5">
        <f t="shared" si="13"/>
        <v>1.2654531295629319E-3</v>
      </c>
      <c r="W58" s="2"/>
      <c r="X58" s="2">
        <f t="shared" si="14"/>
        <v>547.45000000000005</v>
      </c>
      <c r="Y58" s="2"/>
      <c r="Z58" s="5">
        <f t="shared" si="15"/>
        <v>1.2031868131868133</v>
      </c>
    </row>
    <row r="59" spans="1:26" s="70" customFormat="1" ht="15" hidden="1" customHeight="1" outlineLevel="2" x14ac:dyDescent="0.3">
      <c r="A59" s="21"/>
      <c r="B59" s="9" t="str">
        <f>CONCATENATE("          ","6279"," - ","GENERAL EXPENSE")</f>
        <v xml:space="preserve">          6279 - GENERAL EXPENSE</v>
      </c>
      <c r="C59" s="9"/>
      <c r="D59" s="6"/>
      <c r="E59" s="3"/>
      <c r="F59" s="7">
        <f t="shared" si="8"/>
        <v>0</v>
      </c>
      <c r="G59" s="3"/>
      <c r="H59" s="6"/>
      <c r="I59" s="3"/>
      <c r="J59" s="7">
        <f t="shared" si="9"/>
        <v>0</v>
      </c>
      <c r="K59" s="3"/>
      <c r="L59" s="6">
        <f t="shared" si="10"/>
        <v>0</v>
      </c>
      <c r="M59" s="3"/>
      <c r="N59" s="7">
        <f t="shared" si="11"/>
        <v>0</v>
      </c>
      <c r="O59" s="9"/>
      <c r="P59" s="6">
        <v>1002.45</v>
      </c>
      <c r="Q59" s="3"/>
      <c r="R59" s="7">
        <f t="shared" si="12"/>
        <v>3.3356548208688976E-3</v>
      </c>
      <c r="S59" s="3"/>
      <c r="T59" s="6">
        <v>455</v>
      </c>
      <c r="U59" s="3"/>
      <c r="V59" s="7">
        <f t="shared" si="13"/>
        <v>1.2654531295629319E-3</v>
      </c>
      <c r="W59" s="3"/>
      <c r="X59" s="6">
        <f t="shared" si="14"/>
        <v>547.45000000000005</v>
      </c>
      <c r="Y59" s="3"/>
      <c r="Z59" s="7">
        <f t="shared" si="15"/>
        <v>1.2031868131868133</v>
      </c>
    </row>
    <row r="60" spans="1:26" s="69" customFormat="1" ht="15" customHeight="1" outlineLevel="1" collapsed="1" x14ac:dyDescent="0.3">
      <c r="A60" s="20"/>
      <c r="B60" s="11" t="str">
        <f>CONCATENATE("     ","Insurance                                         ")</f>
        <v xml:space="preserve">     Insurance                                         </v>
      </c>
      <c r="C60" s="11"/>
      <c r="D60" s="2">
        <f>SUM(OSRRefD22_9x_0)</f>
        <v>-102.81</v>
      </c>
      <c r="E60" s="2"/>
      <c r="F60" s="5">
        <f t="shared" si="8"/>
        <v>-8.0486315525771911E-3</v>
      </c>
      <c r="G60" s="2"/>
      <c r="H60" s="2">
        <f>SUM(OSRRefH22_9x_0)</f>
        <v>330</v>
      </c>
      <c r="I60" s="2"/>
      <c r="J60" s="5">
        <f t="shared" si="9"/>
        <v>3.5710420950113626E-2</v>
      </c>
      <c r="K60" s="2"/>
      <c r="L60" s="2">
        <f t="shared" si="10"/>
        <v>-432.81</v>
      </c>
      <c r="M60" s="2"/>
      <c r="N60" s="5">
        <f t="shared" si="11"/>
        <v>-1.3115454545454546</v>
      </c>
      <c r="O60" s="11"/>
      <c r="P60" s="2">
        <f>SUM(OSRRefP22_9x_0)</f>
        <v>3538.3</v>
      </c>
      <c r="Q60" s="2"/>
      <c r="R60" s="5">
        <f t="shared" si="12"/>
        <v>1.1773701883066905E-2</v>
      </c>
      <c r="S60" s="2"/>
      <c r="T60" s="2">
        <f>SUM(OSRRefT22_9x_0)</f>
        <v>3960</v>
      </c>
      <c r="U60" s="2"/>
      <c r="V60" s="5">
        <f t="shared" si="13"/>
        <v>1.1013614050701562E-2</v>
      </c>
      <c r="W60" s="2"/>
      <c r="X60" s="2">
        <f t="shared" si="14"/>
        <v>-421.69999999999982</v>
      </c>
      <c r="Y60" s="2"/>
      <c r="Z60" s="5">
        <f t="shared" si="15"/>
        <v>-0.10648989898989894</v>
      </c>
    </row>
    <row r="61" spans="1:26" s="70" customFormat="1" ht="15" hidden="1" customHeight="1" outlineLevel="2" x14ac:dyDescent="0.3">
      <c r="A61" s="21"/>
      <c r="B61" s="9" t="str">
        <f>CONCATENATE("          ","6314"," - ","LIABILITY INSURANCE")</f>
        <v xml:space="preserve">          6314 - LIABILITY INSURANCE</v>
      </c>
      <c r="C61" s="9"/>
      <c r="D61" s="6">
        <v>-102.81</v>
      </c>
      <c r="E61" s="3"/>
      <c r="F61" s="7">
        <f t="shared" si="8"/>
        <v>-8.0486315525771911E-3</v>
      </c>
      <c r="G61" s="3"/>
      <c r="H61" s="6">
        <v>330</v>
      </c>
      <c r="I61" s="3"/>
      <c r="J61" s="7">
        <f t="shared" si="9"/>
        <v>3.5710420950113626E-2</v>
      </c>
      <c r="K61" s="3"/>
      <c r="L61" s="6">
        <f t="shared" si="10"/>
        <v>-432.81</v>
      </c>
      <c r="M61" s="3"/>
      <c r="N61" s="7">
        <f t="shared" si="11"/>
        <v>-1.3115454545454546</v>
      </c>
      <c r="O61" s="9"/>
      <c r="P61" s="6">
        <v>3538.3</v>
      </c>
      <c r="Q61" s="3"/>
      <c r="R61" s="7">
        <f t="shared" si="12"/>
        <v>1.1773701883066905E-2</v>
      </c>
      <c r="S61" s="3"/>
      <c r="T61" s="6">
        <v>3960</v>
      </c>
      <c r="U61" s="3"/>
      <c r="V61" s="7">
        <f t="shared" si="13"/>
        <v>1.1013614050701562E-2</v>
      </c>
      <c r="W61" s="3"/>
      <c r="X61" s="6">
        <f t="shared" si="14"/>
        <v>-421.69999999999982</v>
      </c>
      <c r="Y61" s="3"/>
      <c r="Z61" s="7">
        <f t="shared" si="15"/>
        <v>-0.10648989898989894</v>
      </c>
    </row>
    <row r="62" spans="1:26" s="69" customFormat="1" ht="15" customHeight="1" outlineLevel="1" collapsed="1" x14ac:dyDescent="0.3">
      <c r="A62" s="20"/>
      <c r="B62" s="11" t="str">
        <f>CONCATENATE("     ","Interest                                          ")</f>
        <v xml:space="preserve">     Interest                                          </v>
      </c>
      <c r="C62" s="11"/>
      <c r="D62" s="2">
        <f>SUM(OSRRefD22_10x_0)</f>
        <v>3905</v>
      </c>
      <c r="E62" s="2"/>
      <c r="F62" s="5">
        <f t="shared" si="8"/>
        <v>0.30570864908874557</v>
      </c>
      <c r="G62" s="2"/>
      <c r="H62" s="2">
        <f>SUM(OSRRefH22_10x_0)</f>
        <v>3760</v>
      </c>
      <c r="I62" s="2"/>
      <c r="J62" s="5">
        <f t="shared" si="9"/>
        <v>0.40688237203765826</v>
      </c>
      <c r="K62" s="2"/>
      <c r="L62" s="2">
        <f t="shared" si="10"/>
        <v>145</v>
      </c>
      <c r="M62" s="2"/>
      <c r="N62" s="5">
        <f t="shared" si="11"/>
        <v>3.8563829787234043E-2</v>
      </c>
      <c r="O62" s="11"/>
      <c r="P62" s="2">
        <f>SUM(OSRRefP22_10x_0)</f>
        <v>45710</v>
      </c>
      <c r="Q62" s="2"/>
      <c r="R62" s="5">
        <f t="shared" si="12"/>
        <v>0.1521001365274251</v>
      </c>
      <c r="S62" s="2"/>
      <c r="T62" s="2">
        <f>SUM(OSRRefT22_10x_0)</f>
        <v>46570</v>
      </c>
      <c r="U62" s="2"/>
      <c r="V62" s="5">
        <f t="shared" si="13"/>
        <v>0.12952121372251812</v>
      </c>
      <c r="W62" s="2"/>
      <c r="X62" s="2">
        <f t="shared" si="14"/>
        <v>-860</v>
      </c>
      <c r="Y62" s="2"/>
      <c r="Z62" s="5">
        <f t="shared" si="15"/>
        <v>-1.8466824135709683E-2</v>
      </c>
    </row>
    <row r="63" spans="1:26" s="70" customFormat="1" ht="15" hidden="1" customHeight="1" outlineLevel="2" x14ac:dyDescent="0.3">
      <c r="A63" s="21"/>
      <c r="B63" s="9" t="str">
        <f>CONCATENATE("          ","6401"," - ","INTEREST EXPENSE")</f>
        <v xml:space="preserve">          6401 - INTEREST EXPENSE</v>
      </c>
      <c r="C63" s="9"/>
      <c r="D63" s="6">
        <v>3905</v>
      </c>
      <c r="E63" s="3"/>
      <c r="F63" s="7">
        <f t="shared" si="8"/>
        <v>0.30570864908874557</v>
      </c>
      <c r="G63" s="3"/>
      <c r="H63" s="6">
        <v>3760</v>
      </c>
      <c r="I63" s="3"/>
      <c r="J63" s="7">
        <f t="shared" si="9"/>
        <v>0.40688237203765826</v>
      </c>
      <c r="K63" s="3"/>
      <c r="L63" s="6">
        <f t="shared" si="10"/>
        <v>145</v>
      </c>
      <c r="M63" s="3"/>
      <c r="N63" s="7">
        <f t="shared" si="11"/>
        <v>3.8563829787234043E-2</v>
      </c>
      <c r="O63" s="9"/>
      <c r="P63" s="6">
        <v>45710</v>
      </c>
      <c r="Q63" s="3"/>
      <c r="R63" s="7">
        <f t="shared" si="12"/>
        <v>0.1521001365274251</v>
      </c>
      <c r="S63" s="3"/>
      <c r="T63" s="6">
        <v>46570</v>
      </c>
      <c r="U63" s="3"/>
      <c r="V63" s="7">
        <f t="shared" si="13"/>
        <v>0.12952121372251812</v>
      </c>
      <c r="W63" s="3"/>
      <c r="X63" s="6">
        <f t="shared" si="14"/>
        <v>-860</v>
      </c>
      <c r="Y63" s="3"/>
      <c r="Z63" s="7">
        <f t="shared" si="15"/>
        <v>-1.8466824135709683E-2</v>
      </c>
    </row>
    <row r="64" spans="1:26" s="69" customFormat="1" ht="15" customHeight="1" outlineLevel="1" collapsed="1" x14ac:dyDescent="0.3">
      <c r="A64" s="20"/>
      <c r="B64" s="11" t="str">
        <f>CONCATENATE("     ","Repair and Maintenance                            ")</f>
        <v xml:space="preserve">     Repair and Maintenance                            </v>
      </c>
      <c r="C64" s="11"/>
      <c r="D64" s="2">
        <f>SUM(OSRRefD22_11x_0)</f>
        <v>1489.02</v>
      </c>
      <c r="E64" s="2"/>
      <c r="F64" s="5">
        <f t="shared" si="8"/>
        <v>0.11657011335880255</v>
      </c>
      <c r="G64" s="2"/>
      <c r="H64" s="2">
        <f>SUM(OSRRefH22_11x_0)</f>
        <v>100</v>
      </c>
      <c r="I64" s="2"/>
      <c r="J64" s="5">
        <f t="shared" si="9"/>
        <v>1.0821339681852614E-2</v>
      </c>
      <c r="K64" s="2"/>
      <c r="L64" s="2">
        <f t="shared" si="10"/>
        <v>1389.02</v>
      </c>
      <c r="M64" s="2"/>
      <c r="N64" s="5">
        <f t="shared" si="11"/>
        <v>13.8902</v>
      </c>
      <c r="O64" s="11"/>
      <c r="P64" s="2">
        <f>SUM(OSRRefP22_11x_0)</f>
        <v>4383.95</v>
      </c>
      <c r="Q64" s="2"/>
      <c r="R64" s="5">
        <f t="shared" si="12"/>
        <v>1.4587604321360867E-2</v>
      </c>
      <c r="S64" s="2"/>
      <c r="T64" s="2">
        <f>SUM(OSRRefT22_11x_0)</f>
        <v>5713</v>
      </c>
      <c r="U64" s="2"/>
      <c r="V64" s="5">
        <f t="shared" si="13"/>
        <v>1.5889085119105559E-2</v>
      </c>
      <c r="W64" s="2"/>
      <c r="X64" s="2">
        <f t="shared" si="14"/>
        <v>-1329.0500000000002</v>
      </c>
      <c r="Y64" s="2"/>
      <c r="Z64" s="5">
        <f t="shared" si="15"/>
        <v>-0.23263609312095224</v>
      </c>
    </row>
    <row r="65" spans="1:26" s="70" customFormat="1" ht="15" hidden="1" customHeight="1" outlineLevel="2" x14ac:dyDescent="0.3">
      <c r="A65" s="21"/>
      <c r="B65" s="9" t="str">
        <f>CONCATENATE("          ","6371"," - ","COMPUTER SOFTWARE MAINTENANCE")</f>
        <v xml:space="preserve">          6371 - COMPUTER SOFTWARE MAINTENANCE</v>
      </c>
      <c r="C65" s="9"/>
      <c r="D65" s="6"/>
      <c r="E65" s="3"/>
      <c r="F65" s="7">
        <f t="shared" si="8"/>
        <v>0</v>
      </c>
      <c r="G65" s="3"/>
      <c r="H65" s="6"/>
      <c r="I65" s="3"/>
      <c r="J65" s="7">
        <f t="shared" si="9"/>
        <v>0</v>
      </c>
      <c r="K65" s="3"/>
      <c r="L65" s="6">
        <f t="shared" si="10"/>
        <v>0</v>
      </c>
      <c r="M65" s="3"/>
      <c r="N65" s="7">
        <f t="shared" si="11"/>
        <v>0</v>
      </c>
      <c r="O65" s="9"/>
      <c r="P65" s="6"/>
      <c r="Q65" s="3"/>
      <c r="R65" s="7">
        <f t="shared" si="12"/>
        <v>0</v>
      </c>
      <c r="S65" s="3"/>
      <c r="T65" s="6">
        <v>2623</v>
      </c>
      <c r="U65" s="3"/>
      <c r="V65" s="7">
        <f t="shared" si="13"/>
        <v>7.2951287007551003E-3</v>
      </c>
      <c r="W65" s="3"/>
      <c r="X65" s="6">
        <f t="shared" si="14"/>
        <v>-2623</v>
      </c>
      <c r="Y65" s="3"/>
      <c r="Z65" s="7">
        <f t="shared" si="15"/>
        <v>-1</v>
      </c>
    </row>
    <row r="66" spans="1:26" s="70" customFormat="1" ht="15" hidden="1" customHeight="1" outlineLevel="2" x14ac:dyDescent="0.3">
      <c r="A66" s="21"/>
      <c r="B66" s="9" t="str">
        <f>CONCATENATE("          ","6373"," - ","MAINTENANCE CONTRACTS")</f>
        <v xml:space="preserve">          6373 - MAINTENANCE CONTRACTS</v>
      </c>
      <c r="C66" s="9"/>
      <c r="D66" s="6"/>
      <c r="E66" s="3"/>
      <c r="F66" s="7">
        <f t="shared" si="8"/>
        <v>0</v>
      </c>
      <c r="G66" s="3"/>
      <c r="H66" s="6"/>
      <c r="I66" s="3"/>
      <c r="J66" s="7">
        <f t="shared" si="9"/>
        <v>0</v>
      </c>
      <c r="K66" s="3"/>
      <c r="L66" s="6">
        <f t="shared" si="10"/>
        <v>0</v>
      </c>
      <c r="M66" s="3"/>
      <c r="N66" s="7">
        <f t="shared" si="11"/>
        <v>0</v>
      </c>
      <c r="O66" s="9"/>
      <c r="P66" s="6">
        <v>733.68</v>
      </c>
      <c r="Q66" s="3"/>
      <c r="R66" s="7">
        <f t="shared" si="12"/>
        <v>2.4413219900993491E-3</v>
      </c>
      <c r="S66" s="3"/>
      <c r="T66" s="6">
        <v>260</v>
      </c>
      <c r="U66" s="3"/>
      <c r="V66" s="7">
        <f t="shared" si="13"/>
        <v>7.2311607403596117E-4</v>
      </c>
      <c r="W66" s="3"/>
      <c r="X66" s="6">
        <f t="shared" si="14"/>
        <v>473.67999999999995</v>
      </c>
      <c r="Y66" s="3"/>
      <c r="Z66" s="7">
        <f t="shared" si="15"/>
        <v>1.8218461538461537</v>
      </c>
    </row>
    <row r="67" spans="1:26" s="70" customFormat="1" ht="15" hidden="1" customHeight="1" outlineLevel="2" x14ac:dyDescent="0.3">
      <c r="A67" s="21"/>
      <c r="B67" s="9" t="str">
        <f>CONCATENATE("          ","6375"," - ","OUTSIDE REPAIRS &amp; MAINTENANCE")</f>
        <v xml:space="preserve">          6375 - OUTSIDE REPAIRS &amp; MAINTENANCE</v>
      </c>
      <c r="C67" s="9"/>
      <c r="D67" s="6">
        <v>1489.02</v>
      </c>
      <c r="E67" s="3"/>
      <c r="F67" s="7">
        <f t="shared" si="8"/>
        <v>0.11657011335880255</v>
      </c>
      <c r="G67" s="3"/>
      <c r="H67" s="6">
        <v>100</v>
      </c>
      <c r="I67" s="3"/>
      <c r="J67" s="7">
        <f t="shared" si="9"/>
        <v>1.0821339681852614E-2</v>
      </c>
      <c r="K67" s="3"/>
      <c r="L67" s="6">
        <f t="shared" si="10"/>
        <v>1389.02</v>
      </c>
      <c r="M67" s="3"/>
      <c r="N67" s="7">
        <f t="shared" si="11"/>
        <v>13.8902</v>
      </c>
      <c r="O67" s="9"/>
      <c r="P67" s="6">
        <v>3650.27</v>
      </c>
      <c r="Q67" s="3"/>
      <c r="R67" s="7">
        <f t="shared" si="12"/>
        <v>1.214628233126152E-2</v>
      </c>
      <c r="S67" s="3"/>
      <c r="T67" s="6">
        <v>2830</v>
      </c>
      <c r="U67" s="3"/>
      <c r="V67" s="7">
        <f t="shared" si="13"/>
        <v>7.8708403443144993E-3</v>
      </c>
      <c r="W67" s="3"/>
      <c r="X67" s="6">
        <f t="shared" si="14"/>
        <v>820.27</v>
      </c>
      <c r="Y67" s="3"/>
      <c r="Z67" s="7">
        <f t="shared" si="15"/>
        <v>0.28984805653710249</v>
      </c>
    </row>
    <row r="68" spans="1:26" s="69" customFormat="1" ht="15" customHeight="1" outlineLevel="1" collapsed="1" x14ac:dyDescent="0.3">
      <c r="A68" s="20"/>
      <c r="B68" s="11" t="str">
        <f>CONCATENATE("     ","Services                                          ")</f>
        <v xml:space="preserve">     Services                                          </v>
      </c>
      <c r="C68" s="11"/>
      <c r="D68" s="2">
        <f>SUM(OSRRefD22_12x_0)</f>
        <v>4684.8999999999996</v>
      </c>
      <c r="E68" s="2"/>
      <c r="F68" s="5">
        <f t="shared" si="8"/>
        <v>0.36676426379407528</v>
      </c>
      <c r="G68" s="2"/>
      <c r="H68" s="2">
        <f>SUM(OSRRefH22_12x_0)</f>
        <v>192</v>
      </c>
      <c r="I68" s="2"/>
      <c r="J68" s="5">
        <f t="shared" si="9"/>
        <v>2.0776972189157018E-2</v>
      </c>
      <c r="K68" s="2"/>
      <c r="L68" s="2">
        <f t="shared" si="10"/>
        <v>4492.8999999999996</v>
      </c>
      <c r="M68" s="2"/>
      <c r="N68" s="5">
        <f t="shared" si="11"/>
        <v>23.400520833333331</v>
      </c>
      <c r="O68" s="11"/>
      <c r="P68" s="2">
        <f>SUM(OSRRefP22_12x_0)</f>
        <v>14621.150000000001</v>
      </c>
      <c r="Q68" s="2"/>
      <c r="R68" s="5">
        <f t="shared" si="12"/>
        <v>4.8651912299014693E-2</v>
      </c>
      <c r="S68" s="2"/>
      <c r="T68" s="2">
        <f>SUM(OSRRefT22_12x_0)</f>
        <v>2121</v>
      </c>
      <c r="U68" s="2"/>
      <c r="V68" s="5">
        <f t="shared" si="13"/>
        <v>5.898958434731821E-3</v>
      </c>
      <c r="W68" s="2"/>
      <c r="X68" s="2">
        <f t="shared" si="14"/>
        <v>12500.150000000001</v>
      </c>
      <c r="Y68" s="2"/>
      <c r="Z68" s="5">
        <f t="shared" si="15"/>
        <v>5.8935172088637442</v>
      </c>
    </row>
    <row r="69" spans="1:26" s="70" customFormat="1" ht="15" hidden="1" customHeight="1" outlineLevel="2" x14ac:dyDescent="0.3">
      <c r="A69" s="21"/>
      <c r="B69" s="9" t="str">
        <f>CONCATENATE("          ","6282"," - ","JANITORIAL/EXTERMINATOR EXPENS")</f>
        <v xml:space="preserve">          6282 - JANITORIAL/EXTERMINATOR EXPENS</v>
      </c>
      <c r="C69" s="9"/>
      <c r="D69" s="6">
        <v>370.5</v>
      </c>
      <c r="E69" s="3"/>
      <c r="F69" s="7">
        <f t="shared" si="8"/>
        <v>2.900513559215883E-2</v>
      </c>
      <c r="G69" s="3"/>
      <c r="H69" s="6">
        <v>158</v>
      </c>
      <c r="I69" s="3"/>
      <c r="J69" s="7">
        <f t="shared" si="9"/>
        <v>1.7097716697327129E-2</v>
      </c>
      <c r="K69" s="3"/>
      <c r="L69" s="6">
        <f t="shared" si="10"/>
        <v>212.5</v>
      </c>
      <c r="M69" s="3"/>
      <c r="N69" s="7">
        <f t="shared" si="11"/>
        <v>1.3449367088607596</v>
      </c>
      <c r="O69" s="9"/>
      <c r="P69" s="6">
        <v>2088.1999999999998</v>
      </c>
      <c r="Q69" s="3"/>
      <c r="R69" s="7">
        <f t="shared" si="12"/>
        <v>6.9484905949807278E-3</v>
      </c>
      <c r="S69" s="3"/>
      <c r="T69" s="6">
        <v>1738</v>
      </c>
      <c r="U69" s="3"/>
      <c r="V69" s="7">
        <f t="shared" si="13"/>
        <v>4.8337528333634635E-3</v>
      </c>
      <c r="W69" s="3"/>
      <c r="X69" s="6">
        <f t="shared" si="14"/>
        <v>350.19999999999982</v>
      </c>
      <c r="Y69" s="3"/>
      <c r="Z69" s="7">
        <f t="shared" si="15"/>
        <v>0.20149597238204822</v>
      </c>
    </row>
    <row r="70" spans="1:26" s="70" customFormat="1" ht="15" hidden="1" customHeight="1" outlineLevel="2" x14ac:dyDescent="0.3">
      <c r="A70" s="21"/>
      <c r="B70" s="9" t="str">
        <f>CONCATENATE("          ","6285"," - ","JANITORIAL SERVICES")</f>
        <v xml:space="preserve">          6285 - JANITORIAL SERVICES</v>
      </c>
      <c r="C70" s="9"/>
      <c r="D70" s="6">
        <v>4210.9399999999996</v>
      </c>
      <c r="E70" s="3"/>
      <c r="F70" s="7">
        <f t="shared" si="8"/>
        <v>0.32965961044654601</v>
      </c>
      <c r="G70" s="3"/>
      <c r="H70" s="6"/>
      <c r="I70" s="3"/>
      <c r="J70" s="7">
        <f t="shared" si="9"/>
        <v>0</v>
      </c>
      <c r="K70" s="3"/>
      <c r="L70" s="6">
        <f t="shared" si="10"/>
        <v>4210.9399999999996</v>
      </c>
      <c r="M70" s="3"/>
      <c r="N70" s="7">
        <f t="shared" si="11"/>
        <v>0</v>
      </c>
      <c r="O70" s="9"/>
      <c r="P70" s="6">
        <v>11497.54</v>
      </c>
      <c r="Q70" s="3"/>
      <c r="R70" s="7">
        <f t="shared" si="12"/>
        <v>3.8258092402746254E-2</v>
      </c>
      <c r="S70" s="3"/>
      <c r="T70" s="6"/>
      <c r="U70" s="3"/>
      <c r="V70" s="7">
        <f t="shared" si="13"/>
        <v>0</v>
      </c>
      <c r="W70" s="3"/>
      <c r="X70" s="6">
        <f t="shared" si="14"/>
        <v>11497.54</v>
      </c>
      <c r="Y70" s="3"/>
      <c r="Z70" s="7">
        <f t="shared" si="15"/>
        <v>0</v>
      </c>
    </row>
    <row r="71" spans="1:26" s="70" customFormat="1" ht="15" hidden="1" customHeight="1" outlineLevel="2" x14ac:dyDescent="0.3">
      <c r="A71" s="21"/>
      <c r="B71" s="9" t="str">
        <f>CONCATENATE("          ","6286"," - ","LAUNDRY EXPENSE")</f>
        <v xml:space="preserve">          6286 - LAUNDRY EXPENSE</v>
      </c>
      <c r="C71" s="9"/>
      <c r="D71" s="6">
        <v>103.46</v>
      </c>
      <c r="E71" s="3"/>
      <c r="F71" s="7">
        <f t="shared" si="8"/>
        <v>8.0995177553704525E-3</v>
      </c>
      <c r="G71" s="3"/>
      <c r="H71" s="6">
        <v>34</v>
      </c>
      <c r="I71" s="3"/>
      <c r="J71" s="7">
        <f t="shared" si="9"/>
        <v>3.6792554918298886E-3</v>
      </c>
      <c r="K71" s="3"/>
      <c r="L71" s="6">
        <f t="shared" si="10"/>
        <v>69.459999999999994</v>
      </c>
      <c r="M71" s="3"/>
      <c r="N71" s="7">
        <f t="shared" si="11"/>
        <v>2.0429411764705883</v>
      </c>
      <c r="O71" s="9"/>
      <c r="P71" s="6">
        <v>1035.4100000000001</v>
      </c>
      <c r="Q71" s="3"/>
      <c r="R71" s="7">
        <f t="shared" si="12"/>
        <v>3.4453293012877105E-3</v>
      </c>
      <c r="S71" s="3"/>
      <c r="T71" s="6">
        <v>383</v>
      </c>
      <c r="U71" s="3"/>
      <c r="V71" s="7">
        <f t="shared" si="13"/>
        <v>1.0652056013683582E-3</v>
      </c>
      <c r="W71" s="3"/>
      <c r="X71" s="6">
        <f t="shared" si="14"/>
        <v>652.41000000000008</v>
      </c>
      <c r="Y71" s="3"/>
      <c r="Z71" s="7">
        <f t="shared" si="15"/>
        <v>1.7034203655352482</v>
      </c>
    </row>
    <row r="72" spans="1:26" s="69" customFormat="1" ht="15" customHeight="1" outlineLevel="1" collapsed="1" x14ac:dyDescent="0.3">
      <c r="A72" s="20"/>
      <c r="B72" s="11" t="str">
        <f>CONCATENATE("     ","Supplies                                          ")</f>
        <v xml:space="preserve">     Supplies                                          </v>
      </c>
      <c r="C72" s="11"/>
      <c r="D72" s="2">
        <f>SUM(OSRRefD22_13x_0)</f>
        <v>244.01999999999998</v>
      </c>
      <c r="E72" s="2"/>
      <c r="F72" s="5">
        <f t="shared" si="8"/>
        <v>1.9103463393248577E-2</v>
      </c>
      <c r="G72" s="2"/>
      <c r="H72" s="2">
        <f>SUM(OSRRefH22_13x_0)</f>
        <v>500</v>
      </c>
      <c r="I72" s="2"/>
      <c r="J72" s="5">
        <f t="shared" si="9"/>
        <v>5.410669840926307E-2</v>
      </c>
      <c r="K72" s="2"/>
      <c r="L72" s="2">
        <f t="shared" si="10"/>
        <v>-255.98000000000002</v>
      </c>
      <c r="M72" s="2"/>
      <c r="N72" s="5">
        <f t="shared" si="11"/>
        <v>-0.51196000000000008</v>
      </c>
      <c r="O72" s="11"/>
      <c r="P72" s="2">
        <f>SUM(OSRRefP22_13x_0)</f>
        <v>5168.84</v>
      </c>
      <c r="Q72" s="2"/>
      <c r="R72" s="5">
        <f t="shared" si="12"/>
        <v>1.7199327711407045E-2</v>
      </c>
      <c r="S72" s="2"/>
      <c r="T72" s="2">
        <f>SUM(OSRRefT22_13x_0)</f>
        <v>11150</v>
      </c>
      <c r="U72" s="2"/>
      <c r="V72" s="5">
        <f t="shared" si="13"/>
        <v>3.1010554713465255E-2</v>
      </c>
      <c r="W72" s="2"/>
      <c r="X72" s="2">
        <f t="shared" si="14"/>
        <v>-5981.16</v>
      </c>
      <c r="Y72" s="2"/>
      <c r="Z72" s="5">
        <f t="shared" si="15"/>
        <v>-0.5364269058295964</v>
      </c>
    </row>
    <row r="73" spans="1:26" s="70" customFormat="1" ht="15" hidden="1" customHeight="1" outlineLevel="2" x14ac:dyDescent="0.3">
      <c r="A73" s="21"/>
      <c r="B73" s="9" t="str">
        <f>CONCATENATE("          ","6234"," - ","EXPENDABLE SUPPLIES &amp; EQUIPMEN")</f>
        <v xml:space="preserve">          6234 - EXPENDABLE SUPPLIES &amp; EQUIPMEN</v>
      </c>
      <c r="C73" s="9"/>
      <c r="D73" s="6"/>
      <c r="E73" s="3"/>
      <c r="F73" s="7">
        <f t="shared" si="8"/>
        <v>0</v>
      </c>
      <c r="G73" s="3"/>
      <c r="H73" s="6">
        <v>50</v>
      </c>
      <c r="I73" s="3"/>
      <c r="J73" s="7">
        <f t="shared" si="9"/>
        <v>5.4106698409263068E-3</v>
      </c>
      <c r="K73" s="3"/>
      <c r="L73" s="6">
        <f t="shared" si="10"/>
        <v>-50</v>
      </c>
      <c r="M73" s="3"/>
      <c r="N73" s="7">
        <f t="shared" si="11"/>
        <v>-1</v>
      </c>
      <c r="O73" s="9"/>
      <c r="P73" s="6"/>
      <c r="Q73" s="3"/>
      <c r="R73" s="7">
        <f t="shared" si="12"/>
        <v>0</v>
      </c>
      <c r="S73" s="3"/>
      <c r="T73" s="6">
        <v>850</v>
      </c>
      <c r="U73" s="3"/>
      <c r="V73" s="7">
        <f t="shared" si="13"/>
        <v>2.3640333189637189E-3</v>
      </c>
      <c r="W73" s="3"/>
      <c r="X73" s="6">
        <f t="shared" si="14"/>
        <v>-850</v>
      </c>
      <c r="Y73" s="3"/>
      <c r="Z73" s="7">
        <f t="shared" si="15"/>
        <v>-1</v>
      </c>
    </row>
    <row r="74" spans="1:26" s="70" customFormat="1" ht="15" hidden="1" customHeight="1" outlineLevel="2" x14ac:dyDescent="0.3">
      <c r="A74" s="21"/>
      <c r="B74" s="9" t="str">
        <f>CONCATENATE("          ","6235"," - ","COVID-19 EXPENSES")</f>
        <v xml:space="preserve">          6235 - COVID-19 EXPENSES</v>
      </c>
      <c r="C74" s="9"/>
      <c r="D74" s="6"/>
      <c r="E74" s="3"/>
      <c r="F74" s="7">
        <f t="shared" si="8"/>
        <v>0</v>
      </c>
      <c r="G74" s="3"/>
      <c r="H74" s="6"/>
      <c r="I74" s="3"/>
      <c r="J74" s="7">
        <f t="shared" si="9"/>
        <v>0</v>
      </c>
      <c r="K74" s="3"/>
      <c r="L74" s="6">
        <f t="shared" si="10"/>
        <v>0</v>
      </c>
      <c r="M74" s="3"/>
      <c r="N74" s="7">
        <f t="shared" si="11"/>
        <v>0</v>
      </c>
      <c r="O74" s="9"/>
      <c r="P74" s="6">
        <v>71.45</v>
      </c>
      <c r="Q74" s="3"/>
      <c r="R74" s="7">
        <f t="shared" si="12"/>
        <v>2.3775004933022367E-4</v>
      </c>
      <c r="S74" s="3"/>
      <c r="T74" s="6"/>
      <c r="U74" s="3"/>
      <c r="V74" s="7">
        <f t="shared" si="13"/>
        <v>0</v>
      </c>
      <c r="W74" s="3"/>
      <c r="X74" s="6">
        <f t="shared" si="14"/>
        <v>71.45</v>
      </c>
      <c r="Y74" s="3"/>
      <c r="Z74" s="7">
        <f t="shared" si="15"/>
        <v>0</v>
      </c>
    </row>
    <row r="75" spans="1:26" s="70" customFormat="1" ht="15" hidden="1" customHeight="1" outlineLevel="2" x14ac:dyDescent="0.3">
      <c r="A75" s="21"/>
      <c r="B75" s="9" t="str">
        <f>CONCATENATE("          ","6237"," - ","JANITORIAL SUPPLIES")</f>
        <v xml:space="preserve">          6237 - JANITORIAL SUPPLIES</v>
      </c>
      <c r="C75" s="9"/>
      <c r="D75" s="6">
        <v>156.44</v>
      </c>
      <c r="E75" s="3"/>
      <c r="F75" s="7">
        <f t="shared" si="8"/>
        <v>1.2247134715350411E-2</v>
      </c>
      <c r="G75" s="3"/>
      <c r="H75" s="6">
        <v>0</v>
      </c>
      <c r="I75" s="3"/>
      <c r="J75" s="7">
        <f t="shared" si="9"/>
        <v>0</v>
      </c>
      <c r="K75" s="3"/>
      <c r="L75" s="6">
        <f t="shared" si="10"/>
        <v>156.44</v>
      </c>
      <c r="M75" s="3"/>
      <c r="N75" s="7">
        <f t="shared" si="11"/>
        <v>0</v>
      </c>
      <c r="O75" s="9"/>
      <c r="P75" s="6">
        <v>1343.17</v>
      </c>
      <c r="Q75" s="3"/>
      <c r="R75" s="7">
        <f t="shared" si="12"/>
        <v>4.4694014521886151E-3</v>
      </c>
      <c r="S75" s="3"/>
      <c r="T75" s="6">
        <v>250</v>
      </c>
      <c r="U75" s="3"/>
      <c r="V75" s="7">
        <f t="shared" si="13"/>
        <v>6.9530391734227027E-4</v>
      </c>
      <c r="W75" s="3"/>
      <c r="X75" s="6">
        <f t="shared" si="14"/>
        <v>1093.17</v>
      </c>
      <c r="Y75" s="3"/>
      <c r="Z75" s="7">
        <f t="shared" si="15"/>
        <v>4.3726799999999999</v>
      </c>
    </row>
    <row r="76" spans="1:26" s="70" customFormat="1" ht="15" hidden="1" customHeight="1" outlineLevel="2" x14ac:dyDescent="0.3">
      <c r="A76" s="21"/>
      <c r="B76" s="9" t="str">
        <f>CONCATENATE("          ","6241"," - ","OFFICE EXPENSE")</f>
        <v xml:space="preserve">          6241 - OFFICE EXPENSE</v>
      </c>
      <c r="C76" s="9"/>
      <c r="D76" s="6"/>
      <c r="E76" s="3"/>
      <c r="F76" s="7">
        <f t="shared" si="8"/>
        <v>0</v>
      </c>
      <c r="G76" s="3"/>
      <c r="H76" s="6"/>
      <c r="I76" s="3"/>
      <c r="J76" s="7">
        <f t="shared" si="9"/>
        <v>0</v>
      </c>
      <c r="K76" s="3"/>
      <c r="L76" s="6">
        <f t="shared" si="10"/>
        <v>0</v>
      </c>
      <c r="M76" s="3"/>
      <c r="N76" s="7">
        <f t="shared" si="11"/>
        <v>0</v>
      </c>
      <c r="O76" s="9"/>
      <c r="P76" s="6">
        <v>427.98</v>
      </c>
      <c r="Q76" s="3"/>
      <c r="R76" s="7">
        <f t="shared" si="12"/>
        <v>1.4241044942246205E-3</v>
      </c>
      <c r="S76" s="3"/>
      <c r="T76" s="6"/>
      <c r="U76" s="3"/>
      <c r="V76" s="7">
        <f t="shared" si="13"/>
        <v>0</v>
      </c>
      <c r="W76" s="3"/>
      <c r="X76" s="6">
        <f t="shared" si="14"/>
        <v>427.98</v>
      </c>
      <c r="Y76" s="3"/>
      <c r="Z76" s="7">
        <f t="shared" si="15"/>
        <v>0</v>
      </c>
    </row>
    <row r="77" spans="1:26" s="70" customFormat="1" ht="15" hidden="1" customHeight="1" outlineLevel="2" x14ac:dyDescent="0.3">
      <c r="A77" s="21"/>
      <c r="B77" s="9" t="str">
        <f>CONCATENATE("          ","6243"," - ","PAPER SUPPLIES")</f>
        <v xml:space="preserve">          6243 - PAPER SUPPLIES</v>
      </c>
      <c r="C77" s="9"/>
      <c r="D77" s="6"/>
      <c r="E77" s="3"/>
      <c r="F77" s="7">
        <f t="shared" si="8"/>
        <v>0</v>
      </c>
      <c r="G77" s="3"/>
      <c r="H77" s="6">
        <v>200</v>
      </c>
      <c r="I77" s="3"/>
      <c r="J77" s="7">
        <f t="shared" si="9"/>
        <v>2.1642679363705227E-2</v>
      </c>
      <c r="K77" s="3"/>
      <c r="L77" s="6">
        <f t="shared" si="10"/>
        <v>-200</v>
      </c>
      <c r="M77" s="3"/>
      <c r="N77" s="7">
        <f t="shared" si="11"/>
        <v>-1</v>
      </c>
      <c r="O77" s="9"/>
      <c r="P77" s="6">
        <v>721.5</v>
      </c>
      <c r="Q77" s="3"/>
      <c r="R77" s="7">
        <f t="shared" si="12"/>
        <v>2.4007930103814748E-3</v>
      </c>
      <c r="S77" s="3"/>
      <c r="T77" s="6">
        <v>2200</v>
      </c>
      <c r="U77" s="3"/>
      <c r="V77" s="7">
        <f t="shared" si="13"/>
        <v>6.1186744726119784E-3</v>
      </c>
      <c r="W77" s="3"/>
      <c r="X77" s="6">
        <f t="shared" si="14"/>
        <v>-1478.5</v>
      </c>
      <c r="Y77" s="3"/>
      <c r="Z77" s="7">
        <f t="shared" si="15"/>
        <v>-0.6720454545454545</v>
      </c>
    </row>
    <row r="78" spans="1:26" s="70" customFormat="1" ht="15" hidden="1" customHeight="1" outlineLevel="2" x14ac:dyDescent="0.3">
      <c r="A78" s="21"/>
      <c r="B78" s="9" t="str">
        <f>CONCATENATE("          ","6247"," - ","STORE SUPPLIES")</f>
        <v xml:space="preserve">          6247 - STORE SUPPLIES</v>
      </c>
      <c r="C78" s="9"/>
      <c r="D78" s="6">
        <v>87.58</v>
      </c>
      <c r="E78" s="3"/>
      <c r="F78" s="7">
        <f t="shared" si="8"/>
        <v>6.8563286778981656E-3</v>
      </c>
      <c r="G78" s="3"/>
      <c r="H78" s="6">
        <v>250</v>
      </c>
      <c r="I78" s="3"/>
      <c r="J78" s="7">
        <f t="shared" si="9"/>
        <v>2.7053349204631535E-2</v>
      </c>
      <c r="K78" s="3"/>
      <c r="L78" s="6">
        <f t="shared" si="10"/>
        <v>-162.42000000000002</v>
      </c>
      <c r="M78" s="3"/>
      <c r="N78" s="7">
        <f t="shared" si="11"/>
        <v>-0.64968000000000004</v>
      </c>
      <c r="O78" s="9"/>
      <c r="P78" s="6">
        <v>2604.7399999999998</v>
      </c>
      <c r="Q78" s="3"/>
      <c r="R78" s="7">
        <f t="shared" si="12"/>
        <v>8.6672787052821092E-3</v>
      </c>
      <c r="S78" s="3"/>
      <c r="T78" s="6">
        <v>7850</v>
      </c>
      <c r="U78" s="3"/>
      <c r="V78" s="7">
        <f t="shared" si="13"/>
        <v>2.1832543004547289E-2</v>
      </c>
      <c r="W78" s="3"/>
      <c r="X78" s="6">
        <f t="shared" si="14"/>
        <v>-5245.26</v>
      </c>
      <c r="Y78" s="3"/>
      <c r="Z78" s="7">
        <f t="shared" si="15"/>
        <v>-0.66818598726114653</v>
      </c>
    </row>
    <row r="79" spans="1:26" s="69" customFormat="1" ht="15" customHeight="1" outlineLevel="1" collapsed="1" x14ac:dyDescent="0.3">
      <c r="A79" s="20"/>
      <c r="B79" s="11" t="str">
        <f>CONCATENATE("     ","Telephone/Data Lines                              ")</f>
        <v xml:space="preserve">     Telephone/Data Lines                              </v>
      </c>
      <c r="C79" s="11"/>
      <c r="D79" s="2">
        <f>SUM(OSRRefD22_14x_0)</f>
        <v>22</v>
      </c>
      <c r="E79" s="2"/>
      <c r="F79" s="5">
        <f t="shared" si="8"/>
        <v>1.722302248387299E-3</v>
      </c>
      <c r="G79" s="2"/>
      <c r="H79" s="2">
        <f>SUM(OSRRefH22_14x_0)</f>
        <v>125</v>
      </c>
      <c r="I79" s="2"/>
      <c r="J79" s="5">
        <f t="shared" si="9"/>
        <v>1.3526674602315767E-2</v>
      </c>
      <c r="K79" s="2"/>
      <c r="L79" s="2">
        <f t="shared" si="10"/>
        <v>-103</v>
      </c>
      <c r="M79" s="2"/>
      <c r="N79" s="5">
        <f t="shared" si="11"/>
        <v>-0.82399999999999995</v>
      </c>
      <c r="O79" s="11"/>
      <c r="P79" s="2">
        <f>SUM(OSRRefP22_14x_0)</f>
        <v>799</v>
      </c>
      <c r="Q79" s="2"/>
      <c r="R79" s="5">
        <f t="shared" si="12"/>
        <v>2.6586744494730401E-3</v>
      </c>
      <c r="S79" s="2"/>
      <c r="T79" s="2">
        <f>SUM(OSRRefT22_14x_0)</f>
        <v>1500</v>
      </c>
      <c r="U79" s="2"/>
      <c r="V79" s="5">
        <f t="shared" si="13"/>
        <v>4.1718235040536216E-3</v>
      </c>
      <c r="W79" s="2"/>
      <c r="X79" s="2">
        <f t="shared" si="14"/>
        <v>-701</v>
      </c>
      <c r="Y79" s="2"/>
      <c r="Z79" s="5">
        <f t="shared" si="15"/>
        <v>-0.46733333333333332</v>
      </c>
    </row>
    <row r="80" spans="1:26" s="70" customFormat="1" ht="15" hidden="1" customHeight="1" outlineLevel="2" x14ac:dyDescent="0.3">
      <c r="A80" s="21"/>
      <c r="B80" s="9" t="str">
        <f>CONCATENATE("          ","6303"," - ","DATA PHONE LINES")</f>
        <v xml:space="preserve">          6303 - DATA PHONE LINES</v>
      </c>
      <c r="C80" s="9"/>
      <c r="D80" s="6"/>
      <c r="E80" s="3"/>
      <c r="F80" s="7">
        <f t="shared" si="8"/>
        <v>0</v>
      </c>
      <c r="G80" s="3"/>
      <c r="H80" s="6">
        <v>50</v>
      </c>
      <c r="I80" s="3"/>
      <c r="J80" s="7">
        <f t="shared" si="9"/>
        <v>5.4106698409263068E-3</v>
      </c>
      <c r="K80" s="3"/>
      <c r="L80" s="6">
        <f t="shared" si="10"/>
        <v>-50</v>
      </c>
      <c r="M80" s="3"/>
      <c r="N80" s="7">
        <f t="shared" si="11"/>
        <v>-1</v>
      </c>
      <c r="O80" s="9"/>
      <c r="P80" s="6"/>
      <c r="Q80" s="3"/>
      <c r="R80" s="7">
        <f t="shared" si="12"/>
        <v>0</v>
      </c>
      <c r="S80" s="3"/>
      <c r="T80" s="6">
        <v>600</v>
      </c>
      <c r="U80" s="3"/>
      <c r="V80" s="7">
        <f t="shared" si="13"/>
        <v>1.6687294016214486E-3</v>
      </c>
      <c r="W80" s="3"/>
      <c r="X80" s="6">
        <f t="shared" si="14"/>
        <v>-600</v>
      </c>
      <c r="Y80" s="3"/>
      <c r="Z80" s="7">
        <f t="shared" si="15"/>
        <v>-1</v>
      </c>
    </row>
    <row r="81" spans="1:26" s="70" customFormat="1" ht="15" hidden="1" customHeight="1" outlineLevel="2" x14ac:dyDescent="0.3">
      <c r="A81" s="21"/>
      <c r="B81" s="9" t="str">
        <f>CONCATENATE("          ","6309"," - ","TELEPHONE")</f>
        <v xml:space="preserve">          6309 - TELEPHONE</v>
      </c>
      <c r="C81" s="9"/>
      <c r="D81" s="6">
        <v>22</v>
      </c>
      <c r="E81" s="3"/>
      <c r="F81" s="7">
        <f t="shared" si="8"/>
        <v>1.722302248387299E-3</v>
      </c>
      <c r="G81" s="3"/>
      <c r="H81" s="6">
        <v>75</v>
      </c>
      <c r="I81" s="3"/>
      <c r="J81" s="7">
        <f t="shared" si="9"/>
        <v>8.1160047613894597E-3</v>
      </c>
      <c r="K81" s="3"/>
      <c r="L81" s="6">
        <f t="shared" si="10"/>
        <v>-53</v>
      </c>
      <c r="M81" s="3"/>
      <c r="N81" s="7">
        <f t="shared" si="11"/>
        <v>-0.70666666666666667</v>
      </c>
      <c r="O81" s="9"/>
      <c r="P81" s="6">
        <v>799</v>
      </c>
      <c r="Q81" s="3"/>
      <c r="R81" s="7">
        <f t="shared" si="12"/>
        <v>2.6586744494730401E-3</v>
      </c>
      <c r="S81" s="3"/>
      <c r="T81" s="6">
        <v>900</v>
      </c>
      <c r="U81" s="3"/>
      <c r="V81" s="7">
        <f t="shared" si="13"/>
        <v>2.503094102432173E-3</v>
      </c>
      <c r="W81" s="3"/>
      <c r="X81" s="6">
        <f t="shared" si="14"/>
        <v>-101</v>
      </c>
      <c r="Y81" s="3"/>
      <c r="Z81" s="7">
        <f t="shared" si="15"/>
        <v>-0.11222222222222222</v>
      </c>
    </row>
    <row r="82" spans="1:26" s="69" customFormat="1" ht="15" customHeight="1" outlineLevel="1" collapsed="1" x14ac:dyDescent="0.3">
      <c r="A82" s="20"/>
      <c r="B82" s="11" t="str">
        <f>CONCATENATE("     ","Training                                          ")</f>
        <v xml:space="preserve">     Training                                          </v>
      </c>
      <c r="C82" s="11"/>
      <c r="D82" s="2">
        <f>SUM(OSRRefD22_15x_0)</f>
        <v>0</v>
      </c>
      <c r="E82" s="2"/>
      <c r="F82" s="5">
        <f t="shared" si="8"/>
        <v>0</v>
      </c>
      <c r="G82" s="2"/>
      <c r="H82" s="2">
        <f>SUM(OSRRefH22_15x_0)</f>
        <v>0</v>
      </c>
      <c r="I82" s="2"/>
      <c r="J82" s="5">
        <f t="shared" si="9"/>
        <v>0</v>
      </c>
      <c r="K82" s="2"/>
      <c r="L82" s="2">
        <f t="shared" si="10"/>
        <v>0</v>
      </c>
      <c r="M82" s="2"/>
      <c r="N82" s="5">
        <f t="shared" si="11"/>
        <v>0</v>
      </c>
      <c r="O82" s="11"/>
      <c r="P82" s="2">
        <f>SUM(OSRRefP22_15x_0)</f>
        <v>120</v>
      </c>
      <c r="Q82" s="2"/>
      <c r="R82" s="5">
        <f t="shared" si="12"/>
        <v>3.9930029278693966E-4</v>
      </c>
      <c r="S82" s="2"/>
      <c r="T82" s="2">
        <f>SUM(OSRRefT22_15x_0)</f>
        <v>0</v>
      </c>
      <c r="U82" s="2"/>
      <c r="V82" s="5">
        <f t="shared" si="13"/>
        <v>0</v>
      </c>
      <c r="W82" s="2"/>
      <c r="X82" s="2">
        <f t="shared" si="14"/>
        <v>120</v>
      </c>
      <c r="Y82" s="2"/>
      <c r="Z82" s="5">
        <f t="shared" si="15"/>
        <v>0</v>
      </c>
    </row>
    <row r="83" spans="1:26" s="70" customFormat="1" ht="15" hidden="1" customHeight="1" outlineLevel="2" x14ac:dyDescent="0.3">
      <c r="A83" s="21"/>
      <c r="B83" s="9" t="str">
        <f>CONCATENATE("          ","6376"," - ","TRAINING")</f>
        <v xml:space="preserve">          6376 - TRAINING</v>
      </c>
      <c r="C83" s="9"/>
      <c r="D83" s="6"/>
      <c r="E83" s="3"/>
      <c r="F83" s="7">
        <f t="shared" si="8"/>
        <v>0</v>
      </c>
      <c r="G83" s="3"/>
      <c r="H83" s="6"/>
      <c r="I83" s="3"/>
      <c r="J83" s="7">
        <f t="shared" si="9"/>
        <v>0</v>
      </c>
      <c r="K83" s="3"/>
      <c r="L83" s="6">
        <f t="shared" si="10"/>
        <v>0</v>
      </c>
      <c r="M83" s="3"/>
      <c r="N83" s="7">
        <f t="shared" si="11"/>
        <v>0</v>
      </c>
      <c r="O83" s="9"/>
      <c r="P83" s="6">
        <v>120</v>
      </c>
      <c r="Q83" s="3"/>
      <c r="R83" s="7">
        <f t="shared" si="12"/>
        <v>3.9930029278693966E-4</v>
      </c>
      <c r="S83" s="3"/>
      <c r="T83" s="6"/>
      <c r="U83" s="3"/>
      <c r="V83" s="7">
        <f t="shared" si="13"/>
        <v>0</v>
      </c>
      <c r="W83" s="3"/>
      <c r="X83" s="6">
        <f t="shared" si="14"/>
        <v>120</v>
      </c>
      <c r="Y83" s="3"/>
      <c r="Z83" s="7">
        <f t="shared" si="15"/>
        <v>0</v>
      </c>
    </row>
    <row r="84" spans="1:26" s="69" customFormat="1" ht="15" customHeight="1" outlineLevel="1" collapsed="1" x14ac:dyDescent="0.3">
      <c r="A84" s="20"/>
      <c r="B84" s="11" t="str">
        <f>CONCATENATE("     ","Utilities                                         ")</f>
        <v xml:space="preserve">     Utilities                                         </v>
      </c>
      <c r="C84" s="11"/>
      <c r="D84" s="2">
        <f>SUM(OSRRefD22_16x_0)</f>
        <v>171.49</v>
      </c>
      <c r="E84" s="2"/>
      <c r="F84" s="5">
        <f t="shared" si="8"/>
        <v>1.3425346026178996E-2</v>
      </c>
      <c r="G84" s="2"/>
      <c r="H84" s="2">
        <f>SUM(OSRRefH22_16x_0)</f>
        <v>0</v>
      </c>
      <c r="I84" s="2"/>
      <c r="J84" s="5">
        <f t="shared" si="9"/>
        <v>0</v>
      </c>
      <c r="K84" s="2"/>
      <c r="L84" s="2">
        <f t="shared" si="10"/>
        <v>171.49</v>
      </c>
      <c r="M84" s="2"/>
      <c r="N84" s="5">
        <f t="shared" si="11"/>
        <v>0</v>
      </c>
      <c r="O84" s="11"/>
      <c r="P84" s="2">
        <f>SUM(OSRRefP22_16x_0)</f>
        <v>1414.47</v>
      </c>
      <c r="Q84" s="2"/>
      <c r="R84" s="5">
        <f t="shared" si="12"/>
        <v>4.7066523761528549E-3</v>
      </c>
      <c r="S84" s="2"/>
      <c r="T84" s="2">
        <f>SUM(OSRRefT22_16x_0)</f>
        <v>0</v>
      </c>
      <c r="U84" s="2"/>
      <c r="V84" s="5">
        <f t="shared" si="13"/>
        <v>0</v>
      </c>
      <c r="W84" s="2"/>
      <c r="X84" s="2">
        <f t="shared" si="14"/>
        <v>1414.47</v>
      </c>
      <c r="Y84" s="2"/>
      <c r="Z84" s="5">
        <f t="shared" si="15"/>
        <v>0</v>
      </c>
    </row>
    <row r="85" spans="1:26" s="70" customFormat="1" ht="15" hidden="1" customHeight="1" outlineLevel="2" x14ac:dyDescent="0.3">
      <c r="A85" s="21"/>
      <c r="B85" s="9" t="str">
        <f>CONCATENATE("          ","6274"," - ","UTILITIES")</f>
        <v xml:space="preserve">          6274 - UTILITIES</v>
      </c>
      <c r="C85" s="9"/>
      <c r="D85" s="6">
        <v>171.49</v>
      </c>
      <c r="E85" s="3"/>
      <c r="F85" s="7">
        <f t="shared" si="8"/>
        <v>1.3425346026178996E-2</v>
      </c>
      <c r="G85" s="3"/>
      <c r="H85" s="6">
        <v>0</v>
      </c>
      <c r="I85" s="3"/>
      <c r="J85" s="7">
        <f t="shared" si="9"/>
        <v>0</v>
      </c>
      <c r="K85" s="3"/>
      <c r="L85" s="6">
        <f t="shared" si="10"/>
        <v>171.49</v>
      </c>
      <c r="M85" s="3"/>
      <c r="N85" s="7">
        <f t="shared" si="11"/>
        <v>0</v>
      </c>
      <c r="O85" s="9"/>
      <c r="P85" s="6">
        <v>1414.47</v>
      </c>
      <c r="Q85" s="3"/>
      <c r="R85" s="7">
        <f t="shared" si="12"/>
        <v>4.7066523761528549E-3</v>
      </c>
      <c r="S85" s="3"/>
      <c r="T85" s="6">
        <v>0</v>
      </c>
      <c r="U85" s="3"/>
      <c r="V85" s="7">
        <f t="shared" si="13"/>
        <v>0</v>
      </c>
      <c r="W85" s="3"/>
      <c r="X85" s="6">
        <f t="shared" si="14"/>
        <v>1414.47</v>
      </c>
      <c r="Y85" s="3"/>
      <c r="Z85" s="7">
        <f t="shared" si="15"/>
        <v>0</v>
      </c>
    </row>
    <row r="86" spans="1:26" s="65" customFormat="1" ht="15" customHeight="1" x14ac:dyDescent="0.3">
      <c r="A86" s="36"/>
      <c r="B86" s="36"/>
      <c r="C86" s="36"/>
      <c r="D86" s="2"/>
      <c r="E86" s="2"/>
      <c r="F86" s="5"/>
      <c r="G86" s="2"/>
      <c r="H86" s="2"/>
      <c r="I86" s="2"/>
      <c r="J86" s="5"/>
      <c r="K86" s="2"/>
      <c r="L86" s="2"/>
      <c r="M86" s="2"/>
      <c r="N86" s="5"/>
      <c r="O86" s="36"/>
      <c r="P86" s="2"/>
      <c r="Q86" s="2"/>
      <c r="R86" s="5"/>
      <c r="S86" s="2"/>
      <c r="T86" s="2"/>
      <c r="U86" s="2"/>
      <c r="V86" s="5"/>
      <c r="W86" s="2"/>
      <c r="X86" s="2"/>
      <c r="Y86" s="2"/>
      <c r="Z86" s="5"/>
    </row>
    <row r="87" spans="1:26" s="63" customFormat="1" ht="15" customHeight="1" x14ac:dyDescent="0.3">
      <c r="A87" s="13"/>
      <c r="B87" s="28" t="s">
        <v>291</v>
      </c>
      <c r="C87" s="13"/>
      <c r="D87" s="8">
        <f>SUM(0)</f>
        <v>0</v>
      </c>
      <c r="E87" s="8"/>
      <c r="F87" s="14">
        <f>IF(D$12=0,0,D87/D$12)</f>
        <v>0</v>
      </c>
      <c r="G87" s="8"/>
      <c r="H87" s="8">
        <f>SUM(0)</f>
        <v>0</v>
      </c>
      <c r="I87" s="8"/>
      <c r="J87" s="14">
        <f>IF(H$12=0,0,H87/H$12)</f>
        <v>0</v>
      </c>
      <c r="K87" s="8"/>
      <c r="L87" s="8">
        <f>+D87-H87</f>
        <v>0</v>
      </c>
      <c r="M87" s="8"/>
      <c r="N87" s="14">
        <f>IF(H87=0,0,L87/H87)</f>
        <v>0</v>
      </c>
      <c r="O87" s="13"/>
      <c r="P87" s="8">
        <f>SUM(0)</f>
        <v>0</v>
      </c>
      <c r="Q87" s="8"/>
      <c r="R87" s="14">
        <f>IF(P$12=0,0,P87/P$12)</f>
        <v>0</v>
      </c>
      <c r="S87" s="8"/>
      <c r="T87" s="8">
        <f>SUM(0)</f>
        <v>0</v>
      </c>
      <c r="U87" s="8"/>
      <c r="V87" s="14">
        <f>IF(T$12=0,0,T87/T$12)</f>
        <v>0</v>
      </c>
      <c r="W87" s="8"/>
      <c r="X87" s="8">
        <f>+P87-T87</f>
        <v>0</v>
      </c>
      <c r="Y87" s="8"/>
      <c r="Z87" s="14">
        <f>IF(T87=0,0,X87/T87)</f>
        <v>0</v>
      </c>
    </row>
    <row r="88" spans="1:26" ht="15" customHeight="1" x14ac:dyDescent="0.3">
      <c r="A88" s="12"/>
      <c r="B88" s="13"/>
      <c r="C88" s="13"/>
      <c r="D88" s="4"/>
      <c r="E88" s="4"/>
      <c r="F88" s="10"/>
      <c r="G88" s="4"/>
      <c r="H88" s="4"/>
      <c r="I88" s="4"/>
      <c r="J88" s="10"/>
      <c r="K88" s="4"/>
      <c r="L88" s="4"/>
      <c r="M88" s="4"/>
      <c r="N88" s="10"/>
      <c r="O88" s="13"/>
      <c r="P88" s="4"/>
      <c r="Q88" s="4"/>
      <c r="R88" s="10"/>
      <c r="S88" s="4"/>
      <c r="T88" s="4"/>
      <c r="U88" s="4"/>
      <c r="V88" s="10"/>
      <c r="W88" s="4"/>
      <c r="X88" s="4"/>
      <c r="Y88" s="4"/>
      <c r="Z88" s="10"/>
    </row>
    <row r="89" spans="1:26" s="63" customFormat="1" ht="15" customHeight="1" x14ac:dyDescent="0.3">
      <c r="A89" s="13"/>
      <c r="B89" s="27" t="s">
        <v>292</v>
      </c>
      <c r="C89" s="27"/>
      <c r="D89" s="23">
        <f>+D21-D23+D87</f>
        <v>-35257.300000000003</v>
      </c>
      <c r="E89" s="15"/>
      <c r="F89" s="22">
        <f>IF(D$12=0,0,D89/D$12)</f>
        <v>-2.7601694119120692</v>
      </c>
      <c r="G89" s="15"/>
      <c r="H89" s="23">
        <f>+H21-H23+H87</f>
        <v>-18947.092781807689</v>
      </c>
      <c r="I89" s="15"/>
      <c r="J89" s="22">
        <f>IF(H$12=0,0,H89/H$12)</f>
        <v>-2.0503292697551876</v>
      </c>
      <c r="K89" s="17"/>
      <c r="L89" s="23">
        <f>+D89-H89</f>
        <v>-16310.207218192314</v>
      </c>
      <c r="M89" s="17"/>
      <c r="N89" s="22">
        <f>IF(H89=0,0,L89/H89)</f>
        <v>0.86082901509052534</v>
      </c>
      <c r="O89" s="28"/>
      <c r="P89" s="23">
        <f>+P21-P23+P87</f>
        <v>-122559.4599999999</v>
      </c>
      <c r="Q89" s="15"/>
      <c r="R89" s="22">
        <f>IF(P$12=0,0,P89/P$12)</f>
        <v>-0.40781690218174321</v>
      </c>
      <c r="S89" s="15"/>
      <c r="T89" s="23">
        <f>+T21-T23+T87</f>
        <v>-157430.84652174998</v>
      </c>
      <c r="U89" s="15"/>
      <c r="V89" s="22">
        <f>IF(T$12=0,0,T89/T$12)</f>
        <v>-0.43784913718832996</v>
      </c>
      <c r="W89" s="17"/>
      <c r="X89" s="23">
        <f>+P89-T89</f>
        <v>34871.386521750072</v>
      </c>
      <c r="Y89" s="17"/>
      <c r="Z89" s="22">
        <f>IF(T89=0,0,X89/T89)</f>
        <v>-0.22150288391501718</v>
      </c>
    </row>
    <row r="90" spans="1:26" ht="15" customHeight="1" x14ac:dyDescent="0.3">
      <c r="A90" s="12"/>
      <c r="B90" s="13"/>
      <c r="C90" s="12"/>
      <c r="D90" s="4"/>
      <c r="E90" s="4"/>
      <c r="F90" s="10"/>
      <c r="G90" s="4"/>
      <c r="H90" s="4"/>
      <c r="I90" s="4"/>
      <c r="J90" s="10"/>
      <c r="K90" s="4"/>
      <c r="L90" s="4"/>
      <c r="M90" s="4"/>
      <c r="N90" s="10"/>
      <c r="P90" s="4"/>
      <c r="Q90" s="4"/>
      <c r="R90" s="10"/>
      <c r="S90" s="4"/>
      <c r="T90" s="4"/>
      <c r="U90" s="4"/>
      <c r="V90" s="10"/>
      <c r="W90" s="4"/>
      <c r="X90" s="4"/>
      <c r="Y90" s="4"/>
      <c r="Z90" s="10"/>
    </row>
    <row r="91" spans="1:26" s="63" customFormat="1" ht="15" customHeight="1" x14ac:dyDescent="0.3">
      <c r="A91" s="49"/>
      <c r="B91" s="13" t="s">
        <v>293</v>
      </c>
      <c r="C91" s="13"/>
      <c r="D91" s="8">
        <v>-66997.86</v>
      </c>
      <c r="E91" s="8"/>
      <c r="F91" s="14">
        <f>IF(D$12=0,0,D91/D$12)</f>
        <v>-5.2450256779607951</v>
      </c>
      <c r="G91" s="8"/>
      <c r="H91" s="8">
        <v>-2654</v>
      </c>
      <c r="I91" s="8"/>
      <c r="J91" s="14">
        <f>IF(H$12=0,0,H91/H$12)</f>
        <v>-0.28719835515636838</v>
      </c>
      <c r="K91" s="8"/>
      <c r="L91" s="8">
        <f>+D91-H91</f>
        <v>-64343.86</v>
      </c>
      <c r="M91" s="8"/>
      <c r="N91" s="14">
        <f>IF(H91=0,0,L91/H91)</f>
        <v>24.244107008289376</v>
      </c>
      <c r="O91" s="13"/>
      <c r="P91" s="8">
        <v>-34647.230000000003</v>
      </c>
      <c r="Q91" s="8"/>
      <c r="R91" s="14">
        <f>IF(P$12=0,0,P91/P$12)</f>
        <v>-0.11528874236047035</v>
      </c>
      <c r="S91" s="8"/>
      <c r="T91" s="8">
        <v>40772</v>
      </c>
      <c r="U91" s="8"/>
      <c r="V91" s="14">
        <f>IF(T$12=0,0,T91/T$12)</f>
        <v>0.11339572527151617</v>
      </c>
      <c r="W91" s="8"/>
      <c r="X91" s="8">
        <f>+P91-T91</f>
        <v>-75419.23000000001</v>
      </c>
      <c r="Y91" s="8"/>
      <c r="Z91" s="14">
        <f>IF(T91=0,0,X91/T91)</f>
        <v>-1.8497799960757386</v>
      </c>
    </row>
    <row r="92" spans="1:26" ht="15" customHeight="1" x14ac:dyDescent="0.3">
      <c r="A92" s="12"/>
      <c r="B92" s="13"/>
      <c r="C92" s="13"/>
      <c r="D92" s="4"/>
      <c r="E92" s="4"/>
      <c r="F92" s="10"/>
      <c r="G92" s="4"/>
      <c r="H92" s="4"/>
      <c r="I92" s="4"/>
      <c r="J92" s="10"/>
      <c r="K92" s="4"/>
      <c r="L92" s="4"/>
      <c r="M92" s="4"/>
      <c r="N92" s="10"/>
      <c r="O92" s="13"/>
      <c r="P92" s="4"/>
      <c r="Q92" s="4"/>
      <c r="R92" s="10"/>
      <c r="S92" s="4"/>
      <c r="T92" s="4"/>
      <c r="U92" s="4"/>
      <c r="V92" s="10"/>
      <c r="W92" s="4"/>
      <c r="X92" s="4"/>
      <c r="Y92" s="4"/>
      <c r="Z92" s="10"/>
    </row>
    <row r="93" spans="1:26" s="63" customFormat="1" ht="15" customHeight="1" x14ac:dyDescent="0.3">
      <c r="A93" s="13"/>
      <c r="B93" s="27" t="s">
        <v>294</v>
      </c>
      <c r="C93" s="27"/>
      <c r="D93" s="30">
        <f>+D89-D91</f>
        <v>31740.559999999998</v>
      </c>
      <c r="E93" s="15"/>
      <c r="F93" s="35">
        <f>IF(D$12=0,0,D93/D$12)</f>
        <v>2.4848562660487254</v>
      </c>
      <c r="G93" s="15"/>
      <c r="H93" s="30">
        <f>+H89-H91</f>
        <v>-16293.092781807689</v>
      </c>
      <c r="I93" s="15"/>
      <c r="J93" s="35">
        <f>IF(H$12=0,0,H93/H$12)</f>
        <v>-1.7631309145988192</v>
      </c>
      <c r="K93" s="17"/>
      <c r="L93" s="30">
        <f>D93-H93</f>
        <v>48033.652781807687</v>
      </c>
      <c r="M93" s="17"/>
      <c r="N93" s="35">
        <f>IF(H93=0,0,L93/H93)</f>
        <v>-2.9480991377794412</v>
      </c>
      <c r="O93" s="28"/>
      <c r="P93" s="30">
        <f>+P89-P91</f>
        <v>-87912.229999999894</v>
      </c>
      <c r="Q93" s="15"/>
      <c r="R93" s="35">
        <f>IF(P$12=0,0,P93/P$12)</f>
        <v>-0.29252815982127284</v>
      </c>
      <c r="S93" s="15"/>
      <c r="T93" s="30">
        <f>+T89-T91</f>
        <v>-198202.84652174998</v>
      </c>
      <c r="U93" s="15"/>
      <c r="V93" s="35">
        <f>IF(T$12=0,0,T93/T$12)</f>
        <v>-0.55124486245984616</v>
      </c>
      <c r="W93" s="17"/>
      <c r="X93" s="30">
        <f>P93-T93</f>
        <v>110290.61652175008</v>
      </c>
      <c r="Y93" s="17"/>
      <c r="Z93" s="35">
        <f>IF(T93=0,0,X93/T93)</f>
        <v>-0.55645324200551904</v>
      </c>
    </row>
    <row r="94" spans="1:26" ht="15" customHeight="1" x14ac:dyDescent="0.3">
      <c r="A94" s="12"/>
      <c r="B94" s="12"/>
      <c r="C94" s="12"/>
      <c r="D94" s="4"/>
      <c r="E94" s="4"/>
      <c r="F94" s="10"/>
      <c r="G94" s="4"/>
      <c r="H94" s="4"/>
      <c r="I94" s="4"/>
      <c r="J94" s="10"/>
      <c r="K94" s="4"/>
      <c r="L94" s="4"/>
      <c r="M94" s="4"/>
      <c r="N94" s="10"/>
      <c r="P94" s="4"/>
      <c r="Q94" s="4"/>
      <c r="R94" s="10"/>
      <c r="S94" s="4"/>
      <c r="T94" s="4"/>
      <c r="U94" s="4"/>
      <c r="V94" s="10"/>
      <c r="W94" s="4"/>
      <c r="X94" s="4"/>
      <c r="Y94" s="4"/>
      <c r="Z94" s="10"/>
    </row>
    <row r="95" spans="1:26" ht="15" customHeight="1" x14ac:dyDescent="0.3">
      <c r="A95" s="12"/>
      <c r="B95" s="12"/>
      <c r="C95" s="12"/>
      <c r="D95" s="4"/>
      <c r="E95" s="4"/>
      <c r="F95" s="10"/>
      <c r="G95" s="4"/>
      <c r="H95" s="4"/>
      <c r="I95" s="4"/>
      <c r="J95" s="10"/>
      <c r="K95" s="4"/>
      <c r="L95" s="4"/>
      <c r="M95" s="4"/>
      <c r="N95" s="10"/>
      <c r="P95" s="4"/>
      <c r="Q95" s="4"/>
      <c r="R95" s="10"/>
      <c r="S95" s="4"/>
      <c r="T95" s="4"/>
      <c r="U95" s="4"/>
      <c r="V95" s="10"/>
      <c r="W95" s="4"/>
      <c r="X95" s="4"/>
      <c r="Y95" s="4"/>
      <c r="Z95" s="10"/>
    </row>
    <row r="96" spans="1:26" s="63" customFormat="1" ht="15" customHeight="1" x14ac:dyDescent="0.3">
      <c r="A96" s="13"/>
      <c r="B96" s="27" t="s">
        <v>297</v>
      </c>
      <c r="C96" s="27"/>
      <c r="D96" s="33">
        <f>SUM(D93:D95)</f>
        <v>31740.559999999998</v>
      </c>
      <c r="E96" s="15"/>
      <c r="F96" s="31">
        <f>IF(D$12=0,0,D96/D$12)</f>
        <v>2.4848562660487254</v>
      </c>
      <c r="G96" s="15"/>
      <c r="H96" s="33">
        <f>SUM(H93:H95)</f>
        <v>-16293.092781807689</v>
      </c>
      <c r="I96" s="15"/>
      <c r="J96" s="31">
        <f>IF(H$12=0,0,H96/H$12)</f>
        <v>-1.7631309145988192</v>
      </c>
      <c r="K96" s="17"/>
      <c r="L96" s="33">
        <f>+D96-H96</f>
        <v>48033.652781807687</v>
      </c>
      <c r="M96" s="17"/>
      <c r="N96" s="31">
        <f>IF(H96=0,0,L96/H96)</f>
        <v>-2.9480991377794412</v>
      </c>
      <c r="O96" s="28"/>
      <c r="P96" s="33">
        <f>SUM(P93:P95)</f>
        <v>-87912.229999999894</v>
      </c>
      <c r="Q96" s="15"/>
      <c r="R96" s="31">
        <f>IF(P$12=0,0,P96/P$12)</f>
        <v>-0.29252815982127284</v>
      </c>
      <c r="S96" s="15"/>
      <c r="T96" s="33">
        <f>SUM(T93:T95)</f>
        <v>-198202.84652174998</v>
      </c>
      <c r="U96" s="15"/>
      <c r="V96" s="31">
        <f>IF(T$12=0,0,T96/T$12)</f>
        <v>-0.55124486245984616</v>
      </c>
      <c r="W96" s="17"/>
      <c r="X96" s="33">
        <f>+P96-T96</f>
        <v>110290.61652175008</v>
      </c>
      <c r="Y96" s="17"/>
      <c r="Z96" s="31">
        <f>IF(T96=0,0,X96/T96)</f>
        <v>-0.55645324200551904</v>
      </c>
    </row>
    <row r="97" spans="1:24" ht="15" customHeight="1" x14ac:dyDescent="0.3">
      <c r="A97" s="12"/>
      <c r="C97" s="12"/>
      <c r="D97" s="19"/>
      <c r="E97" s="19"/>
      <c r="G97" s="19"/>
      <c r="H97" s="19"/>
      <c r="I97" s="19"/>
      <c r="J97" s="41"/>
      <c r="K97" s="19"/>
      <c r="L97" s="19"/>
      <c r="M97" s="19"/>
      <c r="P97" s="19"/>
      <c r="Q97" s="19"/>
      <c r="R97" s="41"/>
      <c r="S97" s="19"/>
      <c r="T97" s="19"/>
      <c r="U97" s="19"/>
      <c r="V97" s="41"/>
      <c r="W97" s="19"/>
      <c r="X97" s="19"/>
    </row>
    <row r="98" spans="1:24" ht="15" customHeight="1" x14ac:dyDescent="0.3">
      <c r="A98" s="12"/>
      <c r="B98" s="50">
        <v>44767.799547766204</v>
      </c>
      <c r="D98" s="19"/>
      <c r="E98" s="19"/>
      <c r="G98" s="19"/>
      <c r="H98" s="19"/>
      <c r="I98" s="19"/>
      <c r="J98" s="41"/>
      <c r="K98" s="19"/>
      <c r="L98" s="19"/>
      <c r="M98" s="19"/>
      <c r="P98" s="19"/>
      <c r="Q98" s="19"/>
      <c r="R98" s="41"/>
      <c r="S98" s="19"/>
      <c r="T98" s="19"/>
      <c r="U98" s="19"/>
      <c r="V98" s="41"/>
      <c r="W98" s="19"/>
      <c r="X98" s="19"/>
    </row>
    <row r="99" spans="1:24" ht="15" customHeight="1" x14ac:dyDescent="0.3">
      <c r="A99" s="12"/>
      <c r="B99" s="57" t="s">
        <v>298</v>
      </c>
      <c r="D99" s="19"/>
      <c r="E99" s="19"/>
      <c r="G99" s="19"/>
      <c r="H99" s="19"/>
      <c r="I99" s="19"/>
      <c r="J99" s="41"/>
      <c r="K99" s="19"/>
      <c r="L99" s="19"/>
      <c r="M99" s="19"/>
      <c r="P99" s="19"/>
      <c r="Q99" s="19"/>
      <c r="R99" s="41"/>
      <c r="S99" s="19"/>
      <c r="T99" s="19"/>
      <c r="U99" s="19"/>
      <c r="V99" s="41"/>
      <c r="W99" s="19"/>
      <c r="X99" s="19"/>
    </row>
    <row r="100" spans="1:24" ht="15" customHeight="1" x14ac:dyDescent="0.3">
      <c r="A100" s="12"/>
      <c r="B100" s="51"/>
      <c r="D100" s="19"/>
      <c r="E100" s="19"/>
      <c r="G100" s="19"/>
      <c r="H100" s="19"/>
      <c r="I100" s="19"/>
      <c r="J100" s="41"/>
      <c r="K100" s="19"/>
      <c r="L100" s="19"/>
      <c r="M100" s="19"/>
      <c r="P100" s="19"/>
      <c r="Q100" s="19"/>
      <c r="R100" s="41"/>
      <c r="S100" s="19"/>
      <c r="T100" s="19"/>
      <c r="U100" s="19"/>
      <c r="V100" s="41"/>
      <c r="W100" s="19"/>
      <c r="X100" s="19"/>
    </row>
    <row r="101" spans="1:24" ht="15" customHeight="1" x14ac:dyDescent="0.3">
      <c r="D101" s="19"/>
      <c r="E101" s="19"/>
      <c r="G101" s="19"/>
      <c r="H101" s="19"/>
      <c r="I101" s="19"/>
      <c r="J101" s="41"/>
      <c r="K101" s="19"/>
      <c r="L101" s="19"/>
      <c r="M101" s="19"/>
      <c r="P101" s="19"/>
      <c r="Q101" s="19"/>
      <c r="R101" s="41"/>
      <c r="S101" s="19"/>
      <c r="T101" s="19"/>
      <c r="U101" s="19"/>
      <c r="V101" s="41"/>
      <c r="W101" s="19"/>
      <c r="X101" s="19"/>
    </row>
  </sheetData>
  <pageMargins left="0.25" right="0.25" top="0.75" bottom="0.75" header="0.3" footer="0.3"/>
  <pageSetup scale="55" orientation="landscape" r:id="rId1"/>
  <headerFooter>
    <oddHeader>&amp;RPre-Audit</oddHeader>
    <oddFooter>&amp;L&amp;C&amp;R</oddFooter>
    <evenHeader>&amp;L&amp;C&amp;R</evenHeader>
    <evenFooter>&amp;L&amp;C&amp;R</even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42A95D-A8EF-FF41-6C16-3E3AEA489145}">
  <sheetPr>
    <tabColor rgb="FF92D050"/>
    <outlinePr summaryBelow="0" summaryRight="0"/>
  </sheetPr>
  <dimension ref="A2:Z44"/>
  <sheetViews>
    <sheetView showGridLines="0" defaultGridColor="0" colorId="8" zoomScale="80" workbookViewId="0">
      <pane xSplit="3" ySplit="10" topLeftCell="D11" activePane="bottomRight" state="frozen"/>
      <selection activeCell="D78" sqref="D78"/>
      <selection pane="topRight" activeCell="D78" sqref="D78"/>
      <selection pane="bottomLeft" activeCell="D78" sqref="D78"/>
      <selection pane="bottomRight" activeCell="D78" sqref="D78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3" t="s">
        <v>276</v>
      </c>
    </row>
    <row r="3" spans="1:26" ht="15" customHeight="1" x14ac:dyDescent="0.3">
      <c r="D3" s="53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3" t="str">
        <f>CONCATENATE("Period ",RIGHT(202212,2),", ",2022)</f>
        <v>Period 12,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5"/>
      <c r="D5" s="60">
        <v>44742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5"/>
      <c r="B6" s="47"/>
      <c r="C6" s="47"/>
      <c r="D6" s="25" t="str">
        <f>CONCATENATE("Department ","327"," - ","C-Store Vending Machine(s)")</f>
        <v>Department 327 - C-Store Vending Machine(s)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4"/>
    </row>
    <row r="8" spans="1:26" ht="15" customHeight="1" x14ac:dyDescent="0.3">
      <c r="B8" s="54"/>
    </row>
    <row r="9" spans="1:26" ht="15" customHeight="1" x14ac:dyDescent="0.3">
      <c r="B9" s="12"/>
      <c r="C9" s="12"/>
      <c r="D9" s="16" t="s">
        <v>279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280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ht="15" customHeight="1" x14ac:dyDescent="0.3">
      <c r="A10" s="13"/>
      <c r="B10" s="52"/>
      <c r="C10" s="13"/>
      <c r="D10" s="40" t="s">
        <v>281</v>
      </c>
      <c r="E10" s="32"/>
      <c r="F10" s="39" t="s">
        <v>282</v>
      </c>
      <c r="G10" s="32"/>
      <c r="H10" s="45" t="s">
        <v>283</v>
      </c>
      <c r="I10" s="32"/>
      <c r="J10" s="42" t="s">
        <v>284</v>
      </c>
      <c r="K10" s="13"/>
      <c r="L10" s="40" t="s">
        <v>285</v>
      </c>
      <c r="M10" s="13"/>
      <c r="N10" s="39" t="s">
        <v>286</v>
      </c>
      <c r="O10" s="13"/>
      <c r="P10" s="55" t="s">
        <v>281</v>
      </c>
      <c r="Q10" s="32"/>
      <c r="R10" s="39" t="s">
        <v>282</v>
      </c>
      <c r="S10" s="32"/>
      <c r="T10" s="45" t="s">
        <v>283</v>
      </c>
      <c r="U10" s="32"/>
      <c r="V10" s="42" t="s">
        <v>284</v>
      </c>
      <c r="W10" s="13"/>
      <c r="X10" s="40" t="s">
        <v>285</v>
      </c>
      <c r="Y10" s="13"/>
      <c r="Z10" s="39" t="s">
        <v>286</v>
      </c>
    </row>
    <row r="11" spans="1:26" ht="16.5" customHeight="1" x14ac:dyDescent="0.3">
      <c r="A11" s="12"/>
      <c r="B11" s="58"/>
      <c r="C11" s="12"/>
      <c r="D11" s="12"/>
      <c r="E11" s="12"/>
      <c r="F11" s="10"/>
      <c r="G11" s="12"/>
      <c r="H11" s="12"/>
      <c r="I11" s="12"/>
      <c r="J11" s="43"/>
      <c r="K11" s="12"/>
      <c r="L11" s="12"/>
      <c r="M11" s="12"/>
      <c r="N11" s="10"/>
      <c r="P11" s="12"/>
      <c r="Q11" s="12"/>
      <c r="R11" s="10"/>
      <c r="S11" s="12"/>
      <c r="T11" s="12"/>
      <c r="U11" s="12"/>
      <c r="V11" s="43"/>
      <c r="W11" s="12"/>
      <c r="X11" s="12"/>
      <c r="Y11" s="12"/>
      <c r="Z11" s="10"/>
    </row>
    <row r="12" spans="1:26" s="63" customFormat="1" ht="15" customHeight="1" collapsed="1" x14ac:dyDescent="0.3">
      <c r="A12" s="13"/>
      <c r="B12" s="28" t="s">
        <v>287</v>
      </c>
      <c r="C12" s="13"/>
      <c r="D12" s="8">
        <f>SUM(OSRRefD13x_0)</f>
        <v>0</v>
      </c>
      <c r="E12" s="8"/>
      <c r="F12" s="14"/>
      <c r="G12" s="8"/>
      <c r="H12" s="8">
        <f>SUM(OSRRefH13x_0)</f>
        <v>50</v>
      </c>
      <c r="I12" s="8"/>
      <c r="J12" s="14"/>
      <c r="K12" s="8"/>
      <c r="L12" s="8">
        <f>+D12-H12</f>
        <v>-50</v>
      </c>
      <c r="M12" s="8"/>
      <c r="N12" s="14">
        <f>IF(H12=0,0,L12/H12)</f>
        <v>-1</v>
      </c>
      <c r="O12" s="13"/>
      <c r="P12" s="8">
        <f>SUM(OSRRefP13x_0)</f>
        <v>1827.05</v>
      </c>
      <c r="Q12" s="8"/>
      <c r="R12" s="14"/>
      <c r="S12" s="8"/>
      <c r="T12" s="8">
        <f>SUM(OSRRefT13x_0)</f>
        <v>925</v>
      </c>
      <c r="U12" s="8"/>
      <c r="V12" s="14"/>
      <c r="W12" s="8"/>
      <c r="X12" s="8">
        <f>+P12-T12</f>
        <v>902.05</v>
      </c>
      <c r="Y12" s="8"/>
      <c r="Z12" s="14">
        <f>IF(T12=0,0,X12/T12)</f>
        <v>0.97518918918918918</v>
      </c>
    </row>
    <row r="13" spans="1:26" s="70" customFormat="1" ht="15" hidden="1" customHeight="1" outlineLevel="1" x14ac:dyDescent="0.3">
      <c r="A13" s="48"/>
      <c r="B13" s="9" t="str">
        <f>CONCATENATE("          ","4000"," - ","TAXABLE SALES")</f>
        <v xml:space="preserve">          4000 - TAXABLE SALES</v>
      </c>
      <c r="C13" s="9"/>
      <c r="D13" s="3">
        <f>0</f>
        <v>0</v>
      </c>
      <c r="E13" s="3"/>
      <c r="F13" s="26"/>
      <c r="G13" s="3"/>
      <c r="H13" s="3">
        <v>50</v>
      </c>
      <c r="I13" s="3"/>
      <c r="J13" s="26"/>
      <c r="K13" s="3"/>
      <c r="L13" s="3">
        <f>+D13-H13</f>
        <v>-50</v>
      </c>
      <c r="M13" s="3"/>
      <c r="N13" s="26">
        <f>IF(H13=0,0,L13/H13)</f>
        <v>-1</v>
      </c>
      <c r="O13" s="9"/>
      <c r="P13" s="3">
        <f>0</f>
        <v>0</v>
      </c>
      <c r="Q13" s="3"/>
      <c r="R13" s="26"/>
      <c r="S13" s="3"/>
      <c r="T13" s="3">
        <v>925</v>
      </c>
      <c r="U13" s="3"/>
      <c r="V13" s="26"/>
      <c r="W13" s="3"/>
      <c r="X13" s="3">
        <f>+P13-T13</f>
        <v>-925</v>
      </c>
      <c r="Y13" s="3"/>
      <c r="Z13" s="26">
        <f>IF(T13=0,0,X13/T13)</f>
        <v>-1</v>
      </c>
    </row>
    <row r="14" spans="1:26" s="70" customFormat="1" ht="15" hidden="1" customHeight="1" outlineLevel="1" x14ac:dyDescent="0.3">
      <c r="A14" s="48"/>
      <c r="B14" s="9" t="str">
        <f>CONCATENATE("          ","4053"," - ","TAXABLE SALES-FOOD")</f>
        <v xml:space="preserve">          4053 - TAXABLE SALES-FOOD</v>
      </c>
      <c r="C14" s="9"/>
      <c r="D14" s="3">
        <f>0</f>
        <v>0</v>
      </c>
      <c r="E14" s="3"/>
      <c r="F14" s="26"/>
      <c r="G14" s="3"/>
      <c r="H14" s="3"/>
      <c r="I14" s="3"/>
      <c r="J14" s="26"/>
      <c r="K14" s="3"/>
      <c r="L14" s="3">
        <f>+D14-H14</f>
        <v>0</v>
      </c>
      <c r="M14" s="3"/>
      <c r="N14" s="26">
        <f>IF(H14=0,0,L14/H14)</f>
        <v>0</v>
      </c>
      <c r="O14" s="9"/>
      <c r="P14" s="3">
        <f>--1827.05</f>
        <v>1827.05</v>
      </c>
      <c r="Q14" s="3"/>
      <c r="R14" s="26"/>
      <c r="S14" s="3"/>
      <c r="T14" s="3"/>
      <c r="U14" s="3"/>
      <c r="V14" s="26"/>
      <c r="W14" s="3"/>
      <c r="X14" s="3">
        <f>+P14-T14</f>
        <v>1827.05</v>
      </c>
      <c r="Y14" s="3"/>
      <c r="Z14" s="26">
        <f>IF(T14=0,0,X14/T14)</f>
        <v>0</v>
      </c>
    </row>
    <row r="15" spans="1:26" s="70" customFormat="1" ht="15" hidden="1" customHeight="1" outlineLevel="1" x14ac:dyDescent="0.3">
      <c r="A15" s="48"/>
      <c r="B15" s="9" t="str">
        <f>CONCATENATE("          ","4153"," - ","NON-TAXABLE SALES-FOOD")</f>
        <v xml:space="preserve">          4153 - NON-TAXABLE SALES-FOOD</v>
      </c>
      <c r="C15" s="9"/>
      <c r="D15" s="3">
        <f>0</f>
        <v>0</v>
      </c>
      <c r="E15" s="3"/>
      <c r="F15" s="26"/>
      <c r="G15" s="3"/>
      <c r="H15" s="3"/>
      <c r="I15" s="3"/>
      <c r="J15" s="26"/>
      <c r="K15" s="3"/>
      <c r="L15" s="3">
        <f>+D15-H15</f>
        <v>0</v>
      </c>
      <c r="M15" s="3"/>
      <c r="N15" s="26">
        <f>IF(H15=0,0,L15/H15)</f>
        <v>0</v>
      </c>
      <c r="O15" s="9"/>
      <c r="P15" s="3">
        <f>0</f>
        <v>0</v>
      </c>
      <c r="Q15" s="3"/>
      <c r="R15" s="26"/>
      <c r="S15" s="3"/>
      <c r="T15" s="3"/>
      <c r="U15" s="3"/>
      <c r="V15" s="26"/>
      <c r="W15" s="3"/>
      <c r="X15" s="3">
        <f>+P15-T15</f>
        <v>0</v>
      </c>
      <c r="Y15" s="3"/>
      <c r="Z15" s="26">
        <f>IF(T15=0,0,X15/T15)</f>
        <v>0</v>
      </c>
    </row>
    <row r="16" spans="1:26" ht="15" customHeight="1" x14ac:dyDescent="0.3">
      <c r="A16" s="12"/>
      <c r="B16" s="13"/>
      <c r="C16" s="12"/>
      <c r="D16" s="4"/>
      <c r="E16" s="4"/>
      <c r="F16" s="10"/>
      <c r="G16" s="4"/>
      <c r="H16" s="4"/>
      <c r="I16" s="4"/>
      <c r="J16" s="10"/>
      <c r="K16" s="4"/>
      <c r="L16" s="4"/>
      <c r="M16" s="4"/>
      <c r="N16" s="10"/>
      <c r="P16" s="4"/>
      <c r="Q16" s="4"/>
      <c r="R16" s="10"/>
      <c r="S16" s="4"/>
      <c r="T16" s="4"/>
      <c r="U16" s="4"/>
      <c r="V16" s="10"/>
      <c r="W16" s="4"/>
      <c r="X16" s="4"/>
      <c r="Y16" s="4"/>
      <c r="Z16" s="10"/>
    </row>
    <row r="17" spans="1:26" s="63" customFormat="1" ht="15" customHeight="1" collapsed="1" x14ac:dyDescent="0.3">
      <c r="A17" s="13"/>
      <c r="B17" s="28" t="s">
        <v>288</v>
      </c>
      <c r="C17" s="13"/>
      <c r="D17" s="8">
        <f>SUM(OSRRefD16x_0)</f>
        <v>0</v>
      </c>
      <c r="E17" s="8"/>
      <c r="F17" s="14">
        <f>IF(D$12=0,0,D17/D$12)</f>
        <v>0</v>
      </c>
      <c r="G17" s="8"/>
      <c r="H17" s="8">
        <f>SUM(OSRRefH16x_0)</f>
        <v>25</v>
      </c>
      <c r="I17" s="8"/>
      <c r="J17" s="14">
        <f>IF(H$12=0,0,H17/H$12)</f>
        <v>0.5</v>
      </c>
      <c r="K17" s="8"/>
      <c r="L17" s="8">
        <f>+D17-H17</f>
        <v>-25</v>
      </c>
      <c r="M17" s="8"/>
      <c r="N17" s="14">
        <f>IF(H17=0,0,L17/H17)</f>
        <v>-1</v>
      </c>
      <c r="O17" s="13"/>
      <c r="P17" s="8">
        <f>SUM(OSRRefP16x_0)</f>
        <v>179.2</v>
      </c>
      <c r="Q17" s="8"/>
      <c r="R17" s="14">
        <f>IF(P$12=0,0,P17/P$12)</f>
        <v>9.8081606962042628E-2</v>
      </c>
      <c r="S17" s="8"/>
      <c r="T17" s="8">
        <f>SUM(OSRRefT16x_0)</f>
        <v>464</v>
      </c>
      <c r="U17" s="8"/>
      <c r="V17" s="14">
        <f>IF(T$12=0,0,T17/T$12)</f>
        <v>0.50162162162162161</v>
      </c>
      <c r="W17" s="8"/>
      <c r="X17" s="8">
        <f>+P17-T17</f>
        <v>-284.8</v>
      </c>
      <c r="Y17" s="8"/>
      <c r="Z17" s="14">
        <f>IF(T17=0,0,X17/T17)</f>
        <v>-0.61379310344827587</v>
      </c>
    </row>
    <row r="18" spans="1:26" s="70" customFormat="1" ht="15" hidden="1" customHeight="1" outlineLevel="1" x14ac:dyDescent="0.3">
      <c r="A18" s="48"/>
      <c r="B18" s="9" t="str">
        <f>CONCATENATE("          ","5000"," - ","PURCHASES @ COST")</f>
        <v xml:space="preserve">          5000 - PURCHASES @ COST</v>
      </c>
      <c r="C18" s="9"/>
      <c r="D18" s="3"/>
      <c r="E18" s="3"/>
      <c r="F18" s="26">
        <f>IF(D$12=0,0,D18/D$12)</f>
        <v>0</v>
      </c>
      <c r="G18" s="3"/>
      <c r="H18" s="3">
        <v>25</v>
      </c>
      <c r="I18" s="3"/>
      <c r="J18" s="26">
        <f>IF(H$12=0,0,H18/H$12)</f>
        <v>0.5</v>
      </c>
      <c r="K18" s="3"/>
      <c r="L18" s="3">
        <f>+D18-H18</f>
        <v>-25</v>
      </c>
      <c r="M18" s="3"/>
      <c r="N18" s="26">
        <f>IF(H18=0,0,L18/H18)</f>
        <v>-1</v>
      </c>
      <c r="O18" s="9"/>
      <c r="P18" s="3"/>
      <c r="Q18" s="3"/>
      <c r="R18" s="26">
        <f>IF(P$12=0,0,P18/P$12)</f>
        <v>0</v>
      </c>
      <c r="S18" s="3"/>
      <c r="T18" s="3">
        <v>464</v>
      </c>
      <c r="U18" s="3"/>
      <c r="V18" s="26">
        <f>IF(T$12=0,0,T18/T$12)</f>
        <v>0.50162162162162161</v>
      </c>
      <c r="W18" s="3"/>
      <c r="X18" s="3">
        <f>+P18-T18</f>
        <v>-464</v>
      </c>
      <c r="Y18" s="3"/>
      <c r="Z18" s="26">
        <f>IF(T18=0,0,X18/T18)</f>
        <v>-1</v>
      </c>
    </row>
    <row r="19" spans="1:26" s="70" customFormat="1" ht="15" hidden="1" customHeight="1" outlineLevel="1" x14ac:dyDescent="0.3">
      <c r="A19" s="48"/>
      <c r="B19" s="9" t="str">
        <f>CONCATENATE("          ","5053"," - ","PURCHASES @ COST-FOOD")</f>
        <v xml:space="preserve">          5053 - PURCHASES @ COST-FOOD</v>
      </c>
      <c r="C19" s="9"/>
      <c r="D19" s="3"/>
      <c r="E19" s="3"/>
      <c r="F19" s="26">
        <f>IF(D$12=0,0,D19/D$12)</f>
        <v>0</v>
      </c>
      <c r="G19" s="3"/>
      <c r="H19" s="3"/>
      <c r="I19" s="3"/>
      <c r="J19" s="26">
        <f>IF(H$12=0,0,H19/H$12)</f>
        <v>0</v>
      </c>
      <c r="K19" s="3"/>
      <c r="L19" s="3">
        <f>+D19-H19</f>
        <v>0</v>
      </c>
      <c r="M19" s="3"/>
      <c r="N19" s="26">
        <f>IF(H19=0,0,L19/H19)</f>
        <v>0</v>
      </c>
      <c r="O19" s="9"/>
      <c r="P19" s="3">
        <v>45</v>
      </c>
      <c r="Q19" s="3"/>
      <c r="R19" s="26">
        <f>IF(P$12=0,0,P19/P$12)</f>
        <v>2.462986781970937E-2</v>
      </c>
      <c r="S19" s="3"/>
      <c r="T19" s="3"/>
      <c r="U19" s="3"/>
      <c r="V19" s="26">
        <f>IF(T$12=0,0,T19/T$12)</f>
        <v>0</v>
      </c>
      <c r="W19" s="3"/>
      <c r="X19" s="3">
        <f>+P19-T19</f>
        <v>45</v>
      </c>
      <c r="Y19" s="3"/>
      <c r="Z19" s="26">
        <f>IF(T19=0,0,X19/T19)</f>
        <v>0</v>
      </c>
    </row>
    <row r="20" spans="1:26" s="70" customFormat="1" ht="15" hidden="1" customHeight="1" outlineLevel="1" x14ac:dyDescent="0.3">
      <c r="A20" s="48"/>
      <c r="B20" s="9" t="str">
        <f>CONCATENATE("          ","5059"," - ","PURCHASES @ COST-FOOD")</f>
        <v xml:space="preserve">          5059 - PURCHASES @ COST-FOOD</v>
      </c>
      <c r="C20" s="9"/>
      <c r="D20" s="3"/>
      <c r="E20" s="3"/>
      <c r="F20" s="26">
        <f>IF(D$12=0,0,D20/D$12)</f>
        <v>0</v>
      </c>
      <c r="G20" s="3"/>
      <c r="H20" s="3"/>
      <c r="I20" s="3"/>
      <c r="J20" s="26">
        <f>IF(H$12=0,0,H20/H$12)</f>
        <v>0</v>
      </c>
      <c r="K20" s="3"/>
      <c r="L20" s="3">
        <f>+D20-H20</f>
        <v>0</v>
      </c>
      <c r="M20" s="3"/>
      <c r="N20" s="26">
        <f>IF(H20=0,0,L20/H20)</f>
        <v>0</v>
      </c>
      <c r="O20" s="9"/>
      <c r="P20" s="3">
        <v>134.19999999999999</v>
      </c>
      <c r="Q20" s="3"/>
      <c r="R20" s="26">
        <f>IF(P$12=0,0,P20/P$12)</f>
        <v>7.3451739142333258E-2</v>
      </c>
      <c r="S20" s="3"/>
      <c r="T20" s="3"/>
      <c r="U20" s="3"/>
      <c r="V20" s="26">
        <f>IF(T$12=0,0,T20/T$12)</f>
        <v>0</v>
      </c>
      <c r="W20" s="3"/>
      <c r="X20" s="3">
        <f>+P20-T20</f>
        <v>134.19999999999999</v>
      </c>
      <c r="Y20" s="3"/>
      <c r="Z20" s="26">
        <f>IF(T20=0,0,X20/T20)</f>
        <v>0</v>
      </c>
    </row>
    <row r="21" spans="1:26" ht="15" customHeight="1" x14ac:dyDescent="0.3">
      <c r="A21" s="12"/>
      <c r="B21" s="13"/>
      <c r="C21" s="13"/>
      <c r="D21" s="4"/>
      <c r="E21" s="4"/>
      <c r="F21" s="10"/>
      <c r="G21" s="4"/>
      <c r="H21" s="4"/>
      <c r="I21" s="4"/>
      <c r="J21" s="10"/>
      <c r="K21" s="4"/>
      <c r="L21" s="4"/>
      <c r="M21" s="4"/>
      <c r="N21" s="10"/>
      <c r="O21" s="13"/>
      <c r="P21" s="4"/>
      <c r="Q21" s="4"/>
      <c r="R21" s="10"/>
      <c r="S21" s="4"/>
      <c r="T21" s="4"/>
      <c r="U21" s="4"/>
      <c r="V21" s="10"/>
      <c r="W21" s="4"/>
      <c r="X21" s="4"/>
      <c r="Y21" s="4"/>
      <c r="Z21" s="10"/>
    </row>
    <row r="22" spans="1:26" s="63" customFormat="1" ht="15" customHeight="1" x14ac:dyDescent="0.3">
      <c r="A22" s="13"/>
      <c r="B22" s="27" t="s">
        <v>289</v>
      </c>
      <c r="C22" s="27"/>
      <c r="D22" s="23">
        <f>D12-D17</f>
        <v>0</v>
      </c>
      <c r="E22" s="15"/>
      <c r="F22" s="22">
        <f>IF(D$12=0,0,D22/D$12)</f>
        <v>0</v>
      </c>
      <c r="G22" s="15"/>
      <c r="H22" s="23">
        <f>H12-H17</f>
        <v>25</v>
      </c>
      <c r="I22" s="15"/>
      <c r="J22" s="22">
        <f>IF(H$12=0,0,H22/H$12)</f>
        <v>0.5</v>
      </c>
      <c r="K22" s="17"/>
      <c r="L22" s="23">
        <f>+D22-H22</f>
        <v>-25</v>
      </c>
      <c r="M22" s="17"/>
      <c r="N22" s="22">
        <f>IF(H22=0,0,L22/H22)</f>
        <v>-1</v>
      </c>
      <c r="O22" s="28"/>
      <c r="P22" s="23">
        <f>P12-P17</f>
        <v>1647.85</v>
      </c>
      <c r="Q22" s="15"/>
      <c r="R22" s="22">
        <f>IF(P$12=0,0,P22/P$12)</f>
        <v>0.90191839303795729</v>
      </c>
      <c r="S22" s="15"/>
      <c r="T22" s="23">
        <f>T12-T17</f>
        <v>461</v>
      </c>
      <c r="U22" s="15"/>
      <c r="V22" s="22">
        <f>IF(T$12=0,0,T22/T$12)</f>
        <v>0.49837837837837839</v>
      </c>
      <c r="W22" s="17"/>
      <c r="X22" s="23">
        <f>+P22-T22</f>
        <v>1186.8499999999999</v>
      </c>
      <c r="Y22" s="17"/>
      <c r="Z22" s="22">
        <f>IF(T22=0,0,X22/T22)</f>
        <v>2.574511930585683</v>
      </c>
    </row>
    <row r="23" spans="1:26" ht="15" customHeight="1" x14ac:dyDescent="0.3">
      <c r="A23" s="12"/>
      <c r="B23" s="13"/>
      <c r="C23" s="12"/>
      <c r="D23" s="2"/>
      <c r="E23" s="2"/>
      <c r="F23" s="5"/>
      <c r="G23" s="2"/>
      <c r="H23" s="2"/>
      <c r="I23" s="2"/>
      <c r="J23" s="5"/>
      <c r="K23" s="2"/>
      <c r="L23" s="2"/>
      <c r="M23" s="2"/>
      <c r="N23" s="5"/>
      <c r="O23" s="36"/>
      <c r="P23" s="2"/>
      <c r="Q23" s="2"/>
      <c r="R23" s="5"/>
      <c r="S23" s="2"/>
      <c r="T23" s="2"/>
      <c r="U23" s="2"/>
      <c r="V23" s="5"/>
      <c r="W23" s="2"/>
      <c r="X23" s="2"/>
      <c r="Y23" s="2"/>
      <c r="Z23" s="5"/>
    </row>
    <row r="24" spans="1:26" s="63" customFormat="1" ht="15" customHeight="1" x14ac:dyDescent="0.3">
      <c r="A24" s="13"/>
      <c r="B24" s="28" t="s">
        <v>290</v>
      </c>
      <c r="C24" s="13"/>
      <c r="D24" s="24" cm="1">
        <f t="array" ref="D24">SUM(OSRRefD22x_0)</f>
        <v>0</v>
      </c>
      <c r="E24" s="24"/>
      <c r="F24" s="34">
        <f>IF(D$12=0,0,D24/D$12)</f>
        <v>0</v>
      </c>
      <c r="G24" s="24"/>
      <c r="H24" s="24" cm="1">
        <f t="array" ref="H24">SUM(OSRRefH22x_0)</f>
        <v>4.5</v>
      </c>
      <c r="I24" s="24"/>
      <c r="J24" s="34">
        <f>IF(H$12=0,0,H24/H$12)</f>
        <v>0.09</v>
      </c>
      <c r="K24" s="8"/>
      <c r="L24" s="24">
        <f>+D24-H24</f>
        <v>-4.5</v>
      </c>
      <c r="M24" s="8"/>
      <c r="N24" s="34">
        <f>IF(H24=0,0,L24/H24)</f>
        <v>-1</v>
      </c>
      <c r="O24" s="13"/>
      <c r="P24" s="24" cm="1">
        <f t="array" ref="P24">SUM(OSRRefP22x_0)</f>
        <v>1506.08</v>
      </c>
      <c r="Q24" s="24"/>
      <c r="R24" s="34">
        <f>IF(P$12=0,0,P24/P$12)</f>
        <v>0.82432336279795293</v>
      </c>
      <c r="S24" s="24"/>
      <c r="T24" s="24" cm="1">
        <f t="array" ref="T24">SUM(OSRRefT22x_0)</f>
        <v>83.25</v>
      </c>
      <c r="U24" s="24"/>
      <c r="V24" s="34">
        <f>IF(T$12=0,0,T24/T$12)</f>
        <v>0.09</v>
      </c>
      <c r="W24" s="8"/>
      <c r="X24" s="24">
        <f>+P24-T24</f>
        <v>1422.83</v>
      </c>
      <c r="Y24" s="8"/>
      <c r="Z24" s="34">
        <f>IF(T24=0,0,X24/T24)</f>
        <v>17.09105105105105</v>
      </c>
    </row>
    <row r="25" spans="1:26" s="69" customFormat="1" ht="15" customHeight="1" outlineLevel="1" collapsed="1" x14ac:dyDescent="0.3">
      <c r="A25" s="20"/>
      <c r="B25" s="11" t="str">
        <f>CONCATENATE("     ","Bank/card Fees                                    ")</f>
        <v xml:space="preserve">     Bank/card Fees                                    </v>
      </c>
      <c r="C25" s="11"/>
      <c r="D25" s="2">
        <f>SUM(OSRRefD22_0x_0)</f>
        <v>0</v>
      </c>
      <c r="E25" s="2"/>
      <c r="F25" s="5">
        <f>IF(D$12=0,0,D25/D$12)</f>
        <v>0</v>
      </c>
      <c r="G25" s="2"/>
      <c r="H25" s="2">
        <f>SUM(OSRRefH22_0x_0)</f>
        <v>4.5</v>
      </c>
      <c r="I25" s="2"/>
      <c r="J25" s="5">
        <f>IF(H$12=0,0,H25/H$12)</f>
        <v>0.09</v>
      </c>
      <c r="K25" s="2"/>
      <c r="L25" s="2">
        <f>+D25-H25</f>
        <v>-4.5</v>
      </c>
      <c r="M25" s="2"/>
      <c r="N25" s="5">
        <f>IF(H25=0,0,L25/H25)</f>
        <v>-1</v>
      </c>
      <c r="O25" s="11"/>
      <c r="P25" s="2">
        <f>SUM(OSRRefP22_0x_0)</f>
        <v>747.2</v>
      </c>
      <c r="Q25" s="2"/>
      <c r="R25" s="5">
        <f>IF(P$12=0,0,P25/P$12)</f>
        <v>0.40896527188637427</v>
      </c>
      <c r="S25" s="2"/>
      <c r="T25" s="2">
        <f>SUM(OSRRefT22_0x_0)</f>
        <v>83.25</v>
      </c>
      <c r="U25" s="2"/>
      <c r="V25" s="5">
        <f>IF(T$12=0,0,T25/T$12)</f>
        <v>0.09</v>
      </c>
      <c r="W25" s="2"/>
      <c r="X25" s="2">
        <f>+P25-T25</f>
        <v>663.95</v>
      </c>
      <c r="Y25" s="2"/>
      <c r="Z25" s="5">
        <f>IF(T25=0,0,X25/T25)</f>
        <v>7.9753753753753758</v>
      </c>
    </row>
    <row r="26" spans="1:26" s="70" customFormat="1" ht="15" hidden="1" customHeight="1" outlineLevel="2" x14ac:dyDescent="0.3">
      <c r="A26" s="21"/>
      <c r="B26" s="9" t="str">
        <f>CONCATENATE("          ","6381"," - ","BANK/CREDIT CARD FEES")</f>
        <v xml:space="preserve">          6381 - BANK/CREDIT CARD FEES</v>
      </c>
      <c r="C26" s="9"/>
      <c r="D26" s="6"/>
      <c r="E26" s="3"/>
      <c r="F26" s="7">
        <f>IF(D$12=0,0,D26/D$12)</f>
        <v>0</v>
      </c>
      <c r="G26" s="3"/>
      <c r="H26" s="6">
        <v>4.5</v>
      </c>
      <c r="I26" s="3"/>
      <c r="J26" s="7">
        <f>IF(H$12=0,0,H26/H$12)</f>
        <v>0.09</v>
      </c>
      <c r="K26" s="3"/>
      <c r="L26" s="6">
        <f>+D26-H26</f>
        <v>-4.5</v>
      </c>
      <c r="M26" s="3"/>
      <c r="N26" s="7">
        <f>IF(H26=0,0,L26/H26)</f>
        <v>-1</v>
      </c>
      <c r="O26" s="9"/>
      <c r="P26" s="6">
        <v>747.2</v>
      </c>
      <c r="Q26" s="3"/>
      <c r="R26" s="7">
        <f>IF(P$12=0,0,P26/P$12)</f>
        <v>0.40896527188637427</v>
      </c>
      <c r="S26" s="3"/>
      <c r="T26" s="6">
        <v>83.25</v>
      </c>
      <c r="U26" s="3"/>
      <c r="V26" s="7">
        <f>IF(T$12=0,0,T26/T$12)</f>
        <v>0.09</v>
      </c>
      <c r="W26" s="3"/>
      <c r="X26" s="6">
        <f>+P26-T26</f>
        <v>663.95</v>
      </c>
      <c r="Y26" s="3"/>
      <c r="Z26" s="7">
        <f>IF(T26=0,0,X26/T26)</f>
        <v>7.9753753753753758</v>
      </c>
    </row>
    <row r="27" spans="1:26" s="69" customFormat="1" ht="15" customHeight="1" outlineLevel="1" collapsed="1" x14ac:dyDescent="0.3">
      <c r="A27" s="20"/>
      <c r="B27" s="11" t="str">
        <f>CONCATENATE("     ","General                                           ")</f>
        <v xml:space="preserve">     General                                           </v>
      </c>
      <c r="C27" s="11"/>
      <c r="D27" s="2">
        <f>SUM(OSRRefD22_1x_0)</f>
        <v>0</v>
      </c>
      <c r="E27" s="2"/>
      <c r="F27" s="5">
        <f>IF(D$12=0,0,D27/D$12)</f>
        <v>0</v>
      </c>
      <c r="G27" s="2"/>
      <c r="H27" s="2">
        <f>SUM(OSRRefH22_1x_0)</f>
        <v>0</v>
      </c>
      <c r="I27" s="2"/>
      <c r="J27" s="5">
        <f>IF(H$12=0,0,H27/H$12)</f>
        <v>0</v>
      </c>
      <c r="K27" s="2"/>
      <c r="L27" s="2">
        <f>+D27-H27</f>
        <v>0</v>
      </c>
      <c r="M27" s="2"/>
      <c r="N27" s="5">
        <f>IF(H27=0,0,L27/H27)</f>
        <v>0</v>
      </c>
      <c r="O27" s="11"/>
      <c r="P27" s="2">
        <f>SUM(OSRRefP22_1x_0)</f>
        <v>758.88</v>
      </c>
      <c r="Q27" s="2"/>
      <c r="R27" s="5">
        <f>IF(P$12=0,0,P27/P$12)</f>
        <v>0.41535809091157877</v>
      </c>
      <c r="S27" s="2"/>
      <c r="T27" s="2">
        <f>SUM(OSRRefT22_1x_0)</f>
        <v>0</v>
      </c>
      <c r="U27" s="2"/>
      <c r="V27" s="5">
        <f>IF(T$12=0,0,T27/T$12)</f>
        <v>0</v>
      </c>
      <c r="W27" s="2"/>
      <c r="X27" s="2">
        <f>+P27-T27</f>
        <v>758.88</v>
      </c>
      <c r="Y27" s="2"/>
      <c r="Z27" s="5">
        <f>IF(T27=0,0,X27/T27)</f>
        <v>0</v>
      </c>
    </row>
    <row r="28" spans="1:26" s="70" customFormat="1" ht="15" hidden="1" customHeight="1" outlineLevel="2" x14ac:dyDescent="0.3">
      <c r="A28" s="21"/>
      <c r="B28" s="9" t="str">
        <f>CONCATENATE("          ","6279"," - ","GENERAL EXPENSE")</f>
        <v xml:space="preserve">          6279 - GENERAL EXPENSE</v>
      </c>
      <c r="C28" s="9"/>
      <c r="D28" s="6"/>
      <c r="E28" s="3"/>
      <c r="F28" s="7">
        <f>IF(D$12=0,0,D28/D$12)</f>
        <v>0</v>
      </c>
      <c r="G28" s="3"/>
      <c r="H28" s="6"/>
      <c r="I28" s="3"/>
      <c r="J28" s="7">
        <f>IF(H$12=0,0,H28/H$12)</f>
        <v>0</v>
      </c>
      <c r="K28" s="3"/>
      <c r="L28" s="6">
        <f>+D28-H28</f>
        <v>0</v>
      </c>
      <c r="M28" s="3"/>
      <c r="N28" s="7">
        <f>IF(H28=0,0,L28/H28)</f>
        <v>0</v>
      </c>
      <c r="O28" s="9"/>
      <c r="P28" s="6">
        <v>758.88</v>
      </c>
      <c r="Q28" s="3"/>
      <c r="R28" s="7">
        <f>IF(P$12=0,0,P28/P$12)</f>
        <v>0.41535809091157877</v>
      </c>
      <c r="S28" s="3"/>
      <c r="T28" s="6"/>
      <c r="U28" s="3"/>
      <c r="V28" s="7">
        <f>IF(T$12=0,0,T28/T$12)</f>
        <v>0</v>
      </c>
      <c r="W28" s="3"/>
      <c r="X28" s="6">
        <f>+P28-T28</f>
        <v>758.88</v>
      </c>
      <c r="Y28" s="3"/>
      <c r="Z28" s="7">
        <f>IF(T28=0,0,X28/T28)</f>
        <v>0</v>
      </c>
    </row>
    <row r="29" spans="1:26" s="65" customFormat="1" ht="15" customHeight="1" x14ac:dyDescent="0.3">
      <c r="A29" s="36"/>
      <c r="B29" s="36"/>
      <c r="C29" s="36"/>
      <c r="D29" s="2"/>
      <c r="E29" s="2"/>
      <c r="F29" s="5"/>
      <c r="G29" s="2"/>
      <c r="H29" s="2"/>
      <c r="I29" s="2"/>
      <c r="J29" s="5"/>
      <c r="K29" s="2"/>
      <c r="L29" s="2"/>
      <c r="M29" s="2"/>
      <c r="N29" s="5"/>
      <c r="O29" s="36"/>
      <c r="P29" s="2"/>
      <c r="Q29" s="2"/>
      <c r="R29" s="5"/>
      <c r="S29" s="2"/>
      <c r="T29" s="2"/>
      <c r="U29" s="2"/>
      <c r="V29" s="5"/>
      <c r="W29" s="2"/>
      <c r="X29" s="2"/>
      <c r="Y29" s="2"/>
      <c r="Z29" s="5"/>
    </row>
    <row r="30" spans="1:26" s="63" customFormat="1" ht="15" customHeight="1" x14ac:dyDescent="0.3">
      <c r="A30" s="13"/>
      <c r="B30" s="28" t="s">
        <v>291</v>
      </c>
      <c r="C30" s="13"/>
      <c r="D30" s="8">
        <f>SUM(0)</f>
        <v>0</v>
      </c>
      <c r="E30" s="8"/>
      <c r="F30" s="14">
        <f>IF(D$12=0,0,D30/D$12)</f>
        <v>0</v>
      </c>
      <c r="G30" s="8"/>
      <c r="H30" s="8">
        <f>SUM(0)</f>
        <v>0</v>
      </c>
      <c r="I30" s="8"/>
      <c r="J30" s="14">
        <f>IF(H$12=0,0,H30/H$12)</f>
        <v>0</v>
      </c>
      <c r="K30" s="8"/>
      <c r="L30" s="8">
        <f>+D30-H30</f>
        <v>0</v>
      </c>
      <c r="M30" s="8"/>
      <c r="N30" s="14">
        <f>IF(H30=0,0,L30/H30)</f>
        <v>0</v>
      </c>
      <c r="O30" s="13"/>
      <c r="P30" s="8">
        <f>SUM(0)</f>
        <v>0</v>
      </c>
      <c r="Q30" s="8"/>
      <c r="R30" s="14">
        <f>IF(P$12=0,0,P30/P$12)</f>
        <v>0</v>
      </c>
      <c r="S30" s="8"/>
      <c r="T30" s="8">
        <f>SUM(0)</f>
        <v>0</v>
      </c>
      <c r="U30" s="8"/>
      <c r="V30" s="14">
        <f>IF(T$12=0,0,T30/T$12)</f>
        <v>0</v>
      </c>
      <c r="W30" s="8"/>
      <c r="X30" s="8">
        <f>+P30-T30</f>
        <v>0</v>
      </c>
      <c r="Y30" s="8"/>
      <c r="Z30" s="14">
        <f>IF(T30=0,0,X30/T30)</f>
        <v>0</v>
      </c>
    </row>
    <row r="31" spans="1:26" ht="15" customHeight="1" x14ac:dyDescent="0.3">
      <c r="A31" s="12"/>
      <c r="B31" s="13"/>
      <c r="C31" s="13"/>
      <c r="D31" s="4"/>
      <c r="E31" s="4"/>
      <c r="F31" s="10"/>
      <c r="G31" s="4"/>
      <c r="H31" s="4"/>
      <c r="I31" s="4"/>
      <c r="J31" s="10"/>
      <c r="K31" s="4"/>
      <c r="L31" s="4"/>
      <c r="M31" s="4"/>
      <c r="N31" s="10"/>
      <c r="O31" s="13"/>
      <c r="P31" s="4"/>
      <c r="Q31" s="4"/>
      <c r="R31" s="10"/>
      <c r="S31" s="4"/>
      <c r="T31" s="4"/>
      <c r="U31" s="4"/>
      <c r="V31" s="10"/>
      <c r="W31" s="4"/>
      <c r="X31" s="4"/>
      <c r="Y31" s="4"/>
      <c r="Z31" s="10"/>
    </row>
    <row r="32" spans="1:26" s="63" customFormat="1" ht="15" customHeight="1" x14ac:dyDescent="0.3">
      <c r="A32" s="13"/>
      <c r="B32" s="27" t="s">
        <v>292</v>
      </c>
      <c r="C32" s="27"/>
      <c r="D32" s="23">
        <f>+D22-D24+D30</f>
        <v>0</v>
      </c>
      <c r="E32" s="15"/>
      <c r="F32" s="22">
        <f>IF(D$12=0,0,D32/D$12)</f>
        <v>0</v>
      </c>
      <c r="G32" s="15"/>
      <c r="H32" s="23">
        <f>+H22-H24+H30</f>
        <v>20.5</v>
      </c>
      <c r="I32" s="15"/>
      <c r="J32" s="22">
        <f>IF(H$12=0,0,H32/H$12)</f>
        <v>0.41</v>
      </c>
      <c r="K32" s="17"/>
      <c r="L32" s="23">
        <f>+D32-H32</f>
        <v>-20.5</v>
      </c>
      <c r="M32" s="17"/>
      <c r="N32" s="22">
        <f>IF(H32=0,0,L32/H32)</f>
        <v>-1</v>
      </c>
      <c r="O32" s="28"/>
      <c r="P32" s="23">
        <f>+P22-P24+P30</f>
        <v>141.76999999999998</v>
      </c>
      <c r="Q32" s="15"/>
      <c r="R32" s="22">
        <f>IF(P$12=0,0,P32/P$12)</f>
        <v>7.7595030240004373E-2</v>
      </c>
      <c r="S32" s="15"/>
      <c r="T32" s="23">
        <f>+T22-T24+T30</f>
        <v>377.75</v>
      </c>
      <c r="U32" s="15"/>
      <c r="V32" s="22">
        <f>IF(T$12=0,0,T32/T$12)</f>
        <v>0.40837837837837837</v>
      </c>
      <c r="W32" s="17"/>
      <c r="X32" s="23">
        <f>+P32-T32</f>
        <v>-235.98000000000002</v>
      </c>
      <c r="Y32" s="17"/>
      <c r="Z32" s="22">
        <f>IF(T32=0,0,X32/T32)</f>
        <v>-0.62469887491727338</v>
      </c>
    </row>
    <row r="33" spans="1:26" ht="15" customHeight="1" x14ac:dyDescent="0.3">
      <c r="A33" s="12"/>
      <c r="B33" s="13"/>
      <c r="C33" s="12"/>
      <c r="D33" s="4"/>
      <c r="E33" s="4"/>
      <c r="F33" s="10"/>
      <c r="G33" s="4"/>
      <c r="H33" s="4"/>
      <c r="I33" s="4"/>
      <c r="J33" s="10"/>
      <c r="K33" s="4"/>
      <c r="L33" s="4"/>
      <c r="M33" s="4"/>
      <c r="N33" s="10"/>
      <c r="P33" s="4"/>
      <c r="Q33" s="4"/>
      <c r="R33" s="10"/>
      <c r="S33" s="4"/>
      <c r="T33" s="4"/>
      <c r="U33" s="4"/>
      <c r="V33" s="10"/>
      <c r="W33" s="4"/>
      <c r="X33" s="4"/>
      <c r="Y33" s="4"/>
      <c r="Z33" s="10"/>
    </row>
    <row r="34" spans="1:26" s="63" customFormat="1" ht="15" customHeight="1" x14ac:dyDescent="0.3">
      <c r="A34" s="49"/>
      <c r="B34" s="13" t="s">
        <v>293</v>
      </c>
      <c r="C34" s="13"/>
      <c r="D34" s="8">
        <v>-416.05</v>
      </c>
      <c r="E34" s="8"/>
      <c r="F34" s="14">
        <f>IF(D$12=0,0,D34/D$12)</f>
        <v>0</v>
      </c>
      <c r="G34" s="8"/>
      <c r="H34" s="8">
        <v>-4</v>
      </c>
      <c r="I34" s="8"/>
      <c r="J34" s="14">
        <f>IF(H$12=0,0,H34/H$12)</f>
        <v>-0.08</v>
      </c>
      <c r="K34" s="8"/>
      <c r="L34" s="8">
        <f>+D34-H34</f>
        <v>-412.05</v>
      </c>
      <c r="M34" s="8"/>
      <c r="N34" s="14">
        <f>IF(H34=0,0,L34/H34)</f>
        <v>103.0125</v>
      </c>
      <c r="O34" s="13"/>
      <c r="P34" s="8">
        <v>-210.64</v>
      </c>
      <c r="Q34" s="8"/>
      <c r="R34" s="14">
        <f>IF(P$12=0,0,P34/P$12)</f>
        <v>-0.11528967461207958</v>
      </c>
      <c r="S34" s="8"/>
      <c r="T34" s="8">
        <v>104</v>
      </c>
      <c r="U34" s="8"/>
      <c r="V34" s="14">
        <f>IF(T$12=0,0,T34/T$12)</f>
        <v>0.11243243243243244</v>
      </c>
      <c r="W34" s="8"/>
      <c r="X34" s="8">
        <f>+P34-T34</f>
        <v>-314.64</v>
      </c>
      <c r="Y34" s="8"/>
      <c r="Z34" s="14">
        <f>IF(T34=0,0,X34/T34)</f>
        <v>-3.0253846153846151</v>
      </c>
    </row>
    <row r="35" spans="1:26" ht="15" customHeight="1" x14ac:dyDescent="0.3">
      <c r="A35" s="12"/>
      <c r="B35" s="13"/>
      <c r="C35" s="13"/>
      <c r="D35" s="4"/>
      <c r="E35" s="4"/>
      <c r="F35" s="10"/>
      <c r="G35" s="4"/>
      <c r="H35" s="4"/>
      <c r="I35" s="4"/>
      <c r="J35" s="10"/>
      <c r="K35" s="4"/>
      <c r="L35" s="4"/>
      <c r="M35" s="4"/>
      <c r="N35" s="10"/>
      <c r="O35" s="13"/>
      <c r="P35" s="4"/>
      <c r="Q35" s="4"/>
      <c r="R35" s="10"/>
      <c r="S35" s="4"/>
      <c r="T35" s="4"/>
      <c r="U35" s="4"/>
      <c r="V35" s="10"/>
      <c r="W35" s="4"/>
      <c r="X35" s="4"/>
      <c r="Y35" s="4"/>
      <c r="Z35" s="10"/>
    </row>
    <row r="36" spans="1:26" s="63" customFormat="1" ht="15" customHeight="1" x14ac:dyDescent="0.3">
      <c r="A36" s="13"/>
      <c r="B36" s="27" t="s">
        <v>294</v>
      </c>
      <c r="C36" s="27"/>
      <c r="D36" s="30">
        <f>+D32-D34</f>
        <v>416.05</v>
      </c>
      <c r="E36" s="15"/>
      <c r="F36" s="35">
        <f>IF(D$12=0,0,D36/D$12)</f>
        <v>0</v>
      </c>
      <c r="G36" s="15"/>
      <c r="H36" s="30">
        <f>+H32-H34</f>
        <v>24.5</v>
      </c>
      <c r="I36" s="15"/>
      <c r="J36" s="35">
        <f>IF(H$12=0,0,H36/H$12)</f>
        <v>0.49</v>
      </c>
      <c r="K36" s="17"/>
      <c r="L36" s="30">
        <f>D36-H36</f>
        <v>391.55</v>
      </c>
      <c r="M36" s="17"/>
      <c r="N36" s="35">
        <f>IF(H36=0,0,L36/H36)</f>
        <v>15.981632653061226</v>
      </c>
      <c r="O36" s="28"/>
      <c r="P36" s="30">
        <f>+P32-P34</f>
        <v>352.40999999999997</v>
      </c>
      <c r="Q36" s="15"/>
      <c r="R36" s="35">
        <f>IF(P$12=0,0,P36/P$12)</f>
        <v>0.19288470485208395</v>
      </c>
      <c r="S36" s="15"/>
      <c r="T36" s="30">
        <f>+T32-T34</f>
        <v>273.75</v>
      </c>
      <c r="U36" s="15"/>
      <c r="V36" s="35">
        <f>IF(T$12=0,0,T36/T$12)</f>
        <v>0.29594594594594592</v>
      </c>
      <c r="W36" s="17"/>
      <c r="X36" s="30">
        <f>P36-T36</f>
        <v>78.659999999999968</v>
      </c>
      <c r="Y36" s="17"/>
      <c r="Z36" s="35">
        <f>IF(T36=0,0,X36/T36)</f>
        <v>0.28734246575342454</v>
      </c>
    </row>
    <row r="37" spans="1:26" ht="15" customHeight="1" x14ac:dyDescent="0.3">
      <c r="A37" s="12"/>
      <c r="B37" s="12"/>
      <c r="C37" s="12"/>
      <c r="D37" s="4"/>
      <c r="E37" s="4"/>
      <c r="F37" s="10"/>
      <c r="G37" s="4"/>
      <c r="H37" s="4"/>
      <c r="I37" s="4"/>
      <c r="J37" s="10"/>
      <c r="K37" s="4"/>
      <c r="L37" s="4"/>
      <c r="M37" s="4"/>
      <c r="N37" s="10"/>
      <c r="P37" s="4"/>
      <c r="Q37" s="4"/>
      <c r="R37" s="10"/>
      <c r="S37" s="4"/>
      <c r="T37" s="4"/>
      <c r="U37" s="4"/>
      <c r="V37" s="10"/>
      <c r="W37" s="4"/>
      <c r="X37" s="4"/>
      <c r="Y37" s="4"/>
      <c r="Z37" s="10"/>
    </row>
    <row r="38" spans="1:26" ht="15" customHeight="1" x14ac:dyDescent="0.3">
      <c r="A38" s="12"/>
      <c r="B38" s="12"/>
      <c r="C38" s="12"/>
      <c r="D38" s="4"/>
      <c r="E38" s="4"/>
      <c r="F38" s="10"/>
      <c r="G38" s="4"/>
      <c r="H38" s="4"/>
      <c r="I38" s="4"/>
      <c r="J38" s="10"/>
      <c r="K38" s="4"/>
      <c r="L38" s="4"/>
      <c r="M38" s="4"/>
      <c r="N38" s="10"/>
      <c r="P38" s="4"/>
      <c r="Q38" s="4"/>
      <c r="R38" s="10"/>
      <c r="S38" s="4"/>
      <c r="T38" s="4"/>
      <c r="U38" s="4"/>
      <c r="V38" s="10"/>
      <c r="W38" s="4"/>
      <c r="X38" s="4"/>
      <c r="Y38" s="4"/>
      <c r="Z38" s="10"/>
    </row>
    <row r="39" spans="1:26" s="63" customFormat="1" ht="15" customHeight="1" x14ac:dyDescent="0.3">
      <c r="A39" s="13"/>
      <c r="B39" s="27" t="s">
        <v>297</v>
      </c>
      <c r="C39" s="27"/>
      <c r="D39" s="33">
        <f>SUM(D36:D38)</f>
        <v>416.05</v>
      </c>
      <c r="E39" s="15"/>
      <c r="F39" s="31">
        <f>IF(D$12=0,0,D39/D$12)</f>
        <v>0</v>
      </c>
      <c r="G39" s="15"/>
      <c r="H39" s="33">
        <f>SUM(H36:H38)</f>
        <v>24.5</v>
      </c>
      <c r="I39" s="15"/>
      <c r="J39" s="31">
        <f>IF(H$12=0,0,H39/H$12)</f>
        <v>0.49</v>
      </c>
      <c r="K39" s="17"/>
      <c r="L39" s="33">
        <f>+D39-H39</f>
        <v>391.55</v>
      </c>
      <c r="M39" s="17"/>
      <c r="N39" s="31">
        <f>IF(H39=0,0,L39/H39)</f>
        <v>15.981632653061226</v>
      </c>
      <c r="O39" s="28"/>
      <c r="P39" s="33">
        <f>SUM(P36:P38)</f>
        <v>352.40999999999997</v>
      </c>
      <c r="Q39" s="15"/>
      <c r="R39" s="31">
        <f>IF(P$12=0,0,P39/P$12)</f>
        <v>0.19288470485208395</v>
      </c>
      <c r="S39" s="15"/>
      <c r="T39" s="33">
        <f>SUM(T36:T38)</f>
        <v>273.75</v>
      </c>
      <c r="U39" s="15"/>
      <c r="V39" s="31">
        <f>IF(T$12=0,0,T39/T$12)</f>
        <v>0.29594594594594592</v>
      </c>
      <c r="W39" s="17"/>
      <c r="X39" s="33">
        <f>+P39-T39</f>
        <v>78.659999999999968</v>
      </c>
      <c r="Y39" s="17"/>
      <c r="Z39" s="31">
        <f>IF(T39=0,0,X39/T39)</f>
        <v>0.28734246575342454</v>
      </c>
    </row>
    <row r="40" spans="1:26" ht="15" customHeight="1" x14ac:dyDescent="0.3">
      <c r="A40" s="12"/>
      <c r="C40" s="12"/>
      <c r="D40" s="19"/>
      <c r="E40" s="19"/>
      <c r="G40" s="19"/>
      <c r="H40" s="19"/>
      <c r="I40" s="19"/>
      <c r="J40" s="41"/>
      <c r="K40" s="19"/>
      <c r="L40" s="19"/>
      <c r="M40" s="19"/>
      <c r="P40" s="19"/>
      <c r="Q40" s="19"/>
      <c r="R40" s="41"/>
      <c r="S40" s="19"/>
      <c r="T40" s="19"/>
      <c r="U40" s="19"/>
      <c r="V40" s="41"/>
      <c r="W40" s="19"/>
      <c r="X40" s="19"/>
    </row>
    <row r="41" spans="1:26" ht="15" customHeight="1" x14ac:dyDescent="0.3">
      <c r="A41" s="12"/>
      <c r="B41" s="50">
        <v>44767.799547766204</v>
      </c>
      <c r="D41" s="19"/>
      <c r="E41" s="19"/>
      <c r="G41" s="19"/>
      <c r="H41" s="19"/>
      <c r="I41" s="19"/>
      <c r="J41" s="41"/>
      <c r="K41" s="19"/>
      <c r="L41" s="19"/>
      <c r="M41" s="19"/>
      <c r="P41" s="19"/>
      <c r="Q41" s="19"/>
      <c r="R41" s="41"/>
      <c r="S41" s="19"/>
      <c r="T41" s="19"/>
      <c r="U41" s="19"/>
      <c r="V41" s="41"/>
      <c r="W41" s="19"/>
      <c r="X41" s="19"/>
    </row>
    <row r="42" spans="1:26" ht="15" customHeight="1" x14ac:dyDescent="0.3">
      <c r="A42" s="12"/>
      <c r="B42" s="57" t="s">
        <v>298</v>
      </c>
      <c r="D42" s="19"/>
      <c r="E42" s="19"/>
      <c r="G42" s="19"/>
      <c r="H42" s="19"/>
      <c r="I42" s="19"/>
      <c r="J42" s="41"/>
      <c r="K42" s="19"/>
      <c r="L42" s="19"/>
      <c r="M42" s="19"/>
      <c r="P42" s="19"/>
      <c r="Q42" s="19"/>
      <c r="R42" s="41"/>
      <c r="S42" s="19"/>
      <c r="T42" s="19"/>
      <c r="U42" s="19"/>
      <c r="V42" s="41"/>
      <c r="W42" s="19"/>
      <c r="X42" s="19"/>
    </row>
    <row r="43" spans="1:26" ht="15" customHeight="1" x14ac:dyDescent="0.3">
      <c r="A43" s="12"/>
      <c r="B43" s="51"/>
      <c r="D43" s="19"/>
      <c r="E43" s="19"/>
      <c r="G43" s="19"/>
      <c r="H43" s="19"/>
      <c r="I43" s="19"/>
      <c r="J43" s="41"/>
      <c r="K43" s="19"/>
      <c r="L43" s="19"/>
      <c r="M43" s="19"/>
      <c r="P43" s="19"/>
      <c r="Q43" s="19"/>
      <c r="R43" s="41"/>
      <c r="S43" s="19"/>
      <c r="T43" s="19"/>
      <c r="U43" s="19"/>
      <c r="V43" s="41"/>
      <c r="W43" s="19"/>
      <c r="X43" s="19"/>
    </row>
    <row r="44" spans="1:26" ht="15" customHeight="1" x14ac:dyDescent="0.3">
      <c r="D44" s="19"/>
      <c r="E44" s="19"/>
      <c r="G44" s="19"/>
      <c r="H44" s="19"/>
      <c r="I44" s="19"/>
      <c r="J44" s="41"/>
      <c r="K44" s="19"/>
      <c r="L44" s="19"/>
      <c r="M44" s="19"/>
      <c r="P44" s="19"/>
      <c r="Q44" s="19"/>
      <c r="R44" s="41"/>
      <c r="S44" s="19"/>
      <c r="T44" s="19"/>
      <c r="U44" s="19"/>
      <c r="V44" s="41"/>
      <c r="W44" s="19"/>
      <c r="X44" s="19"/>
    </row>
  </sheetData>
  <pageMargins left="0.25" right="0.25" top="0.75" bottom="0.75" header="0.3" footer="0.3"/>
  <pageSetup scale="55" orientation="landscape" r:id="rId1"/>
  <headerFooter>
    <oddHeader>&amp;RPre-Audit</oddHeader>
    <oddFooter>&amp;L&amp;C&amp;R</oddFooter>
    <evenHeader>&amp;L&amp;C&amp;R</evenHeader>
    <evenFooter>&amp;L&amp;C&amp;R</even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0031CB-33B3-E907-DC12-B98F2B1F7BB5}">
  <sheetPr>
    <tabColor rgb="FFFFC000"/>
    <outlinePr summaryBelow="0" summaryRight="0"/>
  </sheetPr>
  <dimension ref="A2:Z136"/>
  <sheetViews>
    <sheetView showGridLines="0" defaultGridColor="0" colorId="8" zoomScale="80" workbookViewId="0">
      <pane xSplit="3" ySplit="10" topLeftCell="D11" activePane="bottomRight" state="frozen"/>
      <selection activeCell="D78" sqref="D78"/>
      <selection pane="topRight" activeCell="D78" sqref="D78"/>
      <selection pane="bottomLeft" activeCell="D78" sqref="D78"/>
      <selection pane="bottomRight" activeCell="D78" sqref="D78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3" t="s">
        <v>276</v>
      </c>
    </row>
    <row r="3" spans="1:26" ht="15" customHeight="1" x14ac:dyDescent="0.3">
      <c r="D3" s="53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3" t="str">
        <f>CONCATENATE("Period ",RIGHT(202212,2),", ",2022)</f>
        <v>Period 12,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5"/>
      <c r="D5" s="60">
        <v>44742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5"/>
      <c r="B6" s="47"/>
      <c r="C6" s="47"/>
      <c r="D6" s="25" t="s">
        <v>309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4"/>
    </row>
    <row r="8" spans="1:26" ht="15" customHeight="1" x14ac:dyDescent="0.3">
      <c r="B8" s="54"/>
    </row>
    <row r="9" spans="1:26" ht="15" customHeight="1" x14ac:dyDescent="0.3">
      <c r="B9" s="12"/>
      <c r="C9" s="12"/>
      <c r="D9" s="16" t="s">
        <v>279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280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ht="15" customHeight="1" x14ac:dyDescent="0.3">
      <c r="A10" s="13"/>
      <c r="B10" s="52"/>
      <c r="C10" s="13"/>
      <c r="D10" s="40" t="s">
        <v>281</v>
      </c>
      <c r="E10" s="32"/>
      <c r="F10" s="39" t="s">
        <v>282</v>
      </c>
      <c r="G10" s="32"/>
      <c r="H10" s="45" t="s">
        <v>283</v>
      </c>
      <c r="I10" s="32"/>
      <c r="J10" s="42" t="s">
        <v>284</v>
      </c>
      <c r="K10" s="13"/>
      <c r="L10" s="40" t="s">
        <v>285</v>
      </c>
      <c r="M10" s="13"/>
      <c r="N10" s="39" t="s">
        <v>286</v>
      </c>
      <c r="O10" s="13"/>
      <c r="P10" s="55" t="s">
        <v>281</v>
      </c>
      <c r="Q10" s="32"/>
      <c r="R10" s="39" t="s">
        <v>282</v>
      </c>
      <c r="S10" s="32"/>
      <c r="T10" s="45" t="s">
        <v>283</v>
      </c>
      <c r="U10" s="32"/>
      <c r="V10" s="42" t="s">
        <v>284</v>
      </c>
      <c r="W10" s="13"/>
      <c r="X10" s="40" t="s">
        <v>285</v>
      </c>
      <c r="Y10" s="13"/>
      <c r="Z10" s="39" t="s">
        <v>286</v>
      </c>
    </row>
    <row r="11" spans="1:26" ht="16.5" customHeight="1" x14ac:dyDescent="0.3">
      <c r="A11" s="12"/>
      <c r="B11" s="58"/>
      <c r="C11" s="12"/>
      <c r="D11" s="12"/>
      <c r="E11" s="12"/>
      <c r="F11" s="10"/>
      <c r="G11" s="12"/>
      <c r="H11" s="12"/>
      <c r="I11" s="12"/>
      <c r="J11" s="43"/>
      <c r="K11" s="12"/>
      <c r="L11" s="12"/>
      <c r="M11" s="12"/>
      <c r="N11" s="10"/>
      <c r="P11" s="12"/>
      <c r="Q11" s="12"/>
      <c r="R11" s="10"/>
      <c r="S11" s="12"/>
      <c r="T11" s="12"/>
      <c r="U11" s="12"/>
      <c r="V11" s="43"/>
      <c r="W11" s="12"/>
      <c r="X11" s="12"/>
      <c r="Y11" s="12"/>
      <c r="Z11" s="10"/>
    </row>
    <row r="12" spans="1:26" s="63" customFormat="1" ht="15" customHeight="1" collapsed="1" x14ac:dyDescent="0.3">
      <c r="A12" s="13"/>
      <c r="B12" s="28" t="s">
        <v>287</v>
      </c>
      <c r="C12" s="13"/>
      <c r="D12" s="8">
        <f>SUM(OSRRefD13x_0)</f>
        <v>210741.68</v>
      </c>
      <c r="E12" s="8"/>
      <c r="F12" s="14"/>
      <c r="G12" s="8"/>
      <c r="H12" s="8">
        <f>SUM(OSRRefH13x_0)</f>
        <v>84576</v>
      </c>
      <c r="I12" s="8"/>
      <c r="J12" s="14"/>
      <c r="K12" s="8"/>
      <c r="L12" s="8">
        <f t="shared" ref="L12:L20" si="0">+D12-H12</f>
        <v>126165.68</v>
      </c>
      <c r="M12" s="8"/>
      <c r="N12" s="14">
        <f t="shared" ref="N12:N20" si="1">IF(H12=0,0,L12/H12)</f>
        <v>1.4917432841468028</v>
      </c>
      <c r="O12" s="13"/>
      <c r="P12" s="8">
        <f>SUM(OSRRefP13x_0)</f>
        <v>13335765.109999999</v>
      </c>
      <c r="Q12" s="8"/>
      <c r="R12" s="14"/>
      <c r="S12" s="8"/>
      <c r="T12" s="8">
        <f>SUM(OSRRefT13x_0)</f>
        <v>11007076</v>
      </c>
      <c r="U12" s="8"/>
      <c r="V12" s="14"/>
      <c r="W12" s="8"/>
      <c r="X12" s="8">
        <f t="shared" ref="X12:X20" si="2">+P12-T12</f>
        <v>2328689.1099999994</v>
      </c>
      <c r="Y12" s="8"/>
      <c r="Z12" s="14">
        <f t="shared" ref="Z12:Z20" si="3">IF(T12=0,0,X12/T12)</f>
        <v>0.21156291734516955</v>
      </c>
    </row>
    <row r="13" spans="1:26" s="70" customFormat="1" ht="15" hidden="1" customHeight="1" outlineLevel="1" x14ac:dyDescent="0.3">
      <c r="A13" s="48"/>
      <c r="B13" s="9" t="str">
        <f>CONCATENATE("          ","4000"," - ","TAXABLE SALES")</f>
        <v xml:space="preserve">          4000 - TAXABLE SALES</v>
      </c>
      <c r="C13" s="9"/>
      <c r="D13" s="3">
        <f>0</f>
        <v>0</v>
      </c>
      <c r="E13" s="3"/>
      <c r="F13" s="26"/>
      <c r="G13" s="3"/>
      <c r="H13" s="3">
        <v>39337</v>
      </c>
      <c r="I13" s="3"/>
      <c r="J13" s="26"/>
      <c r="K13" s="3"/>
      <c r="L13" s="3">
        <f t="shared" si="0"/>
        <v>-39337</v>
      </c>
      <c r="M13" s="3"/>
      <c r="N13" s="26">
        <f t="shared" si="1"/>
        <v>-1</v>
      </c>
      <c r="O13" s="9"/>
      <c r="P13" s="3">
        <f>0</f>
        <v>0</v>
      </c>
      <c r="Q13" s="3"/>
      <c r="R13" s="26"/>
      <c r="S13" s="3"/>
      <c r="T13" s="3">
        <v>871160</v>
      </c>
      <c r="U13" s="3"/>
      <c r="V13" s="26"/>
      <c r="W13" s="3"/>
      <c r="X13" s="3">
        <f t="shared" si="2"/>
        <v>-871160</v>
      </c>
      <c r="Y13" s="3"/>
      <c r="Z13" s="26">
        <f t="shared" si="3"/>
        <v>-1</v>
      </c>
    </row>
    <row r="14" spans="1:26" s="70" customFormat="1" ht="15" hidden="1" customHeight="1" outlineLevel="1" x14ac:dyDescent="0.3">
      <c r="A14" s="48"/>
      <c r="B14" s="9" t="str">
        <f>CONCATENATE("          ","4051"," - ","TAXABLE SALES-FOOD")</f>
        <v xml:space="preserve">          4051 - TAXABLE SALES-FOOD</v>
      </c>
      <c r="C14" s="9"/>
      <c r="D14" s="3">
        <f>--14372.1</f>
        <v>14372.1</v>
      </c>
      <c r="E14" s="3"/>
      <c r="F14" s="26"/>
      <c r="G14" s="3"/>
      <c r="H14" s="3"/>
      <c r="I14" s="3"/>
      <c r="J14" s="26"/>
      <c r="K14" s="3"/>
      <c r="L14" s="3">
        <f t="shared" si="0"/>
        <v>14372.1</v>
      </c>
      <c r="M14" s="3"/>
      <c r="N14" s="26">
        <f t="shared" si="1"/>
        <v>0</v>
      </c>
      <c r="O14" s="9"/>
      <c r="P14" s="3">
        <f>--360383.38</f>
        <v>360383.38</v>
      </c>
      <c r="Q14" s="3"/>
      <c r="R14" s="26"/>
      <c r="S14" s="3"/>
      <c r="T14" s="3"/>
      <c r="U14" s="3"/>
      <c r="V14" s="26"/>
      <c r="W14" s="3"/>
      <c r="X14" s="3">
        <f t="shared" si="2"/>
        <v>360383.38</v>
      </c>
      <c r="Y14" s="3"/>
      <c r="Z14" s="26">
        <f t="shared" si="3"/>
        <v>0</v>
      </c>
    </row>
    <row r="15" spans="1:26" s="70" customFormat="1" ht="15" hidden="1" customHeight="1" outlineLevel="1" x14ac:dyDescent="0.3">
      <c r="A15" s="48"/>
      <c r="B15" s="9" t="str">
        <f>CONCATENATE("          ","4053"," - ","TAXABLE SALES-FOOD")</f>
        <v xml:space="preserve">          4053 - TAXABLE SALES-FOOD</v>
      </c>
      <c r="C15" s="9"/>
      <c r="D15" s="3">
        <f>--11752.35</f>
        <v>11752.35</v>
      </c>
      <c r="E15" s="3"/>
      <c r="F15" s="26"/>
      <c r="G15" s="3"/>
      <c r="H15" s="3"/>
      <c r="I15" s="3"/>
      <c r="J15" s="26"/>
      <c r="K15" s="3"/>
      <c r="L15" s="3">
        <f t="shared" si="0"/>
        <v>11752.35</v>
      </c>
      <c r="M15" s="3"/>
      <c r="N15" s="26">
        <f t="shared" si="1"/>
        <v>0</v>
      </c>
      <c r="O15" s="9"/>
      <c r="P15" s="3">
        <f>--41114.33</f>
        <v>41114.33</v>
      </c>
      <c r="Q15" s="3"/>
      <c r="R15" s="26"/>
      <c r="S15" s="3"/>
      <c r="T15" s="3"/>
      <c r="U15" s="3"/>
      <c r="V15" s="26"/>
      <c r="W15" s="3"/>
      <c r="X15" s="3">
        <f t="shared" si="2"/>
        <v>41114.33</v>
      </c>
      <c r="Y15" s="3"/>
      <c r="Z15" s="26">
        <f t="shared" si="3"/>
        <v>0</v>
      </c>
    </row>
    <row r="16" spans="1:26" s="70" customFormat="1" ht="15" hidden="1" customHeight="1" outlineLevel="1" x14ac:dyDescent="0.3">
      <c r="A16" s="48"/>
      <c r="B16" s="9" t="str">
        <f>CONCATENATE("          ","4055"," - ","TAXABLE SALES-FOOD")</f>
        <v xml:space="preserve">          4055 - TAXABLE SALES-FOOD</v>
      </c>
      <c r="C16" s="9"/>
      <c r="D16" s="3">
        <f>0</f>
        <v>0</v>
      </c>
      <c r="E16" s="3"/>
      <c r="F16" s="26"/>
      <c r="G16" s="3"/>
      <c r="H16" s="3"/>
      <c r="I16" s="3"/>
      <c r="J16" s="26"/>
      <c r="K16" s="3"/>
      <c r="L16" s="3">
        <f t="shared" si="0"/>
        <v>0</v>
      </c>
      <c r="M16" s="3"/>
      <c r="N16" s="26">
        <f t="shared" si="1"/>
        <v>0</v>
      </c>
      <c r="O16" s="9"/>
      <c r="P16" s="3">
        <f>--2070.63</f>
        <v>2070.63</v>
      </c>
      <c r="Q16" s="3"/>
      <c r="R16" s="26"/>
      <c r="S16" s="3"/>
      <c r="T16" s="3"/>
      <c r="U16" s="3"/>
      <c r="V16" s="26"/>
      <c r="W16" s="3"/>
      <c r="X16" s="3">
        <f t="shared" si="2"/>
        <v>2070.63</v>
      </c>
      <c r="Y16" s="3"/>
      <c r="Z16" s="26">
        <f t="shared" si="3"/>
        <v>0</v>
      </c>
    </row>
    <row r="17" spans="1:26" s="70" customFormat="1" ht="15" hidden="1" customHeight="1" outlineLevel="1" x14ac:dyDescent="0.3">
      <c r="A17" s="48"/>
      <c r="B17" s="9" t="str">
        <f>CONCATENATE("          ","4100"," - ","NON-TAXABLE SALES")</f>
        <v xml:space="preserve">          4100 - NON-TAXABLE SALES</v>
      </c>
      <c r="C17" s="9"/>
      <c r="D17" s="3">
        <f>0</f>
        <v>0</v>
      </c>
      <c r="E17" s="3"/>
      <c r="F17" s="26"/>
      <c r="G17" s="3"/>
      <c r="H17" s="3">
        <v>45239</v>
      </c>
      <c r="I17" s="3"/>
      <c r="J17" s="26"/>
      <c r="K17" s="3"/>
      <c r="L17" s="3">
        <f t="shared" si="0"/>
        <v>-45239</v>
      </c>
      <c r="M17" s="3"/>
      <c r="N17" s="26">
        <f t="shared" si="1"/>
        <v>-1</v>
      </c>
      <c r="O17" s="9"/>
      <c r="P17" s="3">
        <f>0</f>
        <v>0</v>
      </c>
      <c r="Q17" s="3"/>
      <c r="R17" s="26"/>
      <c r="S17" s="3"/>
      <c r="T17" s="3">
        <v>10135916</v>
      </c>
      <c r="U17" s="3"/>
      <c r="V17" s="26"/>
      <c r="W17" s="3"/>
      <c r="X17" s="3">
        <f t="shared" si="2"/>
        <v>-10135916</v>
      </c>
      <c r="Y17" s="3"/>
      <c r="Z17" s="26">
        <f t="shared" si="3"/>
        <v>-1</v>
      </c>
    </row>
    <row r="18" spans="1:26" s="70" customFormat="1" ht="15" hidden="1" customHeight="1" outlineLevel="1" x14ac:dyDescent="0.3">
      <c r="A18" s="48"/>
      <c r="B18" s="9" t="str">
        <f>CONCATENATE("          ","4151"," - ","NON-TAXABLE SALES-FOOD")</f>
        <v xml:space="preserve">          4151 - NON-TAXABLE SALES-FOOD</v>
      </c>
      <c r="C18" s="9"/>
      <c r="D18" s="3">
        <f>--183490.71</f>
        <v>183490.71</v>
      </c>
      <c r="E18" s="3"/>
      <c r="F18" s="26"/>
      <c r="G18" s="3"/>
      <c r="H18" s="3"/>
      <c r="I18" s="3"/>
      <c r="J18" s="26"/>
      <c r="K18" s="3"/>
      <c r="L18" s="3">
        <f t="shared" si="0"/>
        <v>183490.71</v>
      </c>
      <c r="M18" s="3"/>
      <c r="N18" s="26">
        <f t="shared" si="1"/>
        <v>0</v>
      </c>
      <c r="O18" s="9"/>
      <c r="P18" s="3">
        <f>--12808271.85</f>
        <v>12808271.85</v>
      </c>
      <c r="Q18" s="3"/>
      <c r="R18" s="26"/>
      <c r="S18" s="3"/>
      <c r="T18" s="3"/>
      <c r="U18" s="3"/>
      <c r="V18" s="26"/>
      <c r="W18" s="3"/>
      <c r="X18" s="3">
        <f t="shared" si="2"/>
        <v>12808271.85</v>
      </c>
      <c r="Y18" s="3"/>
      <c r="Z18" s="26">
        <f t="shared" si="3"/>
        <v>0</v>
      </c>
    </row>
    <row r="19" spans="1:26" s="70" customFormat="1" ht="15" hidden="1" customHeight="1" outlineLevel="1" x14ac:dyDescent="0.3">
      <c r="A19" s="48"/>
      <c r="B19" s="9" t="str">
        <f>CONCATENATE("          ","4153"," - ","NON-TAXABLE SALES-FOOD")</f>
        <v xml:space="preserve">          4153 - NON-TAXABLE SALES-FOOD</v>
      </c>
      <c r="C19" s="9"/>
      <c r="D19" s="3">
        <f>--1126.52</f>
        <v>1126.52</v>
      </c>
      <c r="E19" s="3"/>
      <c r="F19" s="26"/>
      <c r="G19" s="3"/>
      <c r="H19" s="3"/>
      <c r="I19" s="3"/>
      <c r="J19" s="26"/>
      <c r="K19" s="3"/>
      <c r="L19" s="3">
        <f t="shared" si="0"/>
        <v>1126.52</v>
      </c>
      <c r="M19" s="3"/>
      <c r="N19" s="26">
        <f t="shared" si="1"/>
        <v>0</v>
      </c>
      <c r="O19" s="9"/>
      <c r="P19" s="3">
        <f>--119241.51</f>
        <v>119241.51</v>
      </c>
      <c r="Q19" s="3"/>
      <c r="R19" s="26"/>
      <c r="S19" s="3"/>
      <c r="T19" s="3"/>
      <c r="U19" s="3"/>
      <c r="V19" s="26"/>
      <c r="W19" s="3"/>
      <c r="X19" s="3">
        <f t="shared" si="2"/>
        <v>119241.51</v>
      </c>
      <c r="Y19" s="3"/>
      <c r="Z19" s="26">
        <f t="shared" si="3"/>
        <v>0</v>
      </c>
    </row>
    <row r="20" spans="1:26" s="70" customFormat="1" ht="15" hidden="1" customHeight="1" outlineLevel="1" x14ac:dyDescent="0.3">
      <c r="A20" s="48"/>
      <c r="B20" s="9" t="str">
        <f>CONCATENATE("          ","4155"," - ","NON-TAXABLE SALES-FOOD")</f>
        <v xml:space="preserve">          4155 - NON-TAXABLE SALES-FOOD</v>
      </c>
      <c r="C20" s="9"/>
      <c r="D20" s="3">
        <f>0</f>
        <v>0</v>
      </c>
      <c r="E20" s="3"/>
      <c r="F20" s="26"/>
      <c r="G20" s="3"/>
      <c r="H20" s="3"/>
      <c r="I20" s="3"/>
      <c r="J20" s="26"/>
      <c r="K20" s="3"/>
      <c r="L20" s="3">
        <f t="shared" si="0"/>
        <v>0</v>
      </c>
      <c r="M20" s="3"/>
      <c r="N20" s="26">
        <f t="shared" si="1"/>
        <v>0</v>
      </c>
      <c r="O20" s="9"/>
      <c r="P20" s="3">
        <f>--4683.41</f>
        <v>4683.41</v>
      </c>
      <c r="Q20" s="3"/>
      <c r="R20" s="26"/>
      <c r="S20" s="3"/>
      <c r="T20" s="3"/>
      <c r="U20" s="3"/>
      <c r="V20" s="26"/>
      <c r="W20" s="3"/>
      <c r="X20" s="3">
        <f t="shared" si="2"/>
        <v>4683.41</v>
      </c>
      <c r="Y20" s="3"/>
      <c r="Z20" s="26">
        <f t="shared" si="3"/>
        <v>0</v>
      </c>
    </row>
    <row r="21" spans="1:26" ht="15" customHeight="1" x14ac:dyDescent="0.3">
      <c r="A21" s="12"/>
      <c r="B21" s="13"/>
      <c r="C21" s="12"/>
      <c r="D21" s="4"/>
      <c r="E21" s="4"/>
      <c r="F21" s="10"/>
      <c r="G21" s="4"/>
      <c r="H21" s="4"/>
      <c r="I21" s="4"/>
      <c r="J21" s="10"/>
      <c r="K21" s="4"/>
      <c r="L21" s="4"/>
      <c r="M21" s="4"/>
      <c r="N21" s="10"/>
      <c r="P21" s="4"/>
      <c r="Q21" s="4"/>
      <c r="R21" s="10"/>
      <c r="S21" s="4"/>
      <c r="T21" s="4"/>
      <c r="U21" s="4"/>
      <c r="V21" s="10"/>
      <c r="W21" s="4"/>
      <c r="X21" s="4"/>
      <c r="Y21" s="4"/>
      <c r="Z21" s="10"/>
    </row>
    <row r="22" spans="1:26" s="63" customFormat="1" ht="15" customHeight="1" collapsed="1" x14ac:dyDescent="0.3">
      <c r="A22" s="13"/>
      <c r="B22" s="28" t="s">
        <v>288</v>
      </c>
      <c r="C22" s="13"/>
      <c r="D22" s="8">
        <f>SUM(OSRRefD16x_0)</f>
        <v>87077</v>
      </c>
      <c r="E22" s="8"/>
      <c r="F22" s="14">
        <f>IF(D$12=0,0,D22/D$12)</f>
        <v>0.41319306176167903</v>
      </c>
      <c r="G22" s="8"/>
      <c r="H22" s="8">
        <f>SUM(OSRRefH16x_0)</f>
        <v>27475</v>
      </c>
      <c r="I22" s="8"/>
      <c r="J22" s="14">
        <f>IF(H$12=0,0,H22/H$12)</f>
        <v>0.32485575104048431</v>
      </c>
      <c r="K22" s="8"/>
      <c r="L22" s="8">
        <f>+D22-H22</f>
        <v>59602</v>
      </c>
      <c r="M22" s="8"/>
      <c r="N22" s="14">
        <f>IF(H22=0,0,L22/H22)</f>
        <v>2.1693175614194722</v>
      </c>
      <c r="O22" s="13"/>
      <c r="P22" s="8">
        <f>SUM(OSRRefP16x_0)</f>
        <v>3437726.48</v>
      </c>
      <c r="Q22" s="8"/>
      <c r="R22" s="14">
        <f>IF(P$12=0,0,P22/P$12)</f>
        <v>0.25778247079518335</v>
      </c>
      <c r="S22" s="8"/>
      <c r="T22" s="8">
        <f>SUM(OSRRefT16x_0)</f>
        <v>3196376</v>
      </c>
      <c r="U22" s="8"/>
      <c r="V22" s="14">
        <f>IF(T$12=0,0,T22/T$12)</f>
        <v>0.29039283457296017</v>
      </c>
      <c r="W22" s="8"/>
      <c r="X22" s="8">
        <f>+P22-T22</f>
        <v>241350.47999999998</v>
      </c>
      <c r="Y22" s="8"/>
      <c r="Z22" s="14">
        <f>IF(T22=0,0,X22/T22)</f>
        <v>7.5507537285976367E-2</v>
      </c>
    </row>
    <row r="23" spans="1:26" s="70" customFormat="1" ht="15" hidden="1" customHeight="1" outlineLevel="1" x14ac:dyDescent="0.3">
      <c r="A23" s="48"/>
      <c r="B23" s="9" t="str">
        <f>CONCATENATE("          ","5000"," - ","PURCHASES @ COST")</f>
        <v xml:space="preserve">          5000 - PURCHASES @ COST</v>
      </c>
      <c r="C23" s="9"/>
      <c r="D23" s="3"/>
      <c r="E23" s="3"/>
      <c r="F23" s="26">
        <f>IF(D$12=0,0,D23/D$12)</f>
        <v>0</v>
      </c>
      <c r="G23" s="3"/>
      <c r="H23" s="3">
        <v>27475</v>
      </c>
      <c r="I23" s="3"/>
      <c r="J23" s="26">
        <f>IF(H$12=0,0,H23/H$12)</f>
        <v>0.32485575104048431</v>
      </c>
      <c r="K23" s="3"/>
      <c r="L23" s="3">
        <f>+D23-H23</f>
        <v>-27475</v>
      </c>
      <c r="M23" s="3"/>
      <c r="N23" s="26">
        <f>IF(H23=0,0,L23/H23)</f>
        <v>-1</v>
      </c>
      <c r="O23" s="9"/>
      <c r="P23" s="3"/>
      <c r="Q23" s="3"/>
      <c r="R23" s="26">
        <f>IF(P$12=0,0,P23/P$12)</f>
        <v>0</v>
      </c>
      <c r="S23" s="3"/>
      <c r="T23" s="3">
        <v>3196376</v>
      </c>
      <c r="U23" s="3"/>
      <c r="V23" s="26">
        <f>IF(T$12=0,0,T23/T$12)</f>
        <v>0.29039283457296017</v>
      </c>
      <c r="W23" s="3"/>
      <c r="X23" s="3">
        <f>+P23-T23</f>
        <v>-3196376</v>
      </c>
      <c r="Y23" s="3"/>
      <c r="Z23" s="26">
        <f>IF(T23=0,0,X23/T23)</f>
        <v>-1</v>
      </c>
    </row>
    <row r="24" spans="1:26" s="70" customFormat="1" ht="15" hidden="1" customHeight="1" outlineLevel="1" x14ac:dyDescent="0.3">
      <c r="A24" s="48"/>
      <c r="B24" s="9" t="str">
        <f>CONCATENATE("          ","5053"," - ","PURCHASES @ COST-FOOD")</f>
        <v xml:space="preserve">          5053 - PURCHASES @ COST-FOOD</v>
      </c>
      <c r="C24" s="9"/>
      <c r="D24" s="3">
        <v>86584.14</v>
      </c>
      <c r="E24" s="3"/>
      <c r="F24" s="26">
        <f>IF(D$12=0,0,D24/D$12)</f>
        <v>0.41085436919739848</v>
      </c>
      <c r="G24" s="3"/>
      <c r="H24" s="3"/>
      <c r="I24" s="3"/>
      <c r="J24" s="26">
        <f>IF(H$12=0,0,H24/H$12)</f>
        <v>0</v>
      </c>
      <c r="K24" s="3"/>
      <c r="L24" s="3">
        <f>+D24-H24</f>
        <v>86584.14</v>
      </c>
      <c r="M24" s="3"/>
      <c r="N24" s="26">
        <f>IF(H24=0,0,L24/H24)</f>
        <v>0</v>
      </c>
      <c r="O24" s="9"/>
      <c r="P24" s="3">
        <v>3369434.65</v>
      </c>
      <c r="Q24" s="3"/>
      <c r="R24" s="26">
        <f>IF(P$12=0,0,P24/P$12)</f>
        <v>0.25266151752128452</v>
      </c>
      <c r="S24" s="3"/>
      <c r="T24" s="3"/>
      <c r="U24" s="3"/>
      <c r="V24" s="26">
        <f>IF(T$12=0,0,T24/T$12)</f>
        <v>0</v>
      </c>
      <c r="W24" s="3"/>
      <c r="X24" s="3">
        <f>+P24-T24</f>
        <v>3369434.65</v>
      </c>
      <c r="Y24" s="3"/>
      <c r="Z24" s="26">
        <f>IF(T24=0,0,X24/T24)</f>
        <v>0</v>
      </c>
    </row>
    <row r="25" spans="1:26" s="70" customFormat="1" ht="15" hidden="1" customHeight="1" outlineLevel="1" x14ac:dyDescent="0.3">
      <c r="A25" s="48"/>
      <c r="B25" s="9" t="str">
        <f>CONCATENATE("          ","5059"," - ","PURCHASES @ COST-FOOD")</f>
        <v xml:space="preserve">          5059 - PURCHASES @ COST-FOOD</v>
      </c>
      <c r="C25" s="9"/>
      <c r="D25" s="3">
        <v>492.86</v>
      </c>
      <c r="E25" s="3"/>
      <c r="F25" s="26">
        <f>IF(D$12=0,0,D25/D$12)</f>
        <v>2.3386925642805926E-3</v>
      </c>
      <c r="G25" s="3"/>
      <c r="H25" s="3"/>
      <c r="I25" s="3"/>
      <c r="J25" s="26">
        <f>IF(H$12=0,0,H25/H$12)</f>
        <v>0</v>
      </c>
      <c r="K25" s="3"/>
      <c r="L25" s="3">
        <f>+D25-H25</f>
        <v>492.86</v>
      </c>
      <c r="M25" s="3"/>
      <c r="N25" s="26">
        <f>IF(H25=0,0,L25/H25)</f>
        <v>0</v>
      </c>
      <c r="O25" s="9"/>
      <c r="P25" s="3">
        <v>68291.83</v>
      </c>
      <c r="Q25" s="3"/>
      <c r="R25" s="26">
        <f>IF(P$12=0,0,P25/P$12)</f>
        <v>5.1209532738988083E-3</v>
      </c>
      <c r="S25" s="3"/>
      <c r="T25" s="3"/>
      <c r="U25" s="3"/>
      <c r="V25" s="26">
        <f>IF(T$12=0,0,T25/T$12)</f>
        <v>0</v>
      </c>
      <c r="W25" s="3"/>
      <c r="X25" s="3">
        <f>+P25-T25</f>
        <v>68291.83</v>
      </c>
      <c r="Y25" s="3"/>
      <c r="Z25" s="26">
        <f>IF(T25=0,0,X25/T25)</f>
        <v>0</v>
      </c>
    </row>
    <row r="26" spans="1:26" ht="15" customHeight="1" x14ac:dyDescent="0.3">
      <c r="A26" s="12"/>
      <c r="B26" s="13"/>
      <c r="C26" s="13"/>
      <c r="D26" s="4"/>
      <c r="E26" s="4"/>
      <c r="F26" s="10"/>
      <c r="G26" s="4"/>
      <c r="H26" s="4"/>
      <c r="I26" s="4"/>
      <c r="J26" s="10"/>
      <c r="K26" s="4"/>
      <c r="L26" s="4"/>
      <c r="M26" s="4"/>
      <c r="N26" s="10"/>
      <c r="O26" s="13"/>
      <c r="P26" s="4"/>
      <c r="Q26" s="4"/>
      <c r="R26" s="10"/>
      <c r="S26" s="4"/>
      <c r="T26" s="4"/>
      <c r="U26" s="4"/>
      <c r="V26" s="10"/>
      <c r="W26" s="4"/>
      <c r="X26" s="4"/>
      <c r="Y26" s="4"/>
      <c r="Z26" s="10"/>
    </row>
    <row r="27" spans="1:26" s="63" customFormat="1" ht="15" customHeight="1" x14ac:dyDescent="0.3">
      <c r="A27" s="13"/>
      <c r="B27" s="27" t="s">
        <v>289</v>
      </c>
      <c r="C27" s="27"/>
      <c r="D27" s="23">
        <f>D12-D22</f>
        <v>123664.68</v>
      </c>
      <c r="E27" s="15"/>
      <c r="F27" s="22">
        <f>IF(D$12=0,0,D27/D$12)</f>
        <v>0.58680693823832097</v>
      </c>
      <c r="G27" s="15"/>
      <c r="H27" s="23">
        <f>H12-H22</f>
        <v>57101</v>
      </c>
      <c r="I27" s="15"/>
      <c r="J27" s="22">
        <f>IF(H$12=0,0,H27/H$12)</f>
        <v>0.67514424895951575</v>
      </c>
      <c r="K27" s="17"/>
      <c r="L27" s="23">
        <f>+D27-H27</f>
        <v>66563.679999999993</v>
      </c>
      <c r="M27" s="17"/>
      <c r="N27" s="22">
        <f>IF(H27=0,0,L27/H27)</f>
        <v>1.1657182886464335</v>
      </c>
      <c r="O27" s="28"/>
      <c r="P27" s="23">
        <f>P12-P22</f>
        <v>9898038.629999999</v>
      </c>
      <c r="Q27" s="15"/>
      <c r="R27" s="22">
        <f>IF(P$12=0,0,P27/P$12)</f>
        <v>0.74221752920481665</v>
      </c>
      <c r="S27" s="15"/>
      <c r="T27" s="23">
        <f>T12-T22</f>
        <v>7810700</v>
      </c>
      <c r="U27" s="15"/>
      <c r="V27" s="22">
        <f>IF(T$12=0,0,T27/T$12)</f>
        <v>0.70960716542703983</v>
      </c>
      <c r="W27" s="17"/>
      <c r="X27" s="23">
        <f>+P27-T27</f>
        <v>2087338.629999999</v>
      </c>
      <c r="Y27" s="17"/>
      <c r="Z27" s="22">
        <f>IF(T27=0,0,X27/T27)</f>
        <v>0.26724091694726454</v>
      </c>
    </row>
    <row r="28" spans="1:26" ht="15" customHeight="1" x14ac:dyDescent="0.3">
      <c r="A28" s="12"/>
      <c r="B28" s="13"/>
      <c r="C28" s="12"/>
      <c r="D28" s="2"/>
      <c r="E28" s="2"/>
      <c r="F28" s="5"/>
      <c r="G28" s="2"/>
      <c r="H28" s="2"/>
      <c r="I28" s="2"/>
      <c r="J28" s="5"/>
      <c r="K28" s="2"/>
      <c r="L28" s="2"/>
      <c r="M28" s="2"/>
      <c r="N28" s="5"/>
      <c r="O28" s="36"/>
      <c r="P28" s="2"/>
      <c r="Q28" s="2"/>
      <c r="R28" s="5"/>
      <c r="S28" s="2"/>
      <c r="T28" s="2"/>
      <c r="U28" s="2"/>
      <c r="V28" s="5"/>
      <c r="W28" s="2"/>
      <c r="X28" s="2"/>
      <c r="Y28" s="2"/>
      <c r="Z28" s="5"/>
    </row>
    <row r="29" spans="1:26" s="63" customFormat="1" ht="15" customHeight="1" x14ac:dyDescent="0.3">
      <c r="A29" s="13"/>
      <c r="B29" s="28" t="s">
        <v>290</v>
      </c>
      <c r="C29" s="13"/>
      <c r="D29" s="24" cm="1">
        <f t="array" ref="D29">SUM(OSRRefD22x_0)</f>
        <v>389345.14000000007</v>
      </c>
      <c r="E29" s="24"/>
      <c r="F29" s="34">
        <f t="shared" ref="F29:F60" si="4">IF(D$12=0,0,D29/D$12)</f>
        <v>1.8474994600024071</v>
      </c>
      <c r="G29" s="24"/>
      <c r="H29" s="24" cm="1">
        <f t="array" ref="H29">SUM(OSRRefH22x_0)</f>
        <v>440709.70111112978</v>
      </c>
      <c r="I29" s="24"/>
      <c r="J29" s="34">
        <f t="shared" ref="J29:J60" si="5">IF(H$12=0,0,H29/H$12)</f>
        <v>5.2108127732587235</v>
      </c>
      <c r="K29" s="8"/>
      <c r="L29" s="24">
        <f t="shared" ref="L29:L60" si="6">+D29-H29</f>
        <v>-51364.561111129704</v>
      </c>
      <c r="M29" s="8"/>
      <c r="N29" s="34">
        <f t="shared" ref="N29:N60" si="7">IF(H29=0,0,L29/H29)</f>
        <v>-0.11654964930798646</v>
      </c>
      <c r="O29" s="13"/>
      <c r="P29" s="24" cm="1">
        <f t="array" ref="P29">SUM(OSRRefP22x_0)</f>
        <v>7647167.6699999981</v>
      </c>
      <c r="Q29" s="24"/>
      <c r="R29" s="34">
        <f t="shared" ref="R29:R60" si="8">IF(P$12=0,0,P29/P$12)</f>
        <v>0.57343299067750286</v>
      </c>
      <c r="S29" s="24"/>
      <c r="T29" s="24" cm="1">
        <f t="array" ref="T29">SUM(OSRRefT22x_0)</f>
        <v>8186179.9972949764</v>
      </c>
      <c r="U29" s="24"/>
      <c r="V29" s="34">
        <f t="shared" ref="V29:V60" si="9">IF(T$12=0,0,T29/T$12)</f>
        <v>0.74371976692947117</v>
      </c>
      <c r="W29" s="8"/>
      <c r="X29" s="24">
        <f t="shared" ref="X29:X60" si="10">+P29-T29</f>
        <v>-539012.32729497831</v>
      </c>
      <c r="Y29" s="8"/>
      <c r="Z29" s="34">
        <f t="shared" ref="Z29:Z60" si="11">IF(T29=0,0,X29/T29)</f>
        <v>-6.584418220379816E-2</v>
      </c>
    </row>
    <row r="30" spans="1:26" s="69" customFormat="1" ht="15" customHeight="1" outlineLevel="1" collapsed="1" x14ac:dyDescent="0.3">
      <c r="A30" s="20"/>
      <c r="B30" s="11" t="str">
        <f>CONCATENATE("     ","*Benefits                                         ")</f>
        <v xml:space="preserve">     *Benefits                                         </v>
      </c>
      <c r="C30" s="11"/>
      <c r="D30" s="2">
        <f>SUM(OSRRefD22_0x_0)</f>
        <v>52181.499999999993</v>
      </c>
      <c r="E30" s="2"/>
      <c r="F30" s="5">
        <f t="shared" si="4"/>
        <v>0.2476088261230526</v>
      </c>
      <c r="G30" s="2"/>
      <c r="H30" s="2">
        <f>SUM(OSRRefH22_0x_0)</f>
        <v>125405.31411728368</v>
      </c>
      <c r="I30" s="2"/>
      <c r="J30" s="5">
        <f t="shared" si="5"/>
        <v>1.4827529573080269</v>
      </c>
      <c r="K30" s="2"/>
      <c r="L30" s="2">
        <f t="shared" si="6"/>
        <v>-73223.814117283677</v>
      </c>
      <c r="M30" s="2"/>
      <c r="N30" s="5">
        <f t="shared" si="7"/>
        <v>-0.58389721865217026</v>
      </c>
      <c r="O30" s="11"/>
      <c r="P30" s="2">
        <f>SUM(OSRRefP22_0x_0)</f>
        <v>1347368.98</v>
      </c>
      <c r="Q30" s="2"/>
      <c r="R30" s="5">
        <f t="shared" si="8"/>
        <v>0.10103424654575369</v>
      </c>
      <c r="S30" s="2"/>
      <c r="T30" s="2">
        <f>SUM(OSRRefT22_0x_0)</f>
        <v>1695645.1131549773</v>
      </c>
      <c r="U30" s="2"/>
      <c r="V30" s="5">
        <f t="shared" si="9"/>
        <v>0.15405045928228145</v>
      </c>
      <c r="W30" s="2"/>
      <c r="X30" s="2">
        <f t="shared" si="10"/>
        <v>-348276.13315497735</v>
      </c>
      <c r="Y30" s="2"/>
      <c r="Z30" s="5">
        <f t="shared" si="11"/>
        <v>-0.2053944722589755</v>
      </c>
    </row>
    <row r="31" spans="1:26" s="70" customFormat="1" ht="15" hidden="1" customHeight="1" outlineLevel="2" x14ac:dyDescent="0.3">
      <c r="A31" s="21"/>
      <c r="B31" s="9" t="str">
        <f>CONCATENATE("          ","6111"," - ","F.I.C.A.")</f>
        <v xml:space="preserve">          6111 - F.I.C.A.</v>
      </c>
      <c r="C31" s="9"/>
      <c r="D31" s="6">
        <v>13695.56</v>
      </c>
      <c r="E31" s="3"/>
      <c r="F31" s="7">
        <f t="shared" si="4"/>
        <v>6.4987429159718196E-2</v>
      </c>
      <c r="G31" s="3"/>
      <c r="H31" s="6">
        <v>13608.036010822199</v>
      </c>
      <c r="I31" s="3"/>
      <c r="J31" s="7">
        <f t="shared" si="5"/>
        <v>0.16089713406666428</v>
      </c>
      <c r="K31" s="3"/>
      <c r="L31" s="6">
        <f t="shared" si="6"/>
        <v>87.523989177800104</v>
      </c>
      <c r="M31" s="3"/>
      <c r="N31" s="7">
        <f t="shared" si="7"/>
        <v>6.431787004986908E-3</v>
      </c>
      <c r="O31" s="9"/>
      <c r="P31" s="6">
        <v>199943.45</v>
      </c>
      <c r="Q31" s="3"/>
      <c r="R31" s="7">
        <f t="shared" si="8"/>
        <v>1.499302427350567E-2</v>
      </c>
      <c r="S31" s="3"/>
      <c r="T31" s="6">
        <v>195326.008083516</v>
      </c>
      <c r="U31" s="3"/>
      <c r="V31" s="7">
        <f t="shared" si="9"/>
        <v>1.774549463304478E-2</v>
      </c>
      <c r="W31" s="3"/>
      <c r="X31" s="6">
        <f t="shared" si="10"/>
        <v>4617.4419164840074</v>
      </c>
      <c r="Y31" s="3"/>
      <c r="Z31" s="7">
        <f t="shared" si="11"/>
        <v>2.3639667660180292E-2</v>
      </c>
    </row>
    <row r="32" spans="1:26" s="70" customFormat="1" ht="15" hidden="1" customHeight="1" outlineLevel="2" x14ac:dyDescent="0.3">
      <c r="A32" s="21"/>
      <c r="B32" s="9" t="str">
        <f>CONCATENATE("          ","6112"," - ","COMPENSATION INSURANCE")</f>
        <v xml:space="preserve">          6112 - COMPENSATION INSURANCE</v>
      </c>
      <c r="C32" s="9"/>
      <c r="D32" s="6">
        <v>-42642.51</v>
      </c>
      <c r="E32" s="3"/>
      <c r="F32" s="7">
        <f t="shared" si="4"/>
        <v>-0.20234492768587592</v>
      </c>
      <c r="G32" s="3"/>
      <c r="H32" s="6">
        <v>7465.1828234492305</v>
      </c>
      <c r="I32" s="3"/>
      <c r="J32" s="7">
        <f t="shared" si="5"/>
        <v>8.8265971711232863E-2</v>
      </c>
      <c r="K32" s="3"/>
      <c r="L32" s="6">
        <f t="shared" si="6"/>
        <v>-50107.69282344923</v>
      </c>
      <c r="M32" s="3"/>
      <c r="N32" s="7">
        <f t="shared" si="7"/>
        <v>-6.7121856233786588</v>
      </c>
      <c r="O32" s="9"/>
      <c r="P32" s="6">
        <v>72486.97</v>
      </c>
      <c r="Q32" s="3"/>
      <c r="R32" s="7">
        <f t="shared" si="8"/>
        <v>5.43553140011777E-3</v>
      </c>
      <c r="S32" s="3"/>
      <c r="T32" s="6">
        <v>154314.81071963001</v>
      </c>
      <c r="U32" s="3"/>
      <c r="V32" s="7">
        <f t="shared" si="9"/>
        <v>1.4019600729533439E-2</v>
      </c>
      <c r="W32" s="3"/>
      <c r="X32" s="6">
        <f t="shared" si="10"/>
        <v>-81827.84071963001</v>
      </c>
      <c r="Y32" s="3"/>
      <c r="Z32" s="7">
        <f t="shared" si="11"/>
        <v>-0.53026563256005654</v>
      </c>
    </row>
    <row r="33" spans="1:26" s="70" customFormat="1" ht="15" hidden="1" customHeight="1" outlineLevel="2" x14ac:dyDescent="0.3">
      <c r="A33" s="21"/>
      <c r="B33" s="9" t="str">
        <f>CONCATENATE("          ","6113"," - ","GROUP INSURANCE")</f>
        <v xml:space="preserve">          6113 - GROUP INSURANCE</v>
      </c>
      <c r="C33" s="9"/>
      <c r="D33" s="6">
        <v>52163.360000000001</v>
      </c>
      <c r="E33" s="3"/>
      <c r="F33" s="7">
        <f t="shared" si="4"/>
        <v>0.24752274917804584</v>
      </c>
      <c r="G33" s="3"/>
      <c r="H33" s="6">
        <v>77384.738461538407</v>
      </c>
      <c r="I33" s="3"/>
      <c r="J33" s="7">
        <f t="shared" si="5"/>
        <v>0.9149727873337401</v>
      </c>
      <c r="K33" s="3"/>
      <c r="L33" s="6">
        <f t="shared" si="6"/>
        <v>-25221.378461538407</v>
      </c>
      <c r="M33" s="3"/>
      <c r="N33" s="7">
        <f t="shared" si="7"/>
        <v>-0.3259218673210853</v>
      </c>
      <c r="O33" s="9"/>
      <c r="P33" s="6">
        <v>651529.43000000005</v>
      </c>
      <c r="Q33" s="3"/>
      <c r="R33" s="7">
        <f t="shared" si="8"/>
        <v>4.8855796771003573E-2</v>
      </c>
      <c r="S33" s="3"/>
      <c r="T33" s="6">
        <v>957961.81153846101</v>
      </c>
      <c r="U33" s="3"/>
      <c r="V33" s="7">
        <f t="shared" si="9"/>
        <v>8.7031452452809535E-2</v>
      </c>
      <c r="W33" s="3"/>
      <c r="X33" s="6">
        <f t="shared" si="10"/>
        <v>-306432.38153846096</v>
      </c>
      <c r="Y33" s="3"/>
      <c r="Z33" s="7">
        <f t="shared" si="11"/>
        <v>-0.31987953783495687</v>
      </c>
    </row>
    <row r="34" spans="1:26" s="70" customFormat="1" ht="15" hidden="1" customHeight="1" outlineLevel="2" x14ac:dyDescent="0.3">
      <c r="A34" s="21"/>
      <c r="B34" s="9" t="str">
        <f>CONCATENATE("          ","6114"," - ","STATE UNEMPLOYMENT INSURANCE")</f>
        <v xml:space="preserve">          6114 - STATE UNEMPLOYMENT INSURANCE</v>
      </c>
      <c r="C34" s="9"/>
      <c r="D34" s="6"/>
      <c r="E34" s="3"/>
      <c r="F34" s="7">
        <f t="shared" si="4"/>
        <v>0</v>
      </c>
      <c r="G34" s="3"/>
      <c r="H34" s="6">
        <v>413.638098396923</v>
      </c>
      <c r="I34" s="3"/>
      <c r="J34" s="7">
        <f t="shared" si="5"/>
        <v>4.8907266647384958E-3</v>
      </c>
      <c r="K34" s="3"/>
      <c r="L34" s="6">
        <f t="shared" si="6"/>
        <v>-413.638098396923</v>
      </c>
      <c r="M34" s="3"/>
      <c r="N34" s="7">
        <f t="shared" si="7"/>
        <v>-1</v>
      </c>
      <c r="O34" s="9"/>
      <c r="P34" s="6">
        <v>8672.27</v>
      </c>
      <c r="Q34" s="3"/>
      <c r="R34" s="7">
        <f t="shared" si="8"/>
        <v>6.5030164587234556E-4</v>
      </c>
      <c r="S34" s="3"/>
      <c r="T34" s="6">
        <v>8550.4248683700007</v>
      </c>
      <c r="U34" s="3"/>
      <c r="V34" s="7">
        <f t="shared" si="9"/>
        <v>7.7681164992137786E-4</v>
      </c>
      <c r="W34" s="3"/>
      <c r="X34" s="6">
        <f t="shared" si="10"/>
        <v>121.84513162999974</v>
      </c>
      <c r="Y34" s="3"/>
      <c r="Z34" s="7">
        <f t="shared" si="11"/>
        <v>1.425018446518758E-2</v>
      </c>
    </row>
    <row r="35" spans="1:26" s="70" customFormat="1" ht="15" hidden="1" customHeight="1" outlineLevel="2" x14ac:dyDescent="0.3">
      <c r="A35" s="21"/>
      <c r="B35" s="9" t="str">
        <f>CONCATENATE("          ","6115"," - ","P.E.R.S.")</f>
        <v xml:space="preserve">          6115 - P.E.R.S.</v>
      </c>
      <c r="C35" s="9"/>
      <c r="D35" s="6">
        <v>6112.18</v>
      </c>
      <c r="E35" s="3"/>
      <c r="F35" s="7">
        <f t="shared" si="4"/>
        <v>2.9003185321479837E-2</v>
      </c>
      <c r="G35" s="3"/>
      <c r="H35" s="6">
        <v>6656.33067076923</v>
      </c>
      <c r="I35" s="3"/>
      <c r="J35" s="7">
        <f t="shared" si="5"/>
        <v>7.870235847958322E-2</v>
      </c>
      <c r="K35" s="3"/>
      <c r="L35" s="6">
        <f t="shared" si="6"/>
        <v>-544.15067076922969</v>
      </c>
      <c r="M35" s="3"/>
      <c r="N35" s="7">
        <f t="shared" si="7"/>
        <v>-8.1749344749176292E-2</v>
      </c>
      <c r="O35" s="9"/>
      <c r="P35" s="6">
        <v>90085.09</v>
      </c>
      <c r="Q35" s="3"/>
      <c r="R35" s="7">
        <f t="shared" si="8"/>
        <v>6.7551497238391295E-3</v>
      </c>
      <c r="S35" s="3"/>
      <c r="T35" s="6">
        <v>83441.285860000105</v>
      </c>
      <c r="U35" s="3"/>
      <c r="V35" s="7">
        <f t="shared" si="9"/>
        <v>7.5806949874789734E-3</v>
      </c>
      <c r="W35" s="3"/>
      <c r="X35" s="6">
        <f t="shared" si="10"/>
        <v>6643.804139999891</v>
      </c>
      <c r="Y35" s="3"/>
      <c r="Z35" s="7">
        <f t="shared" si="11"/>
        <v>7.9622504273807973E-2</v>
      </c>
    </row>
    <row r="36" spans="1:26" s="70" customFormat="1" ht="15" hidden="1" customHeight="1" outlineLevel="2" x14ac:dyDescent="0.3">
      <c r="A36" s="21"/>
      <c r="B36" s="9" t="str">
        <f>CONCATENATE("          ","6116"," - ","EDUCATIONAL BENEFITS")</f>
        <v xml:space="preserve">          6116 - EDUCATIONAL BENEFITS</v>
      </c>
      <c r="C36" s="9"/>
      <c r="D36" s="6"/>
      <c r="E36" s="3"/>
      <c r="F36" s="7">
        <f t="shared" si="4"/>
        <v>0</v>
      </c>
      <c r="G36" s="3"/>
      <c r="H36" s="6">
        <v>0</v>
      </c>
      <c r="I36" s="3"/>
      <c r="J36" s="7">
        <f t="shared" si="5"/>
        <v>0</v>
      </c>
      <c r="K36" s="3"/>
      <c r="L36" s="6">
        <f t="shared" si="6"/>
        <v>0</v>
      </c>
      <c r="M36" s="3"/>
      <c r="N36" s="7">
        <f t="shared" si="7"/>
        <v>0</v>
      </c>
      <c r="O36" s="9"/>
      <c r="P36" s="6"/>
      <c r="Q36" s="3"/>
      <c r="R36" s="7">
        <f t="shared" si="8"/>
        <v>0</v>
      </c>
      <c r="S36" s="3"/>
      <c r="T36" s="6">
        <v>0</v>
      </c>
      <c r="U36" s="3"/>
      <c r="V36" s="7">
        <f t="shared" si="9"/>
        <v>0</v>
      </c>
      <c r="W36" s="3"/>
      <c r="X36" s="6">
        <f t="shared" si="10"/>
        <v>0</v>
      </c>
      <c r="Y36" s="3"/>
      <c r="Z36" s="7">
        <f t="shared" si="11"/>
        <v>0</v>
      </c>
    </row>
    <row r="37" spans="1:26" s="70" customFormat="1" ht="15" hidden="1" customHeight="1" outlineLevel="2" x14ac:dyDescent="0.3">
      <c r="A37" s="21"/>
      <c r="B37" s="9" t="str">
        <f>CONCATENATE("          ","6117"," - ","RETIREMENT STAFF HOURLY")</f>
        <v xml:space="preserve">          6117 - RETIREMENT STAFF HOURLY</v>
      </c>
      <c r="C37" s="9"/>
      <c r="D37" s="6">
        <v>1481.2</v>
      </c>
      <c r="E37" s="3"/>
      <c r="F37" s="7">
        <f t="shared" si="4"/>
        <v>7.0285099748659124E-3</v>
      </c>
      <c r="G37" s="3"/>
      <c r="H37" s="6"/>
      <c r="I37" s="3"/>
      <c r="J37" s="7">
        <f t="shared" si="5"/>
        <v>0</v>
      </c>
      <c r="K37" s="3"/>
      <c r="L37" s="6">
        <f t="shared" si="6"/>
        <v>1481.2</v>
      </c>
      <c r="M37" s="3"/>
      <c r="N37" s="7">
        <f t="shared" si="7"/>
        <v>0</v>
      </c>
      <c r="O37" s="9"/>
      <c r="P37" s="6">
        <v>20161.59</v>
      </c>
      <c r="Q37" s="3"/>
      <c r="R37" s="7">
        <f t="shared" si="8"/>
        <v>1.5118435150662309E-3</v>
      </c>
      <c r="S37" s="3"/>
      <c r="T37" s="6"/>
      <c r="U37" s="3"/>
      <c r="V37" s="7">
        <f t="shared" si="9"/>
        <v>0</v>
      </c>
      <c r="W37" s="3"/>
      <c r="X37" s="6">
        <f t="shared" si="10"/>
        <v>20161.59</v>
      </c>
      <c r="Y37" s="3"/>
      <c r="Z37" s="7">
        <f t="shared" si="11"/>
        <v>0</v>
      </c>
    </row>
    <row r="38" spans="1:26" s="70" customFormat="1" ht="15" hidden="1" customHeight="1" outlineLevel="2" x14ac:dyDescent="0.3">
      <c r="A38" s="21"/>
      <c r="B38" s="9" t="str">
        <f>CONCATENATE("          ","6118"," - ","VACATION")</f>
        <v xml:space="preserve">          6118 - VACATION</v>
      </c>
      <c r="C38" s="9"/>
      <c r="D38" s="6">
        <v>9716.83</v>
      </c>
      <c r="E38" s="3"/>
      <c r="F38" s="7">
        <f t="shared" si="4"/>
        <v>4.6107775168158477E-2</v>
      </c>
      <c r="G38" s="3"/>
      <c r="H38" s="6">
        <v>8184.5489021538397</v>
      </c>
      <c r="I38" s="3"/>
      <c r="J38" s="7">
        <f t="shared" si="5"/>
        <v>9.6771529773858306E-2</v>
      </c>
      <c r="K38" s="3"/>
      <c r="L38" s="6">
        <f t="shared" si="6"/>
        <v>1532.2810978461603</v>
      </c>
      <c r="M38" s="3"/>
      <c r="N38" s="7">
        <f t="shared" si="7"/>
        <v>0.18721631652086854</v>
      </c>
      <c r="O38" s="9"/>
      <c r="P38" s="6">
        <v>136609.20000000001</v>
      </c>
      <c r="Q38" s="3"/>
      <c r="R38" s="7">
        <f t="shared" si="8"/>
        <v>1.0243821698506208E-2</v>
      </c>
      <c r="S38" s="3"/>
      <c r="T38" s="6">
        <v>104247.36435600001</v>
      </c>
      <c r="U38" s="3"/>
      <c r="V38" s="7">
        <f t="shared" si="9"/>
        <v>9.4709407254024592E-3</v>
      </c>
      <c r="W38" s="3"/>
      <c r="X38" s="6">
        <f t="shared" si="10"/>
        <v>32361.835644000006</v>
      </c>
      <c r="Y38" s="3"/>
      <c r="Z38" s="7">
        <f t="shared" si="11"/>
        <v>0.31043313031383518</v>
      </c>
    </row>
    <row r="39" spans="1:26" s="70" customFormat="1" ht="15" hidden="1" customHeight="1" outlineLevel="2" x14ac:dyDescent="0.3">
      <c r="A39" s="21"/>
      <c r="B39" s="9" t="str">
        <f>CONCATENATE("          ","6119"," - ","SICK LEAVE")</f>
        <v xml:space="preserve">          6119 - SICK LEAVE</v>
      </c>
      <c r="C39" s="9"/>
      <c r="D39" s="6">
        <v>7056.78</v>
      </c>
      <c r="E39" s="3"/>
      <c r="F39" s="7">
        <f t="shared" si="4"/>
        <v>3.3485450054303451E-2</v>
      </c>
      <c r="G39" s="3"/>
      <c r="H39" s="6">
        <v>5547.8391501538399</v>
      </c>
      <c r="I39" s="3"/>
      <c r="J39" s="7">
        <f t="shared" si="5"/>
        <v>6.559590368607926E-2</v>
      </c>
      <c r="K39" s="3"/>
      <c r="L39" s="6">
        <f t="shared" si="6"/>
        <v>1508.9408498461598</v>
      </c>
      <c r="M39" s="3"/>
      <c r="N39" s="7">
        <f t="shared" si="7"/>
        <v>0.27198713030537619</v>
      </c>
      <c r="O39" s="9"/>
      <c r="P39" s="6">
        <v>108485.94</v>
      </c>
      <c r="Q39" s="3"/>
      <c r="R39" s="7">
        <f t="shared" si="8"/>
        <v>8.1349618192247848E-3</v>
      </c>
      <c r="S39" s="3"/>
      <c r="T39" s="6">
        <v>116727.407729</v>
      </c>
      <c r="U39" s="3"/>
      <c r="V39" s="7">
        <f t="shared" si="9"/>
        <v>1.0604760767437238E-2</v>
      </c>
      <c r="W39" s="3"/>
      <c r="X39" s="6">
        <f t="shared" si="10"/>
        <v>-8241.4677289999963</v>
      </c>
      <c r="Y39" s="3"/>
      <c r="Z39" s="7">
        <f t="shared" si="11"/>
        <v>-7.0604392655868681E-2</v>
      </c>
    </row>
    <row r="40" spans="1:26" s="70" customFormat="1" ht="15" hidden="1" customHeight="1" outlineLevel="2" x14ac:dyDescent="0.3">
      <c r="A40" s="21"/>
      <c r="B40" s="9" t="str">
        <f>CONCATENATE("          ","6156"," - ","EMPLOYEE MEALS")</f>
        <v xml:space="preserve">          6156 - EMPLOYEE MEALS</v>
      </c>
      <c r="C40" s="9"/>
      <c r="D40" s="6">
        <v>4598.1000000000004</v>
      </c>
      <c r="E40" s="3"/>
      <c r="F40" s="7">
        <f t="shared" si="4"/>
        <v>2.1818654952356839E-2</v>
      </c>
      <c r="G40" s="3"/>
      <c r="H40" s="6">
        <v>6145</v>
      </c>
      <c r="I40" s="3"/>
      <c r="J40" s="7">
        <f t="shared" si="5"/>
        <v>7.2656545592130153E-2</v>
      </c>
      <c r="K40" s="3"/>
      <c r="L40" s="6">
        <f t="shared" si="6"/>
        <v>-1546.8999999999996</v>
      </c>
      <c r="M40" s="3"/>
      <c r="N40" s="7">
        <f t="shared" si="7"/>
        <v>-0.25173311635475992</v>
      </c>
      <c r="O40" s="9"/>
      <c r="P40" s="6">
        <v>59395.040000000001</v>
      </c>
      <c r="Q40" s="3"/>
      <c r="R40" s="7">
        <f t="shared" si="8"/>
        <v>4.4538156986179854E-3</v>
      </c>
      <c r="S40" s="3"/>
      <c r="T40" s="6">
        <v>75076</v>
      </c>
      <c r="U40" s="3"/>
      <c r="V40" s="7">
        <f t="shared" si="9"/>
        <v>6.8207033366536217E-3</v>
      </c>
      <c r="W40" s="3"/>
      <c r="X40" s="6">
        <f t="shared" si="10"/>
        <v>-15680.96</v>
      </c>
      <c r="Y40" s="3"/>
      <c r="Z40" s="7">
        <f t="shared" si="11"/>
        <v>-0.20886781394853215</v>
      </c>
    </row>
    <row r="41" spans="1:26" s="69" customFormat="1" ht="15" customHeight="1" outlineLevel="1" collapsed="1" x14ac:dyDescent="0.3">
      <c r="A41" s="20"/>
      <c r="B41" s="11" t="str">
        <f>CONCATENATE("     ","*Payroll                                          ")</f>
        <v xml:space="preserve">     *Payroll                                          </v>
      </c>
      <c r="C41" s="11"/>
      <c r="D41" s="2">
        <f>SUM(OSRRefD22_1x_0)</f>
        <v>144862.12000000002</v>
      </c>
      <c r="E41" s="2"/>
      <c r="F41" s="5">
        <f t="shared" si="4"/>
        <v>0.6873918818527025</v>
      </c>
      <c r="G41" s="2"/>
      <c r="H41" s="2">
        <f>SUM(OSRRefH22_1x_0)</f>
        <v>183263.38699384613</v>
      </c>
      <c r="I41" s="2"/>
      <c r="J41" s="5">
        <f t="shared" si="5"/>
        <v>2.1668485976381731</v>
      </c>
      <c r="K41" s="2"/>
      <c r="L41" s="2">
        <f t="shared" si="6"/>
        <v>-38401.266993846104</v>
      </c>
      <c r="M41" s="2"/>
      <c r="N41" s="5">
        <f t="shared" si="7"/>
        <v>-0.2095414017156389</v>
      </c>
      <c r="O41" s="11"/>
      <c r="P41" s="2">
        <f>SUM(OSRRefP22_1x_0)</f>
        <v>3503863.0300000003</v>
      </c>
      <c r="Q41" s="2"/>
      <c r="R41" s="5">
        <f t="shared" si="8"/>
        <v>0.26274180754522908</v>
      </c>
      <c r="S41" s="2"/>
      <c r="T41" s="2">
        <f>SUM(OSRRefT22_1x_0)</f>
        <v>3863194.8841399988</v>
      </c>
      <c r="U41" s="2"/>
      <c r="V41" s="5">
        <f t="shared" si="9"/>
        <v>0.35097376307204553</v>
      </c>
      <c r="W41" s="2"/>
      <c r="X41" s="2">
        <f t="shared" si="10"/>
        <v>-359331.85413999856</v>
      </c>
      <c r="Y41" s="2"/>
      <c r="Z41" s="5">
        <f t="shared" si="11"/>
        <v>-9.30141670085564E-2</v>
      </c>
    </row>
    <row r="42" spans="1:26" s="70" customFormat="1" ht="15" hidden="1" customHeight="1" outlineLevel="2" x14ac:dyDescent="0.3">
      <c r="A42" s="21"/>
      <c r="B42" s="9" t="str">
        <f>CONCATENATE("          ","6001"," - ","ADMINISTRATIVE SALARIES")</f>
        <v xml:space="preserve">          6001 - ADMINISTRATIVE SALARIES</v>
      </c>
      <c r="C42" s="9"/>
      <c r="D42" s="6">
        <v>15073.93</v>
      </c>
      <c r="E42" s="3"/>
      <c r="F42" s="7">
        <f t="shared" si="4"/>
        <v>7.152799579086587E-2</v>
      </c>
      <c r="G42" s="3"/>
      <c r="H42" s="6">
        <v>10268.307692307701</v>
      </c>
      <c r="I42" s="3"/>
      <c r="J42" s="7">
        <f t="shared" si="5"/>
        <v>0.12140923775430028</v>
      </c>
      <c r="K42" s="3"/>
      <c r="L42" s="6">
        <f t="shared" si="6"/>
        <v>4805.6223076922997</v>
      </c>
      <c r="M42" s="3"/>
      <c r="N42" s="7">
        <f t="shared" si="7"/>
        <v>0.46800528886491555</v>
      </c>
      <c r="O42" s="9"/>
      <c r="P42" s="6">
        <v>241964.29</v>
      </c>
      <c r="Q42" s="3"/>
      <c r="R42" s="7">
        <f t="shared" si="8"/>
        <v>1.8144012586016525E-2</v>
      </c>
      <c r="S42" s="3"/>
      <c r="T42" s="6">
        <v>133488</v>
      </c>
      <c r="U42" s="3"/>
      <c r="V42" s="7">
        <f t="shared" si="9"/>
        <v>1.212747145563454E-2</v>
      </c>
      <c r="W42" s="3"/>
      <c r="X42" s="6">
        <f t="shared" si="10"/>
        <v>108476.29000000001</v>
      </c>
      <c r="Y42" s="3"/>
      <c r="Z42" s="7">
        <f t="shared" si="11"/>
        <v>0.81262952475128858</v>
      </c>
    </row>
    <row r="43" spans="1:26" s="70" customFormat="1" ht="15" hidden="1" customHeight="1" outlineLevel="2" x14ac:dyDescent="0.3">
      <c r="A43" s="21"/>
      <c r="B43" s="9" t="str">
        <f>CONCATENATE("          ","6002"," - ","STAFF SALARIES")</f>
        <v xml:space="preserve">          6002 - STAFF SALARIES</v>
      </c>
      <c r="C43" s="9"/>
      <c r="D43" s="6">
        <v>37733.760000000002</v>
      </c>
      <c r="E43" s="3"/>
      <c r="F43" s="7">
        <f t="shared" si="4"/>
        <v>0.17905219318741317</v>
      </c>
      <c r="G43" s="3"/>
      <c r="H43" s="6">
        <v>62017.5431615384</v>
      </c>
      <c r="I43" s="3"/>
      <c r="J43" s="7">
        <f t="shared" si="5"/>
        <v>0.73327590760426598</v>
      </c>
      <c r="K43" s="3"/>
      <c r="L43" s="6">
        <f t="shared" si="6"/>
        <v>-24283.783161538398</v>
      </c>
      <c r="M43" s="3"/>
      <c r="N43" s="7">
        <f t="shared" si="7"/>
        <v>-0.39156312752160977</v>
      </c>
      <c r="O43" s="9"/>
      <c r="P43" s="6">
        <v>688953.05</v>
      </c>
      <c r="Q43" s="3"/>
      <c r="R43" s="7">
        <f t="shared" si="8"/>
        <v>5.1662056456241834E-2</v>
      </c>
      <c r="S43" s="3"/>
      <c r="T43" s="6">
        <v>772083.15159999905</v>
      </c>
      <c r="U43" s="3"/>
      <c r="V43" s="7">
        <f t="shared" si="9"/>
        <v>7.0144255531623387E-2</v>
      </c>
      <c r="W43" s="3"/>
      <c r="X43" s="6">
        <f t="shared" si="10"/>
        <v>-83130.101599999005</v>
      </c>
      <c r="Y43" s="3"/>
      <c r="Z43" s="7">
        <f t="shared" si="11"/>
        <v>-0.10766988170604072</v>
      </c>
    </row>
    <row r="44" spans="1:26" s="70" customFormat="1" ht="15" hidden="1" customHeight="1" outlineLevel="2" x14ac:dyDescent="0.3">
      <c r="A44" s="21"/>
      <c r="B44" s="9" t="str">
        <f>CONCATENATE("          ","6003"," - ","STAFF HOURLY-9 MONTH")</f>
        <v xml:space="preserve">          6003 - STAFF HOURLY-9 MONTH</v>
      </c>
      <c r="C44" s="9"/>
      <c r="D44" s="6"/>
      <c r="E44" s="3"/>
      <c r="F44" s="7">
        <f t="shared" si="4"/>
        <v>0</v>
      </c>
      <c r="G44" s="3"/>
      <c r="H44" s="6">
        <v>0</v>
      </c>
      <c r="I44" s="3"/>
      <c r="J44" s="7">
        <f t="shared" si="5"/>
        <v>0</v>
      </c>
      <c r="K44" s="3"/>
      <c r="L44" s="6">
        <f t="shared" si="6"/>
        <v>0</v>
      </c>
      <c r="M44" s="3"/>
      <c r="N44" s="7">
        <f t="shared" si="7"/>
        <v>0</v>
      </c>
      <c r="O44" s="9"/>
      <c r="P44" s="6"/>
      <c r="Q44" s="3"/>
      <c r="R44" s="7">
        <f t="shared" si="8"/>
        <v>0</v>
      </c>
      <c r="S44" s="3"/>
      <c r="T44" s="6">
        <v>0</v>
      </c>
      <c r="U44" s="3"/>
      <c r="V44" s="7">
        <f t="shared" si="9"/>
        <v>0</v>
      </c>
      <c r="W44" s="3"/>
      <c r="X44" s="6">
        <f t="shared" si="10"/>
        <v>0</v>
      </c>
      <c r="Y44" s="3"/>
      <c r="Z44" s="7">
        <f t="shared" si="11"/>
        <v>0</v>
      </c>
    </row>
    <row r="45" spans="1:26" s="70" customFormat="1" ht="15" hidden="1" customHeight="1" outlineLevel="2" x14ac:dyDescent="0.3">
      <c r="A45" s="21"/>
      <c r="B45" s="9" t="str">
        <f>CONCATENATE("          ","6004"," - ","STAFF HOURLY")</f>
        <v xml:space="preserve">          6004 - STAFF HOURLY</v>
      </c>
      <c r="C45" s="9"/>
      <c r="D45" s="6">
        <v>65145.16</v>
      </c>
      <c r="E45" s="3"/>
      <c r="F45" s="7">
        <f t="shared" si="4"/>
        <v>0.30912328306389131</v>
      </c>
      <c r="G45" s="3"/>
      <c r="H45" s="6">
        <v>92319.073040000003</v>
      </c>
      <c r="I45" s="3"/>
      <c r="J45" s="7">
        <f t="shared" si="5"/>
        <v>1.0915516581536133</v>
      </c>
      <c r="K45" s="3"/>
      <c r="L45" s="6">
        <f t="shared" si="6"/>
        <v>-27173.913039999999</v>
      </c>
      <c r="M45" s="3"/>
      <c r="N45" s="7">
        <f t="shared" si="7"/>
        <v>-0.29434776742424706</v>
      </c>
      <c r="O45" s="9"/>
      <c r="P45" s="6">
        <v>1035489.63</v>
      </c>
      <c r="Q45" s="3"/>
      <c r="R45" s="7">
        <f t="shared" si="8"/>
        <v>7.7647560635536725E-2</v>
      </c>
      <c r="S45" s="3"/>
      <c r="T45" s="6">
        <v>1415006.43224</v>
      </c>
      <c r="U45" s="3"/>
      <c r="V45" s="7">
        <f t="shared" si="9"/>
        <v>0.12855425294056297</v>
      </c>
      <c r="W45" s="3"/>
      <c r="X45" s="6">
        <f t="shared" si="10"/>
        <v>-379516.80223999999</v>
      </c>
      <c r="Y45" s="3"/>
      <c r="Z45" s="7">
        <f t="shared" si="11"/>
        <v>-0.26820853502355668</v>
      </c>
    </row>
    <row r="46" spans="1:26" s="70" customFormat="1" ht="15" hidden="1" customHeight="1" outlineLevel="2" x14ac:dyDescent="0.3">
      <c r="A46" s="21"/>
      <c r="B46" s="9" t="str">
        <f>CONCATENATE("          ","6005"," - ","TEMPORARY WAGES-HOURLY")</f>
        <v xml:space="preserve">          6005 - TEMPORARY WAGES-HOURLY</v>
      </c>
      <c r="C46" s="9"/>
      <c r="D46" s="6">
        <v>18334.61</v>
      </c>
      <c r="E46" s="3"/>
      <c r="F46" s="7">
        <f t="shared" si="4"/>
        <v>8.7000397833024781E-2</v>
      </c>
      <c r="G46" s="3"/>
      <c r="H46" s="6">
        <v>16133.2631</v>
      </c>
      <c r="I46" s="3"/>
      <c r="J46" s="7">
        <f t="shared" si="5"/>
        <v>0.19075462424328415</v>
      </c>
      <c r="K46" s="3"/>
      <c r="L46" s="6">
        <f t="shared" si="6"/>
        <v>2201.3469000000005</v>
      </c>
      <c r="M46" s="3"/>
      <c r="N46" s="7">
        <f t="shared" si="7"/>
        <v>0.13644771589945748</v>
      </c>
      <c r="O46" s="9"/>
      <c r="P46" s="6">
        <v>533239.32999999996</v>
      </c>
      <c r="Q46" s="3"/>
      <c r="R46" s="7">
        <f t="shared" si="8"/>
        <v>3.9985657035916403E-2</v>
      </c>
      <c r="S46" s="3"/>
      <c r="T46" s="6">
        <v>354301.56949999998</v>
      </c>
      <c r="U46" s="3"/>
      <c r="V46" s="7">
        <f t="shared" si="9"/>
        <v>3.2188527588980033E-2</v>
      </c>
      <c r="W46" s="3"/>
      <c r="X46" s="6">
        <f t="shared" si="10"/>
        <v>178937.76049999997</v>
      </c>
      <c r="Y46" s="3"/>
      <c r="Z46" s="7">
        <f t="shared" si="11"/>
        <v>0.50504365744843249</v>
      </c>
    </row>
    <row r="47" spans="1:26" s="70" customFormat="1" ht="15" hidden="1" customHeight="1" outlineLevel="2" x14ac:dyDescent="0.3">
      <c r="A47" s="21"/>
      <c r="B47" s="9" t="str">
        <f>CONCATENATE("          ","6006"," - ","TEMPORARY PART TIME")</f>
        <v xml:space="preserve">          6006 - TEMPORARY PART TIME</v>
      </c>
      <c r="C47" s="9"/>
      <c r="D47" s="6">
        <v>463.45</v>
      </c>
      <c r="E47" s="3"/>
      <c r="F47" s="7">
        <f t="shared" si="4"/>
        <v>2.1991378259867719E-3</v>
      </c>
      <c r="G47" s="3"/>
      <c r="H47" s="6">
        <v>0</v>
      </c>
      <c r="I47" s="3"/>
      <c r="J47" s="7">
        <f t="shared" si="5"/>
        <v>0</v>
      </c>
      <c r="K47" s="3"/>
      <c r="L47" s="6">
        <f t="shared" si="6"/>
        <v>463.45</v>
      </c>
      <c r="M47" s="3"/>
      <c r="N47" s="7">
        <f t="shared" si="7"/>
        <v>0</v>
      </c>
      <c r="O47" s="9"/>
      <c r="P47" s="6">
        <v>9661.67</v>
      </c>
      <c r="Q47" s="3"/>
      <c r="R47" s="7">
        <f t="shared" si="8"/>
        <v>7.2449311459115828E-4</v>
      </c>
      <c r="S47" s="3"/>
      <c r="T47" s="6">
        <v>0</v>
      </c>
      <c r="U47" s="3"/>
      <c r="V47" s="7">
        <f t="shared" si="9"/>
        <v>0</v>
      </c>
      <c r="W47" s="3"/>
      <c r="X47" s="6">
        <f t="shared" si="10"/>
        <v>9661.67</v>
      </c>
      <c r="Y47" s="3"/>
      <c r="Z47" s="7">
        <f t="shared" si="11"/>
        <v>0</v>
      </c>
    </row>
    <row r="48" spans="1:26" s="70" customFormat="1" ht="15" hidden="1" customHeight="1" outlineLevel="2" x14ac:dyDescent="0.3">
      <c r="A48" s="21"/>
      <c r="B48" s="9" t="str">
        <f>CONCATENATE("          ","6007"," - ","STUDENT HOURLY")</f>
        <v xml:space="preserve">          6007 - STUDENT HOURLY</v>
      </c>
      <c r="C48" s="9"/>
      <c r="D48" s="6">
        <v>6355.61</v>
      </c>
      <c r="E48" s="3"/>
      <c r="F48" s="7">
        <f t="shared" si="4"/>
        <v>3.0158296166187912E-2</v>
      </c>
      <c r="G48" s="3"/>
      <c r="H48" s="6">
        <v>0</v>
      </c>
      <c r="I48" s="3"/>
      <c r="J48" s="7">
        <f t="shared" si="5"/>
        <v>0</v>
      </c>
      <c r="K48" s="3"/>
      <c r="L48" s="6">
        <f t="shared" si="6"/>
        <v>6355.61</v>
      </c>
      <c r="M48" s="3"/>
      <c r="N48" s="7">
        <f t="shared" si="7"/>
        <v>0</v>
      </c>
      <c r="O48" s="9"/>
      <c r="P48" s="6">
        <v>742794.88</v>
      </c>
      <c r="Q48" s="3"/>
      <c r="R48" s="7">
        <f t="shared" si="8"/>
        <v>5.5699457351944918E-2</v>
      </c>
      <c r="S48" s="3"/>
      <c r="T48" s="6">
        <v>61713.597999999998</v>
      </c>
      <c r="U48" s="3"/>
      <c r="V48" s="7">
        <f t="shared" si="9"/>
        <v>5.6067204405602358E-3</v>
      </c>
      <c r="W48" s="3"/>
      <c r="X48" s="6">
        <f t="shared" si="10"/>
        <v>681081.28200000001</v>
      </c>
      <c r="Y48" s="3"/>
      <c r="Z48" s="7">
        <f t="shared" si="11"/>
        <v>11.036162273345333</v>
      </c>
    </row>
    <row r="49" spans="1:26" s="70" customFormat="1" ht="15" hidden="1" customHeight="1" outlineLevel="2" x14ac:dyDescent="0.3">
      <c r="A49" s="21"/>
      <c r="B49" s="9" t="str">
        <f>CONCATENATE("          ","6008"," - ","STUDENT HOURLY-FICA EXEMPT")</f>
        <v xml:space="preserve">          6008 - STUDENT HOURLY-FICA EXEMPT</v>
      </c>
      <c r="C49" s="9"/>
      <c r="D49" s="6">
        <v>1755.6</v>
      </c>
      <c r="E49" s="3"/>
      <c r="F49" s="7">
        <f t="shared" si="4"/>
        <v>8.3305779853325643E-3</v>
      </c>
      <c r="G49" s="3"/>
      <c r="H49" s="6">
        <v>2525.1999999999998</v>
      </c>
      <c r="I49" s="3"/>
      <c r="J49" s="7">
        <f t="shared" si="5"/>
        <v>2.9857169882709041E-2</v>
      </c>
      <c r="K49" s="3"/>
      <c r="L49" s="6">
        <f t="shared" si="6"/>
        <v>-769.59999999999991</v>
      </c>
      <c r="M49" s="3"/>
      <c r="N49" s="7">
        <f t="shared" si="7"/>
        <v>-0.30476793917313477</v>
      </c>
      <c r="O49" s="9"/>
      <c r="P49" s="6">
        <v>251760.18</v>
      </c>
      <c r="Q49" s="3"/>
      <c r="R49" s="7">
        <f t="shared" si="8"/>
        <v>1.887857036498148E-2</v>
      </c>
      <c r="S49" s="3"/>
      <c r="T49" s="6">
        <v>1126602.1328</v>
      </c>
      <c r="U49" s="3"/>
      <c r="V49" s="7">
        <f t="shared" si="9"/>
        <v>0.10235253511468441</v>
      </c>
      <c r="W49" s="3"/>
      <c r="X49" s="6">
        <f t="shared" si="10"/>
        <v>-874841.95280000009</v>
      </c>
      <c r="Y49" s="3"/>
      <c r="Z49" s="7">
        <f t="shared" si="11"/>
        <v>-0.77653141897194189</v>
      </c>
    </row>
    <row r="50" spans="1:26" s="70" customFormat="1" ht="15" hidden="1" customHeight="1" outlineLevel="2" x14ac:dyDescent="0.3">
      <c r="A50" s="21"/>
      <c r="B50" s="9" t="str">
        <f>CONCATENATE("          ","6009"," - ","TEMPORARY-SEASONAL")</f>
        <v xml:space="preserve">          6009 - TEMPORARY-SEASONAL</v>
      </c>
      <c r="C50" s="9"/>
      <c r="D50" s="6"/>
      <c r="E50" s="3"/>
      <c r="F50" s="7">
        <f t="shared" si="4"/>
        <v>0</v>
      </c>
      <c r="G50" s="3"/>
      <c r="H50" s="6">
        <v>0</v>
      </c>
      <c r="I50" s="3"/>
      <c r="J50" s="7">
        <f t="shared" si="5"/>
        <v>0</v>
      </c>
      <c r="K50" s="3"/>
      <c r="L50" s="6">
        <f t="shared" si="6"/>
        <v>0</v>
      </c>
      <c r="M50" s="3"/>
      <c r="N50" s="7">
        <f t="shared" si="7"/>
        <v>0</v>
      </c>
      <c r="O50" s="9"/>
      <c r="P50" s="6"/>
      <c r="Q50" s="3"/>
      <c r="R50" s="7">
        <f t="shared" si="8"/>
        <v>0</v>
      </c>
      <c r="S50" s="3"/>
      <c r="T50" s="6">
        <v>0</v>
      </c>
      <c r="U50" s="3"/>
      <c r="V50" s="7">
        <f t="shared" si="9"/>
        <v>0</v>
      </c>
      <c r="W50" s="3"/>
      <c r="X50" s="6">
        <f t="shared" si="10"/>
        <v>0</v>
      </c>
      <c r="Y50" s="3"/>
      <c r="Z50" s="7">
        <f t="shared" si="11"/>
        <v>0</v>
      </c>
    </row>
    <row r="51" spans="1:26" s="70" customFormat="1" ht="15" hidden="1" customHeight="1" outlineLevel="2" x14ac:dyDescent="0.3">
      <c r="A51" s="21"/>
      <c r="B51" s="9" t="str">
        <f>CONCATENATE("          ","6010"," - ","GRATUITY")</f>
        <v xml:space="preserve">          6010 - GRATUITY</v>
      </c>
      <c r="C51" s="9"/>
      <c r="D51" s="6"/>
      <c r="E51" s="3"/>
      <c r="F51" s="7">
        <f t="shared" si="4"/>
        <v>0</v>
      </c>
      <c r="G51" s="3"/>
      <c r="H51" s="6">
        <v>0</v>
      </c>
      <c r="I51" s="3"/>
      <c r="J51" s="7">
        <f t="shared" si="5"/>
        <v>0</v>
      </c>
      <c r="K51" s="3"/>
      <c r="L51" s="6">
        <f t="shared" si="6"/>
        <v>0</v>
      </c>
      <c r="M51" s="3"/>
      <c r="N51" s="7">
        <f t="shared" si="7"/>
        <v>0</v>
      </c>
      <c r="O51" s="9"/>
      <c r="P51" s="6"/>
      <c r="Q51" s="3"/>
      <c r="R51" s="7">
        <f t="shared" si="8"/>
        <v>0</v>
      </c>
      <c r="S51" s="3"/>
      <c r="T51" s="6">
        <v>0</v>
      </c>
      <c r="U51" s="3"/>
      <c r="V51" s="7">
        <f t="shared" si="9"/>
        <v>0</v>
      </c>
      <c r="W51" s="3"/>
      <c r="X51" s="6">
        <f t="shared" si="10"/>
        <v>0</v>
      </c>
      <c r="Y51" s="3"/>
      <c r="Z51" s="7">
        <f t="shared" si="11"/>
        <v>0</v>
      </c>
    </row>
    <row r="52" spans="1:26" s="69" customFormat="1" ht="15" customHeight="1" outlineLevel="1" collapsed="1" x14ac:dyDescent="0.3">
      <c r="A52" s="20"/>
      <c r="B52" s="11" t="str">
        <f>CONCATENATE("     ","Advertising/Promo                                 ")</f>
        <v xml:space="preserve">     Advertising/Promo                                 </v>
      </c>
      <c r="C52" s="11"/>
      <c r="D52" s="2">
        <f>SUM(OSRRefD22_2x_0)</f>
        <v>1661.05</v>
      </c>
      <c r="E52" s="2"/>
      <c r="F52" s="5">
        <f t="shared" si="4"/>
        <v>7.8819244489272359E-3</v>
      </c>
      <c r="G52" s="2"/>
      <c r="H52" s="2">
        <f>SUM(OSRRefH22_2x_0)</f>
        <v>969</v>
      </c>
      <c r="I52" s="2"/>
      <c r="J52" s="5">
        <f t="shared" si="5"/>
        <v>1.1457150964812713E-2</v>
      </c>
      <c r="K52" s="2"/>
      <c r="L52" s="2">
        <f t="shared" si="6"/>
        <v>692.05</v>
      </c>
      <c r="M52" s="2"/>
      <c r="N52" s="5">
        <f t="shared" si="7"/>
        <v>0.71418988648090809</v>
      </c>
      <c r="O52" s="11"/>
      <c r="P52" s="2">
        <f>SUM(OSRRefP22_2x_0)</f>
        <v>9044.0499999999993</v>
      </c>
      <c r="Q52" s="2"/>
      <c r="R52" s="5">
        <f t="shared" si="8"/>
        <v>6.7818006131633191E-4</v>
      </c>
      <c r="S52" s="2"/>
      <c r="T52" s="2">
        <f>SUM(OSRRefT22_2x_0)</f>
        <v>15478</v>
      </c>
      <c r="U52" s="2"/>
      <c r="V52" s="5">
        <f t="shared" si="9"/>
        <v>1.4061863477639292E-3</v>
      </c>
      <c r="W52" s="2"/>
      <c r="X52" s="2">
        <f t="shared" si="10"/>
        <v>-6433.9500000000007</v>
      </c>
      <c r="Y52" s="2"/>
      <c r="Z52" s="5">
        <f t="shared" si="11"/>
        <v>-0.4156835508463626</v>
      </c>
    </row>
    <row r="53" spans="1:26" s="70" customFormat="1" ht="15" hidden="1" customHeight="1" outlineLevel="2" x14ac:dyDescent="0.3">
      <c r="A53" s="21"/>
      <c r="B53" s="9" t="str">
        <f>CONCATENATE("          ","6362"," - ","ADVERTISING EXPENSE")</f>
        <v xml:space="preserve">          6362 - ADVERTISING EXPENSE</v>
      </c>
      <c r="C53" s="9"/>
      <c r="D53" s="6">
        <v>1661.05</v>
      </c>
      <c r="E53" s="3"/>
      <c r="F53" s="7">
        <f t="shared" si="4"/>
        <v>7.8819244489272359E-3</v>
      </c>
      <c r="G53" s="3"/>
      <c r="H53" s="6">
        <v>969</v>
      </c>
      <c r="I53" s="3"/>
      <c r="J53" s="7">
        <f t="shared" si="5"/>
        <v>1.1457150964812713E-2</v>
      </c>
      <c r="K53" s="3"/>
      <c r="L53" s="6">
        <f t="shared" si="6"/>
        <v>692.05</v>
      </c>
      <c r="M53" s="3"/>
      <c r="N53" s="7">
        <f t="shared" si="7"/>
        <v>0.71418988648090809</v>
      </c>
      <c r="O53" s="9"/>
      <c r="P53" s="6">
        <v>9044.0499999999993</v>
      </c>
      <c r="Q53" s="3"/>
      <c r="R53" s="7">
        <f t="shared" si="8"/>
        <v>6.7818006131633191E-4</v>
      </c>
      <c r="S53" s="3"/>
      <c r="T53" s="6">
        <v>15478</v>
      </c>
      <c r="U53" s="3"/>
      <c r="V53" s="7">
        <f t="shared" si="9"/>
        <v>1.4061863477639292E-3</v>
      </c>
      <c r="W53" s="3"/>
      <c r="X53" s="6">
        <f t="shared" si="10"/>
        <v>-6433.9500000000007</v>
      </c>
      <c r="Y53" s="3"/>
      <c r="Z53" s="7">
        <f t="shared" si="11"/>
        <v>-0.4156835508463626</v>
      </c>
    </row>
    <row r="54" spans="1:26" s="69" customFormat="1" ht="15" customHeight="1" outlineLevel="1" collapsed="1" x14ac:dyDescent="0.3">
      <c r="A54" s="20"/>
      <c r="B54" s="11" t="str">
        <f>CONCATENATE("     ","Bad Debts/Over/Short                              ")</f>
        <v xml:space="preserve">     Bad Debts/Over/Short                              </v>
      </c>
      <c r="C54" s="11"/>
      <c r="D54" s="2">
        <f>SUM(OSRRefD22_3x_0)</f>
        <v>-9.34</v>
      </c>
      <c r="E54" s="2"/>
      <c r="F54" s="5">
        <f t="shared" si="4"/>
        <v>-4.4319661872297875E-5</v>
      </c>
      <c r="G54" s="2"/>
      <c r="H54" s="2">
        <f>SUM(OSRRefH22_3x_0)</f>
        <v>25</v>
      </c>
      <c r="I54" s="2"/>
      <c r="J54" s="5">
        <f t="shared" si="5"/>
        <v>2.9559213015512676E-4</v>
      </c>
      <c r="K54" s="2"/>
      <c r="L54" s="2">
        <f t="shared" si="6"/>
        <v>-34.340000000000003</v>
      </c>
      <c r="M54" s="2"/>
      <c r="N54" s="5">
        <f t="shared" si="7"/>
        <v>-1.3736000000000002</v>
      </c>
      <c r="O54" s="11"/>
      <c r="P54" s="2">
        <f>SUM(OSRRefP22_3x_0)</f>
        <v>-35.549999999999997</v>
      </c>
      <c r="Q54" s="2"/>
      <c r="R54" s="5">
        <f t="shared" si="8"/>
        <v>-2.6657638093327216E-6</v>
      </c>
      <c r="S54" s="2"/>
      <c r="T54" s="2">
        <f>SUM(OSRRefT22_3x_0)</f>
        <v>440</v>
      </c>
      <c r="U54" s="2"/>
      <c r="V54" s="5">
        <f t="shared" si="9"/>
        <v>3.9974285632260554E-5</v>
      </c>
      <c r="W54" s="2"/>
      <c r="X54" s="2">
        <f t="shared" si="10"/>
        <v>-475.55</v>
      </c>
      <c r="Y54" s="2"/>
      <c r="Z54" s="5">
        <f t="shared" si="11"/>
        <v>-1.0807954545454546</v>
      </c>
    </row>
    <row r="55" spans="1:26" s="70" customFormat="1" ht="15" hidden="1" customHeight="1" outlineLevel="2" x14ac:dyDescent="0.3">
      <c r="A55" s="21"/>
      <c r="B55" s="9" t="str">
        <f>CONCATENATE("          ","6272"," - ","CASH (OVER/SHORT)")</f>
        <v xml:space="preserve">          6272 - CASH (OVER/SHORT)</v>
      </c>
      <c r="C55" s="9"/>
      <c r="D55" s="6">
        <v>-9.34</v>
      </c>
      <c r="E55" s="3"/>
      <c r="F55" s="7">
        <f t="shared" si="4"/>
        <v>-4.4319661872297875E-5</v>
      </c>
      <c r="G55" s="3"/>
      <c r="H55" s="6">
        <v>25</v>
      </c>
      <c r="I55" s="3"/>
      <c r="J55" s="7">
        <f t="shared" si="5"/>
        <v>2.9559213015512676E-4</v>
      </c>
      <c r="K55" s="3"/>
      <c r="L55" s="6">
        <f t="shared" si="6"/>
        <v>-34.340000000000003</v>
      </c>
      <c r="M55" s="3"/>
      <c r="N55" s="7">
        <f t="shared" si="7"/>
        <v>-1.3736000000000002</v>
      </c>
      <c r="O55" s="9"/>
      <c r="P55" s="6">
        <v>-35.549999999999997</v>
      </c>
      <c r="Q55" s="3"/>
      <c r="R55" s="7">
        <f t="shared" si="8"/>
        <v>-2.6657638093327216E-6</v>
      </c>
      <c r="S55" s="3"/>
      <c r="T55" s="6">
        <v>440</v>
      </c>
      <c r="U55" s="3"/>
      <c r="V55" s="7">
        <f t="shared" si="9"/>
        <v>3.9974285632260554E-5</v>
      </c>
      <c r="W55" s="3"/>
      <c r="X55" s="6">
        <f t="shared" si="10"/>
        <v>-475.55</v>
      </c>
      <c r="Y55" s="3"/>
      <c r="Z55" s="7">
        <f t="shared" si="11"/>
        <v>-1.0807954545454546</v>
      </c>
    </row>
    <row r="56" spans="1:26" s="69" customFormat="1" ht="15" customHeight="1" outlineLevel="1" collapsed="1" x14ac:dyDescent="0.3">
      <c r="A56" s="20"/>
      <c r="B56" s="11" t="str">
        <f>CONCATENATE("     ","Bank/card Fees                                    ")</f>
        <v xml:space="preserve">     Bank/card Fees                                    </v>
      </c>
      <c r="C56" s="11"/>
      <c r="D56" s="2">
        <f>SUM(OSRRefD22_4x_0)</f>
        <v>1690.14</v>
      </c>
      <c r="E56" s="2"/>
      <c r="F56" s="5">
        <f t="shared" si="4"/>
        <v>8.0199607405616203E-3</v>
      </c>
      <c r="G56" s="2"/>
      <c r="H56" s="2">
        <f>SUM(OSRRefH22_4x_0)</f>
        <v>4849</v>
      </c>
      <c r="I56" s="2"/>
      <c r="J56" s="5">
        <f t="shared" si="5"/>
        <v>5.7333049564888383E-2</v>
      </c>
      <c r="K56" s="2"/>
      <c r="L56" s="2">
        <f t="shared" si="6"/>
        <v>-3158.8599999999997</v>
      </c>
      <c r="M56" s="2"/>
      <c r="N56" s="5">
        <f t="shared" si="7"/>
        <v>-0.65144565889874195</v>
      </c>
      <c r="O56" s="11"/>
      <c r="P56" s="2">
        <f>SUM(OSRRefP22_4x_0)</f>
        <v>56425.8</v>
      </c>
      <c r="Q56" s="2"/>
      <c r="R56" s="5">
        <f t="shared" si="8"/>
        <v>4.2311633066848464E-3</v>
      </c>
      <c r="S56" s="2"/>
      <c r="T56" s="2">
        <f>SUM(OSRRefT22_4x_0)</f>
        <v>106323</v>
      </c>
      <c r="U56" s="2"/>
      <c r="V56" s="5">
        <f t="shared" si="9"/>
        <v>9.6595135710882702E-3</v>
      </c>
      <c r="W56" s="2"/>
      <c r="X56" s="2">
        <f t="shared" si="10"/>
        <v>-49897.2</v>
      </c>
      <c r="Y56" s="2"/>
      <c r="Z56" s="5">
        <f t="shared" si="11"/>
        <v>-0.46929827036483168</v>
      </c>
    </row>
    <row r="57" spans="1:26" s="70" customFormat="1" ht="15" hidden="1" customHeight="1" outlineLevel="2" x14ac:dyDescent="0.3">
      <c r="A57" s="21"/>
      <c r="B57" s="9" t="str">
        <f>CONCATENATE("          ","6381"," - ","BANK/CREDIT CARD FEES")</f>
        <v xml:space="preserve">          6381 - BANK/CREDIT CARD FEES</v>
      </c>
      <c r="C57" s="9"/>
      <c r="D57" s="6">
        <v>1690.14</v>
      </c>
      <c r="E57" s="3"/>
      <c r="F57" s="7">
        <f t="shared" si="4"/>
        <v>8.0199607405616203E-3</v>
      </c>
      <c r="G57" s="3"/>
      <c r="H57" s="6">
        <v>4849</v>
      </c>
      <c r="I57" s="3"/>
      <c r="J57" s="7">
        <f t="shared" si="5"/>
        <v>5.7333049564888383E-2</v>
      </c>
      <c r="K57" s="3"/>
      <c r="L57" s="6">
        <f t="shared" si="6"/>
        <v>-3158.8599999999997</v>
      </c>
      <c r="M57" s="3"/>
      <c r="N57" s="7">
        <f t="shared" si="7"/>
        <v>-0.65144565889874195</v>
      </c>
      <c r="O57" s="9"/>
      <c r="P57" s="6">
        <v>56425.8</v>
      </c>
      <c r="Q57" s="3"/>
      <c r="R57" s="7">
        <f t="shared" si="8"/>
        <v>4.2311633066848464E-3</v>
      </c>
      <c r="S57" s="3"/>
      <c r="T57" s="6">
        <v>106323</v>
      </c>
      <c r="U57" s="3"/>
      <c r="V57" s="7">
        <f t="shared" si="9"/>
        <v>9.6595135710882702E-3</v>
      </c>
      <c r="W57" s="3"/>
      <c r="X57" s="6">
        <f t="shared" si="10"/>
        <v>-49897.2</v>
      </c>
      <c r="Y57" s="3"/>
      <c r="Z57" s="7">
        <f t="shared" si="11"/>
        <v>-0.46929827036483168</v>
      </c>
    </row>
    <row r="58" spans="1:26" s="69" customFormat="1" ht="15" customHeight="1" outlineLevel="1" collapsed="1" x14ac:dyDescent="0.3">
      <c r="A58" s="20"/>
      <c r="B58" s="11" t="str">
        <f>CONCATENATE("     ","Depreciation                                      ")</f>
        <v xml:space="preserve">     Depreciation                                      </v>
      </c>
      <c r="C58" s="11"/>
      <c r="D58" s="2">
        <f>SUM(OSRRefD22_5x_0)</f>
        <v>37482.82</v>
      </c>
      <c r="E58" s="2"/>
      <c r="F58" s="5">
        <f t="shared" si="4"/>
        <v>0.17786144629766643</v>
      </c>
      <c r="G58" s="2"/>
      <c r="H58" s="2">
        <f>SUM(OSRRefH22_5x_0)</f>
        <v>32694</v>
      </c>
      <c r="I58" s="2"/>
      <c r="J58" s="5">
        <f t="shared" si="5"/>
        <v>0.38656356413166854</v>
      </c>
      <c r="K58" s="2"/>
      <c r="L58" s="2">
        <f t="shared" si="6"/>
        <v>4788.82</v>
      </c>
      <c r="M58" s="2"/>
      <c r="N58" s="5">
        <f t="shared" si="7"/>
        <v>0.14647397075916069</v>
      </c>
      <c r="O58" s="11"/>
      <c r="P58" s="2">
        <f>SUM(OSRRefP22_5x_0)</f>
        <v>413195.5</v>
      </c>
      <c r="Q58" s="2"/>
      <c r="R58" s="5">
        <f t="shared" si="8"/>
        <v>3.0984011535278161E-2</v>
      </c>
      <c r="S58" s="2"/>
      <c r="T58" s="2">
        <f>SUM(OSRRefT22_5x_0)</f>
        <v>397016</v>
      </c>
      <c r="U58" s="2"/>
      <c r="V58" s="5">
        <f t="shared" si="9"/>
        <v>3.6069161328585356E-2</v>
      </c>
      <c r="W58" s="2"/>
      <c r="X58" s="2">
        <f t="shared" si="10"/>
        <v>16179.5</v>
      </c>
      <c r="Y58" s="2"/>
      <c r="Z58" s="5">
        <f t="shared" si="11"/>
        <v>4.0752765631611822E-2</v>
      </c>
    </row>
    <row r="59" spans="1:26" s="70" customFormat="1" ht="15" hidden="1" customHeight="1" outlineLevel="2" x14ac:dyDescent="0.3">
      <c r="A59" s="21"/>
      <c r="B59" s="9" t="str">
        <f>CONCATENATE("          ","6321"," - ","BUILDING DEPRECIATION")</f>
        <v xml:space="preserve">          6321 - BUILDING DEPRECIATION</v>
      </c>
      <c r="C59" s="9"/>
      <c r="D59" s="6">
        <v>23539.43</v>
      </c>
      <c r="E59" s="3"/>
      <c r="F59" s="7">
        <f t="shared" si="4"/>
        <v>0.1116980276516729</v>
      </c>
      <c r="G59" s="3"/>
      <c r="H59" s="6"/>
      <c r="I59" s="3"/>
      <c r="J59" s="7">
        <f t="shared" si="5"/>
        <v>0</v>
      </c>
      <c r="K59" s="3"/>
      <c r="L59" s="6">
        <f t="shared" si="6"/>
        <v>23539.43</v>
      </c>
      <c r="M59" s="3"/>
      <c r="N59" s="7">
        <f t="shared" si="7"/>
        <v>0</v>
      </c>
      <c r="O59" s="9"/>
      <c r="P59" s="6">
        <v>282560.96999999997</v>
      </c>
      <c r="Q59" s="3"/>
      <c r="R59" s="7">
        <f t="shared" si="8"/>
        <v>2.1188208375694764E-2</v>
      </c>
      <c r="S59" s="3"/>
      <c r="T59" s="6"/>
      <c r="U59" s="3"/>
      <c r="V59" s="7">
        <f t="shared" si="9"/>
        <v>0</v>
      </c>
      <c r="W59" s="3"/>
      <c r="X59" s="6">
        <f t="shared" si="10"/>
        <v>282560.96999999997</v>
      </c>
      <c r="Y59" s="3"/>
      <c r="Z59" s="7">
        <f t="shared" si="11"/>
        <v>0</v>
      </c>
    </row>
    <row r="60" spans="1:26" s="70" customFormat="1" ht="15" hidden="1" customHeight="1" outlineLevel="2" x14ac:dyDescent="0.3">
      <c r="A60" s="21"/>
      <c r="B60" s="9" t="str">
        <f>CONCATENATE("          ","6322"," - ","EQUIPMENT DEPRECIATION EXPENSE")</f>
        <v xml:space="preserve">          6322 - EQUIPMENT DEPRECIATION EXPENSE</v>
      </c>
      <c r="C60" s="9"/>
      <c r="D60" s="6">
        <v>13943.39</v>
      </c>
      <c r="E60" s="3"/>
      <c r="F60" s="7">
        <f t="shared" si="4"/>
        <v>6.6163418645993524E-2</v>
      </c>
      <c r="G60" s="3"/>
      <c r="H60" s="6">
        <v>32694</v>
      </c>
      <c r="I60" s="3"/>
      <c r="J60" s="7">
        <f t="shared" si="5"/>
        <v>0.38656356413166854</v>
      </c>
      <c r="K60" s="3"/>
      <c r="L60" s="6">
        <f t="shared" si="6"/>
        <v>-18750.61</v>
      </c>
      <c r="M60" s="3"/>
      <c r="N60" s="7">
        <f t="shared" si="7"/>
        <v>-0.57351838257784304</v>
      </c>
      <c r="O60" s="9"/>
      <c r="P60" s="6">
        <v>130634.53</v>
      </c>
      <c r="Q60" s="3"/>
      <c r="R60" s="7">
        <f t="shared" si="8"/>
        <v>9.7958031595833956E-3</v>
      </c>
      <c r="S60" s="3"/>
      <c r="T60" s="6">
        <v>397016</v>
      </c>
      <c r="U60" s="3"/>
      <c r="V60" s="7">
        <f t="shared" si="9"/>
        <v>3.6069161328585356E-2</v>
      </c>
      <c r="W60" s="3"/>
      <c r="X60" s="6">
        <f t="shared" si="10"/>
        <v>-266381.46999999997</v>
      </c>
      <c r="Y60" s="3"/>
      <c r="Z60" s="7">
        <f t="shared" si="11"/>
        <v>-0.67095902935901819</v>
      </c>
    </row>
    <row r="61" spans="1:26" s="69" customFormat="1" ht="15" customHeight="1" outlineLevel="1" collapsed="1" x14ac:dyDescent="0.3">
      <c r="A61" s="20"/>
      <c r="B61" s="11" t="str">
        <f>CONCATENATE("     ","Donations                                         ")</f>
        <v xml:space="preserve">     Donations                                         </v>
      </c>
      <c r="C61" s="11"/>
      <c r="D61" s="2">
        <f>SUM(OSRRefD22_6x_0)</f>
        <v>337.65</v>
      </c>
      <c r="E61" s="2"/>
      <c r="F61" s="5">
        <f t="shared" ref="F61:F92" si="12">IF(D$12=0,0,D61/D$12)</f>
        <v>1.6021984829958649E-3</v>
      </c>
      <c r="G61" s="2"/>
      <c r="H61" s="2">
        <f>SUM(OSRRefH22_6x_0)</f>
        <v>0</v>
      </c>
      <c r="I61" s="2"/>
      <c r="J61" s="5">
        <f t="shared" ref="J61:J92" si="13">IF(H$12=0,0,H61/H$12)</f>
        <v>0</v>
      </c>
      <c r="K61" s="2"/>
      <c r="L61" s="2">
        <f t="shared" ref="L61:L92" si="14">+D61-H61</f>
        <v>337.65</v>
      </c>
      <c r="M61" s="2"/>
      <c r="N61" s="5">
        <f t="shared" ref="N61:N92" si="15">IF(H61=0,0,L61/H61)</f>
        <v>0</v>
      </c>
      <c r="O61" s="11"/>
      <c r="P61" s="2">
        <f>SUM(OSRRefP22_6x_0)</f>
        <v>70891.38</v>
      </c>
      <c r="Q61" s="2"/>
      <c r="R61" s="5">
        <f t="shared" ref="R61:R92" si="16">IF(P$12=0,0,P61/P$12)</f>
        <v>5.3158839718045999E-3</v>
      </c>
      <c r="S61" s="2"/>
      <c r="T61" s="2">
        <f>SUM(OSRRefT22_6x_0)</f>
        <v>155000</v>
      </c>
      <c r="U61" s="2"/>
      <c r="V61" s="5">
        <f t="shared" ref="V61:V92" si="17">IF(T$12=0,0,T61/T$12)</f>
        <v>1.4081850620455423E-2</v>
      </c>
      <c r="W61" s="2"/>
      <c r="X61" s="2">
        <f t="shared" ref="X61:X92" si="18">+P61-T61</f>
        <v>-84108.62</v>
      </c>
      <c r="Y61" s="2"/>
      <c r="Z61" s="5">
        <f t="shared" ref="Z61:Z92" si="19">IF(T61=0,0,X61/T61)</f>
        <v>-0.5426362580645161</v>
      </c>
    </row>
    <row r="62" spans="1:26" s="70" customFormat="1" ht="15" hidden="1" customHeight="1" outlineLevel="2" x14ac:dyDescent="0.3">
      <c r="A62" s="21"/>
      <c r="B62" s="9" t="str">
        <f>CONCATENATE("          ","6399"," - ","DONATION-ON CAMPUS")</f>
        <v xml:space="preserve">          6399 - DONATION-ON CAMPUS</v>
      </c>
      <c r="C62" s="9"/>
      <c r="D62" s="6">
        <v>337.65</v>
      </c>
      <c r="E62" s="3"/>
      <c r="F62" s="7">
        <f t="shared" si="12"/>
        <v>1.6021984829958649E-3</v>
      </c>
      <c r="G62" s="3"/>
      <c r="H62" s="6"/>
      <c r="I62" s="3"/>
      <c r="J62" s="7">
        <f t="shared" si="13"/>
        <v>0</v>
      </c>
      <c r="K62" s="3"/>
      <c r="L62" s="6">
        <f t="shared" si="14"/>
        <v>337.65</v>
      </c>
      <c r="M62" s="3"/>
      <c r="N62" s="7">
        <f t="shared" si="15"/>
        <v>0</v>
      </c>
      <c r="O62" s="9"/>
      <c r="P62" s="6">
        <v>70891.38</v>
      </c>
      <c r="Q62" s="3"/>
      <c r="R62" s="7">
        <f t="shared" si="16"/>
        <v>5.3158839718045999E-3</v>
      </c>
      <c r="S62" s="3"/>
      <c r="T62" s="6">
        <v>155000</v>
      </c>
      <c r="U62" s="3"/>
      <c r="V62" s="7">
        <f t="shared" si="17"/>
        <v>1.4081850620455423E-2</v>
      </c>
      <c r="W62" s="3"/>
      <c r="X62" s="6">
        <f t="shared" si="18"/>
        <v>-84108.62</v>
      </c>
      <c r="Y62" s="3"/>
      <c r="Z62" s="7">
        <f t="shared" si="19"/>
        <v>-0.5426362580645161</v>
      </c>
    </row>
    <row r="63" spans="1:26" s="69" customFormat="1" ht="15" customHeight="1" outlineLevel="1" collapsed="1" x14ac:dyDescent="0.3">
      <c r="A63" s="20"/>
      <c r="B63" s="11" t="str">
        <f>CONCATENATE("     ","Employees' Appreciation                           ")</f>
        <v xml:space="preserve">     Employees' Appreciation                           </v>
      </c>
      <c r="C63" s="11"/>
      <c r="D63" s="2">
        <f>SUM(OSRRefD22_7x_0)</f>
        <v>0</v>
      </c>
      <c r="E63" s="2"/>
      <c r="F63" s="5">
        <f t="shared" si="12"/>
        <v>0</v>
      </c>
      <c r="G63" s="2"/>
      <c r="H63" s="2">
        <f>SUM(OSRRefH22_7x_0)</f>
        <v>200</v>
      </c>
      <c r="I63" s="2"/>
      <c r="J63" s="5">
        <f t="shared" si="13"/>
        <v>2.3647370412410141E-3</v>
      </c>
      <c r="K63" s="2"/>
      <c r="L63" s="2">
        <f t="shared" si="14"/>
        <v>-200</v>
      </c>
      <c r="M63" s="2"/>
      <c r="N63" s="5">
        <f t="shared" si="15"/>
        <v>-1</v>
      </c>
      <c r="O63" s="11"/>
      <c r="P63" s="2">
        <f>SUM(OSRRefP22_7x_0)</f>
        <v>702.03</v>
      </c>
      <c r="Q63" s="2"/>
      <c r="R63" s="5">
        <f t="shared" si="16"/>
        <v>5.2642648862611829E-5</v>
      </c>
      <c r="S63" s="2"/>
      <c r="T63" s="2">
        <f>SUM(OSRRefT22_7x_0)</f>
        <v>3480</v>
      </c>
      <c r="U63" s="2"/>
      <c r="V63" s="5">
        <f t="shared" si="17"/>
        <v>3.1616025909151529E-4</v>
      </c>
      <c r="W63" s="2"/>
      <c r="X63" s="2">
        <f t="shared" si="18"/>
        <v>-2777.9700000000003</v>
      </c>
      <c r="Y63" s="2"/>
      <c r="Z63" s="5">
        <f t="shared" si="19"/>
        <v>-0.79826724137931038</v>
      </c>
    </row>
    <row r="64" spans="1:26" s="70" customFormat="1" ht="15" hidden="1" customHeight="1" outlineLevel="2" x14ac:dyDescent="0.3">
      <c r="A64" s="21"/>
      <c r="B64" s="9" t="str">
        <f>CONCATENATE("          ","6277"," - ","EMPLOYEE APPRECIATION")</f>
        <v xml:space="preserve">          6277 - EMPLOYEE APPRECIATION</v>
      </c>
      <c r="C64" s="9"/>
      <c r="D64" s="6"/>
      <c r="E64" s="3"/>
      <c r="F64" s="7">
        <f t="shared" si="12"/>
        <v>0</v>
      </c>
      <c r="G64" s="3"/>
      <c r="H64" s="6">
        <v>200</v>
      </c>
      <c r="I64" s="3"/>
      <c r="J64" s="7">
        <f t="shared" si="13"/>
        <v>2.3647370412410141E-3</v>
      </c>
      <c r="K64" s="3"/>
      <c r="L64" s="6">
        <f t="shared" si="14"/>
        <v>-200</v>
      </c>
      <c r="M64" s="3"/>
      <c r="N64" s="7">
        <f t="shared" si="15"/>
        <v>-1</v>
      </c>
      <c r="O64" s="9"/>
      <c r="P64" s="6">
        <v>702.03</v>
      </c>
      <c r="Q64" s="3"/>
      <c r="R64" s="7">
        <f t="shared" si="16"/>
        <v>5.2642648862611829E-5</v>
      </c>
      <c r="S64" s="3"/>
      <c r="T64" s="6">
        <v>3480</v>
      </c>
      <c r="U64" s="3"/>
      <c r="V64" s="7">
        <f t="shared" si="17"/>
        <v>3.1616025909151529E-4</v>
      </c>
      <c r="W64" s="3"/>
      <c r="X64" s="6">
        <f t="shared" si="18"/>
        <v>-2777.9700000000003</v>
      </c>
      <c r="Y64" s="3"/>
      <c r="Z64" s="7">
        <f t="shared" si="19"/>
        <v>-0.79826724137931038</v>
      </c>
    </row>
    <row r="65" spans="1:26" s="69" customFormat="1" ht="15" customHeight="1" outlineLevel="1" collapsed="1" x14ac:dyDescent="0.3">
      <c r="A65" s="20"/>
      <c r="B65" s="11" t="str">
        <f>CONCATENATE("     ","Equipment Rental                                  ")</f>
        <v xml:space="preserve">     Equipment Rental                                  </v>
      </c>
      <c r="C65" s="11"/>
      <c r="D65" s="2">
        <f>SUM(OSRRefD22_8x_0)</f>
        <v>1224.04</v>
      </c>
      <c r="E65" s="2"/>
      <c r="F65" s="5">
        <f t="shared" si="12"/>
        <v>5.808248278176391E-3</v>
      </c>
      <c r="G65" s="2"/>
      <c r="H65" s="2">
        <f>SUM(OSRRefH22_8x_0)</f>
        <v>1570</v>
      </c>
      <c r="I65" s="2"/>
      <c r="J65" s="5">
        <f t="shared" si="13"/>
        <v>1.8563185773741959E-2</v>
      </c>
      <c r="K65" s="2"/>
      <c r="L65" s="2">
        <f t="shared" si="14"/>
        <v>-345.96000000000004</v>
      </c>
      <c r="M65" s="2"/>
      <c r="N65" s="5">
        <f t="shared" si="15"/>
        <v>-0.22035668789808918</v>
      </c>
      <c r="O65" s="11"/>
      <c r="P65" s="2">
        <f>SUM(OSRRefP22_8x_0)</f>
        <v>23417.35</v>
      </c>
      <c r="Q65" s="2"/>
      <c r="R65" s="5">
        <f t="shared" si="16"/>
        <v>1.7559809884803827E-3</v>
      </c>
      <c r="S65" s="2"/>
      <c r="T65" s="2">
        <f>SUM(OSRRefT22_8x_0)</f>
        <v>18840</v>
      </c>
      <c r="U65" s="2"/>
      <c r="V65" s="5">
        <f t="shared" si="17"/>
        <v>1.7116262302540658E-3</v>
      </c>
      <c r="W65" s="2"/>
      <c r="X65" s="2">
        <f t="shared" si="18"/>
        <v>4577.3499999999985</v>
      </c>
      <c r="Y65" s="2"/>
      <c r="Z65" s="5">
        <f t="shared" si="19"/>
        <v>0.2429591295116772</v>
      </c>
    </row>
    <row r="66" spans="1:26" s="70" customFormat="1" ht="15" hidden="1" customHeight="1" outlineLevel="2" x14ac:dyDescent="0.3">
      <c r="A66" s="21"/>
      <c r="B66" s="9" t="str">
        <f>CONCATENATE("          ","6351"," - ","EQUIPMENT RENTAL")</f>
        <v xml:space="preserve">          6351 - EQUIPMENT RENTAL</v>
      </c>
      <c r="C66" s="9"/>
      <c r="D66" s="6">
        <v>1224.04</v>
      </c>
      <c r="E66" s="3"/>
      <c r="F66" s="7">
        <f t="shared" si="12"/>
        <v>5.808248278176391E-3</v>
      </c>
      <c r="G66" s="3"/>
      <c r="H66" s="6">
        <v>1570</v>
      </c>
      <c r="I66" s="3"/>
      <c r="J66" s="7">
        <f t="shared" si="13"/>
        <v>1.8563185773741959E-2</v>
      </c>
      <c r="K66" s="3"/>
      <c r="L66" s="6">
        <f t="shared" si="14"/>
        <v>-345.96000000000004</v>
      </c>
      <c r="M66" s="3"/>
      <c r="N66" s="7">
        <f t="shared" si="15"/>
        <v>-0.22035668789808918</v>
      </c>
      <c r="O66" s="9"/>
      <c r="P66" s="6">
        <v>23417.35</v>
      </c>
      <c r="Q66" s="3"/>
      <c r="R66" s="7">
        <f t="shared" si="16"/>
        <v>1.7559809884803827E-3</v>
      </c>
      <c r="S66" s="3"/>
      <c r="T66" s="6">
        <v>18840</v>
      </c>
      <c r="U66" s="3"/>
      <c r="V66" s="7">
        <f t="shared" si="17"/>
        <v>1.7116262302540658E-3</v>
      </c>
      <c r="W66" s="3"/>
      <c r="X66" s="6">
        <f t="shared" si="18"/>
        <v>4577.3499999999985</v>
      </c>
      <c r="Y66" s="3"/>
      <c r="Z66" s="7">
        <f t="shared" si="19"/>
        <v>0.2429591295116772</v>
      </c>
    </row>
    <row r="67" spans="1:26" s="69" customFormat="1" ht="15" customHeight="1" outlineLevel="1" collapsed="1" x14ac:dyDescent="0.3">
      <c r="A67" s="20"/>
      <c r="B67" s="11" t="str">
        <f>CONCATENATE("     ","General                                           ")</f>
        <v xml:space="preserve">     General                                           </v>
      </c>
      <c r="C67" s="11"/>
      <c r="D67" s="2">
        <f>SUM(OSRRefD22_9x_0)</f>
        <v>5771.12</v>
      </c>
      <c r="E67" s="2"/>
      <c r="F67" s="5">
        <f t="shared" si="12"/>
        <v>2.7384805891269348E-2</v>
      </c>
      <c r="G67" s="2"/>
      <c r="H67" s="2">
        <f>SUM(OSRRefH22_9x_0)</f>
        <v>540</v>
      </c>
      <c r="I67" s="2"/>
      <c r="J67" s="5">
        <f t="shared" si="13"/>
        <v>6.3847900113507376E-3</v>
      </c>
      <c r="K67" s="2"/>
      <c r="L67" s="2">
        <f t="shared" si="14"/>
        <v>5231.12</v>
      </c>
      <c r="M67" s="2"/>
      <c r="N67" s="5">
        <f t="shared" si="15"/>
        <v>9.6872592592592586</v>
      </c>
      <c r="O67" s="11"/>
      <c r="P67" s="2">
        <f>SUM(OSRRefP22_9x_0)</f>
        <v>72272.11</v>
      </c>
      <c r="Q67" s="2"/>
      <c r="R67" s="5">
        <f t="shared" si="16"/>
        <v>5.4194198385967224E-3</v>
      </c>
      <c r="S67" s="2"/>
      <c r="T67" s="2">
        <f>SUM(OSRRefT22_9x_0)</f>
        <v>17640</v>
      </c>
      <c r="U67" s="2"/>
      <c r="V67" s="5">
        <f t="shared" si="17"/>
        <v>1.6026054512569914E-3</v>
      </c>
      <c r="W67" s="2"/>
      <c r="X67" s="2">
        <f t="shared" si="18"/>
        <v>54632.11</v>
      </c>
      <c r="Y67" s="2"/>
      <c r="Z67" s="5">
        <f t="shared" si="19"/>
        <v>3.0970583900226756</v>
      </c>
    </row>
    <row r="68" spans="1:26" s="70" customFormat="1" ht="15" hidden="1" customHeight="1" outlineLevel="2" x14ac:dyDescent="0.3">
      <c r="A68" s="21"/>
      <c r="B68" s="9" t="str">
        <f>CONCATENATE("          ","6269"," - ","ENTERTAINMENT")</f>
        <v xml:space="preserve">          6269 - ENTERTAINMENT</v>
      </c>
      <c r="C68" s="9"/>
      <c r="D68" s="6"/>
      <c r="E68" s="3"/>
      <c r="F68" s="7">
        <f t="shared" si="12"/>
        <v>0</v>
      </c>
      <c r="G68" s="3"/>
      <c r="H68" s="6"/>
      <c r="I68" s="3"/>
      <c r="J68" s="7">
        <f t="shared" si="13"/>
        <v>0</v>
      </c>
      <c r="K68" s="3"/>
      <c r="L68" s="6">
        <f t="shared" si="14"/>
        <v>0</v>
      </c>
      <c r="M68" s="3"/>
      <c r="N68" s="7">
        <f t="shared" si="15"/>
        <v>0</v>
      </c>
      <c r="O68" s="9"/>
      <c r="P68" s="6"/>
      <c r="Q68" s="3"/>
      <c r="R68" s="7">
        <f t="shared" si="16"/>
        <v>0</v>
      </c>
      <c r="S68" s="3"/>
      <c r="T68" s="6">
        <v>500</v>
      </c>
      <c r="U68" s="3"/>
      <c r="V68" s="7">
        <f t="shared" si="17"/>
        <v>4.5425324582114271E-5</v>
      </c>
      <c r="W68" s="3"/>
      <c r="X68" s="6">
        <f t="shared" si="18"/>
        <v>-500</v>
      </c>
      <c r="Y68" s="3"/>
      <c r="Z68" s="7">
        <f t="shared" si="19"/>
        <v>-1</v>
      </c>
    </row>
    <row r="69" spans="1:26" s="70" customFormat="1" ht="15" hidden="1" customHeight="1" outlineLevel="2" x14ac:dyDescent="0.3">
      <c r="A69" s="21"/>
      <c r="B69" s="9" t="str">
        <f>CONCATENATE("          ","6279"," - ","GENERAL EXPENSE")</f>
        <v xml:space="preserve">          6279 - GENERAL EXPENSE</v>
      </c>
      <c r="C69" s="9"/>
      <c r="D69" s="6">
        <v>5771.12</v>
      </c>
      <c r="E69" s="3"/>
      <c r="F69" s="7">
        <f t="shared" si="12"/>
        <v>2.7384805891269348E-2</v>
      </c>
      <c r="G69" s="3"/>
      <c r="H69" s="6">
        <v>540</v>
      </c>
      <c r="I69" s="3"/>
      <c r="J69" s="7">
        <f t="shared" si="13"/>
        <v>6.3847900113507376E-3</v>
      </c>
      <c r="K69" s="3"/>
      <c r="L69" s="6">
        <f t="shared" si="14"/>
        <v>5231.12</v>
      </c>
      <c r="M69" s="3"/>
      <c r="N69" s="7">
        <f t="shared" si="15"/>
        <v>9.6872592592592586</v>
      </c>
      <c r="O69" s="9"/>
      <c r="P69" s="6">
        <v>72272.11</v>
      </c>
      <c r="Q69" s="3"/>
      <c r="R69" s="7">
        <f t="shared" si="16"/>
        <v>5.4194198385967224E-3</v>
      </c>
      <c r="S69" s="3"/>
      <c r="T69" s="6">
        <v>17140</v>
      </c>
      <c r="U69" s="3"/>
      <c r="V69" s="7">
        <f t="shared" si="17"/>
        <v>1.5571801266748772E-3</v>
      </c>
      <c r="W69" s="3"/>
      <c r="X69" s="6">
        <f t="shared" si="18"/>
        <v>55132.11</v>
      </c>
      <c r="Y69" s="3"/>
      <c r="Z69" s="7">
        <f t="shared" si="19"/>
        <v>3.216575845974329</v>
      </c>
    </row>
    <row r="70" spans="1:26" s="69" customFormat="1" ht="15" customHeight="1" outlineLevel="1" collapsed="1" x14ac:dyDescent="0.3">
      <c r="A70" s="20"/>
      <c r="B70" s="11" t="str">
        <f>CONCATENATE("     ","Insurance                                         ")</f>
        <v xml:space="preserve">     Insurance                                         </v>
      </c>
      <c r="C70" s="11"/>
      <c r="D70" s="2">
        <f>SUM(OSRRefD22_10x_0)</f>
        <v>-1765.76</v>
      </c>
      <c r="E70" s="2"/>
      <c r="F70" s="5">
        <f t="shared" si="12"/>
        <v>-8.3787886667696689E-3</v>
      </c>
      <c r="G70" s="2"/>
      <c r="H70" s="2">
        <f>SUM(OSRRefH22_10x_0)</f>
        <v>5680</v>
      </c>
      <c r="I70" s="2"/>
      <c r="J70" s="5">
        <f t="shared" si="13"/>
        <v>6.71585319712448E-2</v>
      </c>
      <c r="K70" s="2"/>
      <c r="L70" s="2">
        <f t="shared" si="14"/>
        <v>-7445.76</v>
      </c>
      <c r="M70" s="2"/>
      <c r="N70" s="5">
        <f t="shared" si="15"/>
        <v>-1.3108732394366198</v>
      </c>
      <c r="O70" s="11"/>
      <c r="P70" s="2">
        <f>SUM(OSRRefP22_10x_0)</f>
        <v>68492.87</v>
      </c>
      <c r="Q70" s="2"/>
      <c r="R70" s="5">
        <f t="shared" si="16"/>
        <v>5.1360285244256227E-3</v>
      </c>
      <c r="S70" s="2"/>
      <c r="T70" s="2">
        <f>SUM(OSRRefT22_10x_0)</f>
        <v>68160</v>
      </c>
      <c r="U70" s="2"/>
      <c r="V70" s="5">
        <f t="shared" si="17"/>
        <v>6.1923802470338169E-3</v>
      </c>
      <c r="W70" s="2"/>
      <c r="X70" s="2">
        <f t="shared" si="18"/>
        <v>332.86999999999534</v>
      </c>
      <c r="Y70" s="2"/>
      <c r="Z70" s="5">
        <f t="shared" si="19"/>
        <v>4.8836561032863162E-3</v>
      </c>
    </row>
    <row r="71" spans="1:26" s="70" customFormat="1" ht="15" hidden="1" customHeight="1" outlineLevel="2" x14ac:dyDescent="0.3">
      <c r="A71" s="21"/>
      <c r="B71" s="9" t="str">
        <f>CONCATENATE("          ","6314"," - ","LIABILITY INSURANCE")</f>
        <v xml:space="preserve">          6314 - LIABILITY INSURANCE</v>
      </c>
      <c r="C71" s="9"/>
      <c r="D71" s="6">
        <v>-1765.76</v>
      </c>
      <c r="E71" s="3"/>
      <c r="F71" s="7">
        <f t="shared" si="12"/>
        <v>-8.3787886667696689E-3</v>
      </c>
      <c r="G71" s="3"/>
      <c r="H71" s="6">
        <v>5680</v>
      </c>
      <c r="I71" s="3"/>
      <c r="J71" s="7">
        <f t="shared" si="13"/>
        <v>6.71585319712448E-2</v>
      </c>
      <c r="K71" s="3"/>
      <c r="L71" s="6">
        <f t="shared" si="14"/>
        <v>-7445.76</v>
      </c>
      <c r="M71" s="3"/>
      <c r="N71" s="7">
        <f t="shared" si="15"/>
        <v>-1.3108732394366198</v>
      </c>
      <c r="O71" s="9"/>
      <c r="P71" s="6">
        <v>68492.87</v>
      </c>
      <c r="Q71" s="3"/>
      <c r="R71" s="7">
        <f t="shared" si="16"/>
        <v>5.1360285244256227E-3</v>
      </c>
      <c r="S71" s="3"/>
      <c r="T71" s="6">
        <v>68160</v>
      </c>
      <c r="U71" s="3"/>
      <c r="V71" s="7">
        <f t="shared" si="17"/>
        <v>6.1923802470338169E-3</v>
      </c>
      <c r="W71" s="3"/>
      <c r="X71" s="6">
        <f t="shared" si="18"/>
        <v>332.86999999999534</v>
      </c>
      <c r="Y71" s="3"/>
      <c r="Z71" s="7">
        <f t="shared" si="19"/>
        <v>4.8836561032863162E-3</v>
      </c>
    </row>
    <row r="72" spans="1:26" s="69" customFormat="1" ht="15" customHeight="1" outlineLevel="1" collapsed="1" x14ac:dyDescent="0.3">
      <c r="A72" s="20"/>
      <c r="B72" s="11" t="str">
        <f>CONCATENATE("     ","Interest                                          ")</f>
        <v xml:space="preserve">     Interest                                          </v>
      </c>
      <c r="C72" s="11"/>
      <c r="D72" s="2">
        <f>SUM(OSRRefD22_11x_0)</f>
        <v>7253</v>
      </c>
      <c r="E72" s="2"/>
      <c r="F72" s="5">
        <f t="shared" si="12"/>
        <v>3.4416542565286562E-2</v>
      </c>
      <c r="G72" s="2"/>
      <c r="H72" s="2">
        <f>SUM(OSRRefH22_11x_0)</f>
        <v>6982</v>
      </c>
      <c r="I72" s="2"/>
      <c r="J72" s="5">
        <f t="shared" si="13"/>
        <v>8.2552970109723803E-2</v>
      </c>
      <c r="K72" s="2"/>
      <c r="L72" s="2">
        <f t="shared" si="14"/>
        <v>271</v>
      </c>
      <c r="M72" s="2"/>
      <c r="N72" s="5">
        <f t="shared" si="15"/>
        <v>3.8814093382984818E-2</v>
      </c>
      <c r="O72" s="11"/>
      <c r="P72" s="2">
        <f>SUM(OSRRefP22_11x_0)</f>
        <v>84898</v>
      </c>
      <c r="Q72" s="2"/>
      <c r="R72" s="5">
        <f t="shared" si="16"/>
        <v>6.3661889137757921E-3</v>
      </c>
      <c r="S72" s="2"/>
      <c r="T72" s="2">
        <f>SUM(OSRRefT22_11x_0)</f>
        <v>86494</v>
      </c>
      <c r="U72" s="2"/>
      <c r="V72" s="5">
        <f t="shared" si="17"/>
        <v>7.8580360488107823E-3</v>
      </c>
      <c r="W72" s="2"/>
      <c r="X72" s="2">
        <f t="shared" si="18"/>
        <v>-1596</v>
      </c>
      <c r="Y72" s="2"/>
      <c r="Z72" s="5">
        <f t="shared" si="19"/>
        <v>-1.8452146969732006E-2</v>
      </c>
    </row>
    <row r="73" spans="1:26" s="70" customFormat="1" ht="15" hidden="1" customHeight="1" outlineLevel="2" x14ac:dyDescent="0.3">
      <c r="A73" s="21"/>
      <c r="B73" s="9" t="str">
        <f>CONCATENATE("          ","6401"," - ","INTEREST EXPENSE")</f>
        <v xml:space="preserve">          6401 - INTEREST EXPENSE</v>
      </c>
      <c r="C73" s="9"/>
      <c r="D73" s="6">
        <v>7253</v>
      </c>
      <c r="E73" s="3"/>
      <c r="F73" s="7">
        <f t="shared" si="12"/>
        <v>3.4416542565286562E-2</v>
      </c>
      <c r="G73" s="3"/>
      <c r="H73" s="6">
        <v>6982</v>
      </c>
      <c r="I73" s="3"/>
      <c r="J73" s="7">
        <f t="shared" si="13"/>
        <v>8.2552970109723803E-2</v>
      </c>
      <c r="K73" s="3"/>
      <c r="L73" s="6">
        <f t="shared" si="14"/>
        <v>271</v>
      </c>
      <c r="M73" s="3"/>
      <c r="N73" s="7">
        <f t="shared" si="15"/>
        <v>3.8814093382984818E-2</v>
      </c>
      <c r="O73" s="9"/>
      <c r="P73" s="6">
        <v>84898</v>
      </c>
      <c r="Q73" s="3"/>
      <c r="R73" s="7">
        <f t="shared" si="16"/>
        <v>6.3661889137757921E-3</v>
      </c>
      <c r="S73" s="3"/>
      <c r="T73" s="6">
        <v>86494</v>
      </c>
      <c r="U73" s="3"/>
      <c r="V73" s="7">
        <f t="shared" si="17"/>
        <v>7.8580360488107823E-3</v>
      </c>
      <c r="W73" s="3"/>
      <c r="X73" s="6">
        <f t="shared" si="18"/>
        <v>-1596</v>
      </c>
      <c r="Y73" s="3"/>
      <c r="Z73" s="7">
        <f t="shared" si="19"/>
        <v>-1.8452146969732006E-2</v>
      </c>
    </row>
    <row r="74" spans="1:26" s="69" customFormat="1" ht="15" customHeight="1" outlineLevel="1" collapsed="1" x14ac:dyDescent="0.3">
      <c r="A74" s="20"/>
      <c r="B74" s="11" t="str">
        <f>CONCATENATE("     ","Professional Services                             ")</f>
        <v xml:space="preserve">     Professional Services                             </v>
      </c>
      <c r="C74" s="11"/>
      <c r="D74" s="2">
        <f>SUM(OSRRefD22_12x_0)</f>
        <v>0</v>
      </c>
      <c r="E74" s="2"/>
      <c r="F74" s="5">
        <f t="shared" si="12"/>
        <v>0</v>
      </c>
      <c r="G74" s="2"/>
      <c r="H74" s="2">
        <f>SUM(OSRRefH22_12x_0)</f>
        <v>0</v>
      </c>
      <c r="I74" s="2"/>
      <c r="J74" s="5">
        <f t="shared" si="13"/>
        <v>0</v>
      </c>
      <c r="K74" s="2"/>
      <c r="L74" s="2">
        <f t="shared" si="14"/>
        <v>0</v>
      </c>
      <c r="M74" s="2"/>
      <c r="N74" s="5">
        <f t="shared" si="15"/>
        <v>0</v>
      </c>
      <c r="O74" s="11"/>
      <c r="P74" s="2">
        <f>SUM(OSRRefP22_12x_0)</f>
        <v>511.58</v>
      </c>
      <c r="Q74" s="2"/>
      <c r="R74" s="5">
        <f t="shared" si="16"/>
        <v>3.8361503504316E-5</v>
      </c>
      <c r="S74" s="2"/>
      <c r="T74" s="2">
        <f>SUM(OSRRefT22_12x_0)</f>
        <v>0</v>
      </c>
      <c r="U74" s="2"/>
      <c r="V74" s="5">
        <f t="shared" si="17"/>
        <v>0</v>
      </c>
      <c r="W74" s="2"/>
      <c r="X74" s="2">
        <f t="shared" si="18"/>
        <v>511.58</v>
      </c>
      <c r="Y74" s="2"/>
      <c r="Z74" s="5">
        <f t="shared" si="19"/>
        <v>0</v>
      </c>
    </row>
    <row r="75" spans="1:26" s="70" customFormat="1" ht="15" hidden="1" customHeight="1" outlineLevel="2" x14ac:dyDescent="0.3">
      <c r="A75" s="21"/>
      <c r="B75" s="9" t="str">
        <f>CONCATENATE("          ","6336"," - ","PROFESSIONAL SERVICES")</f>
        <v xml:space="preserve">          6336 - PROFESSIONAL SERVICES</v>
      </c>
      <c r="C75" s="9"/>
      <c r="D75" s="6"/>
      <c r="E75" s="3"/>
      <c r="F75" s="7">
        <f t="shared" si="12"/>
        <v>0</v>
      </c>
      <c r="G75" s="3"/>
      <c r="H75" s="6"/>
      <c r="I75" s="3"/>
      <c r="J75" s="7">
        <f t="shared" si="13"/>
        <v>0</v>
      </c>
      <c r="K75" s="3"/>
      <c r="L75" s="6">
        <f t="shared" si="14"/>
        <v>0</v>
      </c>
      <c r="M75" s="3"/>
      <c r="N75" s="7">
        <f t="shared" si="15"/>
        <v>0</v>
      </c>
      <c r="O75" s="9"/>
      <c r="P75" s="6">
        <v>511.58</v>
      </c>
      <c r="Q75" s="3"/>
      <c r="R75" s="7">
        <f t="shared" si="16"/>
        <v>3.8361503504316E-5</v>
      </c>
      <c r="S75" s="3"/>
      <c r="T75" s="6"/>
      <c r="U75" s="3"/>
      <c r="V75" s="7">
        <f t="shared" si="17"/>
        <v>0</v>
      </c>
      <c r="W75" s="3"/>
      <c r="X75" s="6">
        <f t="shared" si="18"/>
        <v>511.58</v>
      </c>
      <c r="Y75" s="3"/>
      <c r="Z75" s="7">
        <f t="shared" si="19"/>
        <v>0</v>
      </c>
    </row>
    <row r="76" spans="1:26" s="69" customFormat="1" ht="15" customHeight="1" outlineLevel="1" collapsed="1" x14ac:dyDescent="0.3">
      <c r="A76" s="20"/>
      <c r="B76" s="11" t="str">
        <f>CONCATENATE("     ","R/H Commissions                                   ")</f>
        <v xml:space="preserve">     R/H Commissions                                   </v>
      </c>
      <c r="C76" s="11"/>
      <c r="D76" s="2">
        <f>SUM(OSRRefD22_13x_0)</f>
        <v>12924.29</v>
      </c>
      <c r="E76" s="2"/>
      <c r="F76" s="5">
        <f t="shared" si="12"/>
        <v>6.1327640550269888E-2</v>
      </c>
      <c r="G76" s="2"/>
      <c r="H76" s="2">
        <f>SUM(OSRRefH22_13x_0)</f>
        <v>0</v>
      </c>
      <c r="I76" s="2"/>
      <c r="J76" s="5">
        <f t="shared" si="13"/>
        <v>0</v>
      </c>
      <c r="K76" s="2"/>
      <c r="L76" s="2">
        <f t="shared" si="14"/>
        <v>12924.29</v>
      </c>
      <c r="M76" s="2"/>
      <c r="N76" s="5">
        <f t="shared" si="15"/>
        <v>0</v>
      </c>
      <c r="O76" s="11"/>
      <c r="P76" s="2">
        <f>SUM(OSRRefP22_13x_0)</f>
        <v>925163.37</v>
      </c>
      <c r="Q76" s="2"/>
      <c r="R76" s="5">
        <f t="shared" si="16"/>
        <v>6.9374599984987295E-2</v>
      </c>
      <c r="S76" s="2"/>
      <c r="T76" s="2">
        <f>SUM(OSRRefT22_13x_0)</f>
        <v>703152</v>
      </c>
      <c r="U76" s="2"/>
      <c r="V76" s="5">
        <f t="shared" si="17"/>
        <v>6.3881815661125621E-2</v>
      </c>
      <c r="W76" s="2"/>
      <c r="X76" s="2">
        <f t="shared" si="18"/>
        <v>222011.37</v>
      </c>
      <c r="Y76" s="2"/>
      <c r="Z76" s="5">
        <f t="shared" si="19"/>
        <v>0.31573737968462012</v>
      </c>
    </row>
    <row r="77" spans="1:26" s="70" customFormat="1" ht="15" hidden="1" customHeight="1" outlineLevel="2" x14ac:dyDescent="0.3">
      <c r="A77" s="21"/>
      <c r="B77" s="9" t="str">
        <f>CONCATENATE("          ","6387"," - ","COMMISSION DUE HOUSING")</f>
        <v xml:space="preserve">          6387 - COMMISSION DUE HOUSING</v>
      </c>
      <c r="C77" s="9"/>
      <c r="D77" s="6">
        <v>12924.29</v>
      </c>
      <c r="E77" s="3"/>
      <c r="F77" s="7">
        <f t="shared" si="12"/>
        <v>6.1327640550269888E-2</v>
      </c>
      <c r="G77" s="3"/>
      <c r="H77" s="6"/>
      <c r="I77" s="3"/>
      <c r="J77" s="7">
        <f t="shared" si="13"/>
        <v>0</v>
      </c>
      <c r="K77" s="3"/>
      <c r="L77" s="6">
        <f t="shared" si="14"/>
        <v>12924.29</v>
      </c>
      <c r="M77" s="3"/>
      <c r="N77" s="7">
        <f t="shared" si="15"/>
        <v>0</v>
      </c>
      <c r="O77" s="9"/>
      <c r="P77" s="6">
        <v>925163.37</v>
      </c>
      <c r="Q77" s="3"/>
      <c r="R77" s="7">
        <f t="shared" si="16"/>
        <v>6.9374599984987295E-2</v>
      </c>
      <c r="S77" s="3"/>
      <c r="T77" s="6">
        <v>703152</v>
      </c>
      <c r="U77" s="3"/>
      <c r="V77" s="7">
        <f t="shared" si="17"/>
        <v>6.3881815661125621E-2</v>
      </c>
      <c r="W77" s="3"/>
      <c r="X77" s="6">
        <f t="shared" si="18"/>
        <v>222011.37</v>
      </c>
      <c r="Y77" s="3"/>
      <c r="Z77" s="7">
        <f t="shared" si="19"/>
        <v>0.31573737968462012</v>
      </c>
    </row>
    <row r="78" spans="1:26" s="69" customFormat="1" ht="15" customHeight="1" outlineLevel="1" collapsed="1" x14ac:dyDescent="0.3">
      <c r="A78" s="20"/>
      <c r="B78" s="11" t="str">
        <f>CONCATENATE("     ","Rent                                              ")</f>
        <v xml:space="preserve">     Rent                                              </v>
      </c>
      <c r="C78" s="11"/>
      <c r="D78" s="2">
        <f>SUM(OSRRefD22_14x_0)</f>
        <v>1850</v>
      </c>
      <c r="E78" s="2"/>
      <c r="F78" s="5">
        <f t="shared" si="12"/>
        <v>8.7785197498662822E-3</v>
      </c>
      <c r="G78" s="2"/>
      <c r="H78" s="2">
        <f>SUM(OSRRefH22_14x_0)</f>
        <v>1850</v>
      </c>
      <c r="I78" s="2"/>
      <c r="J78" s="5">
        <f t="shared" si="13"/>
        <v>2.1873817631479379E-2</v>
      </c>
      <c r="K78" s="2"/>
      <c r="L78" s="2">
        <f t="shared" si="14"/>
        <v>0</v>
      </c>
      <c r="M78" s="2"/>
      <c r="N78" s="5">
        <f t="shared" si="15"/>
        <v>0</v>
      </c>
      <c r="O78" s="11"/>
      <c r="P78" s="2">
        <f>SUM(OSRRefP22_14x_0)</f>
        <v>22200</v>
      </c>
      <c r="Q78" s="2"/>
      <c r="R78" s="5">
        <f t="shared" si="16"/>
        <v>1.6646963872626278E-3</v>
      </c>
      <c r="S78" s="2"/>
      <c r="T78" s="2">
        <f>SUM(OSRRefT22_14x_0)</f>
        <v>22200</v>
      </c>
      <c r="U78" s="2"/>
      <c r="V78" s="5">
        <f t="shared" si="17"/>
        <v>2.0168844114458735E-3</v>
      </c>
      <c r="W78" s="2"/>
      <c r="X78" s="2">
        <f t="shared" si="18"/>
        <v>0</v>
      </c>
      <c r="Y78" s="2"/>
      <c r="Z78" s="5">
        <f t="shared" si="19"/>
        <v>0</v>
      </c>
    </row>
    <row r="79" spans="1:26" s="70" customFormat="1" ht="15" hidden="1" customHeight="1" outlineLevel="2" x14ac:dyDescent="0.3">
      <c r="A79" s="21"/>
      <c r="B79" s="9" t="str">
        <f>CONCATENATE("          ","6273"," - ","RENT")</f>
        <v xml:space="preserve">          6273 - RENT</v>
      </c>
      <c r="C79" s="9"/>
      <c r="D79" s="6">
        <v>1850</v>
      </c>
      <c r="E79" s="3"/>
      <c r="F79" s="7">
        <f t="shared" si="12"/>
        <v>8.7785197498662822E-3</v>
      </c>
      <c r="G79" s="3"/>
      <c r="H79" s="6">
        <v>1850</v>
      </c>
      <c r="I79" s="3"/>
      <c r="J79" s="7">
        <f t="shared" si="13"/>
        <v>2.1873817631479379E-2</v>
      </c>
      <c r="K79" s="3"/>
      <c r="L79" s="6">
        <f t="shared" si="14"/>
        <v>0</v>
      </c>
      <c r="M79" s="3"/>
      <c r="N79" s="7">
        <f t="shared" si="15"/>
        <v>0</v>
      </c>
      <c r="O79" s="9"/>
      <c r="P79" s="6">
        <v>22200</v>
      </c>
      <c r="Q79" s="3"/>
      <c r="R79" s="7">
        <f t="shared" si="16"/>
        <v>1.6646963872626278E-3</v>
      </c>
      <c r="S79" s="3"/>
      <c r="T79" s="6">
        <v>22200</v>
      </c>
      <c r="U79" s="3"/>
      <c r="V79" s="7">
        <f t="shared" si="17"/>
        <v>2.0168844114458735E-3</v>
      </c>
      <c r="W79" s="3"/>
      <c r="X79" s="6">
        <f t="shared" si="18"/>
        <v>0</v>
      </c>
      <c r="Y79" s="3"/>
      <c r="Z79" s="7">
        <f t="shared" si="19"/>
        <v>0</v>
      </c>
    </row>
    <row r="80" spans="1:26" s="69" customFormat="1" ht="15" customHeight="1" outlineLevel="1" collapsed="1" x14ac:dyDescent="0.3">
      <c r="A80" s="20"/>
      <c r="B80" s="11" t="str">
        <f>CONCATENATE("     ","Repair and Maintenance                            ")</f>
        <v xml:space="preserve">     Repair and Maintenance                            </v>
      </c>
      <c r="C80" s="11"/>
      <c r="D80" s="2">
        <f>SUM(OSRRefD22_15x_0)</f>
        <v>44306.329999999994</v>
      </c>
      <c r="E80" s="2"/>
      <c r="F80" s="5">
        <f t="shared" si="12"/>
        <v>0.21023999618869887</v>
      </c>
      <c r="G80" s="2"/>
      <c r="H80" s="2">
        <f>SUM(OSRRefH22_15x_0)</f>
        <v>5705</v>
      </c>
      <c r="I80" s="2"/>
      <c r="J80" s="5">
        <f t="shared" si="13"/>
        <v>6.745412410139992E-2</v>
      </c>
      <c r="K80" s="2"/>
      <c r="L80" s="2">
        <f t="shared" si="14"/>
        <v>38601.329999999994</v>
      </c>
      <c r="M80" s="2"/>
      <c r="N80" s="5">
        <f t="shared" si="15"/>
        <v>6.7662278702892191</v>
      </c>
      <c r="O80" s="11"/>
      <c r="P80" s="2">
        <f>SUM(OSRRefP22_15x_0)</f>
        <v>187102.91999999998</v>
      </c>
      <c r="Q80" s="2"/>
      <c r="R80" s="5">
        <f t="shared" si="16"/>
        <v>1.4030160133796777E-2</v>
      </c>
      <c r="S80" s="2"/>
      <c r="T80" s="2">
        <f>SUM(OSRRefT22_15x_0)</f>
        <v>119122</v>
      </c>
      <c r="U80" s="2"/>
      <c r="V80" s="5">
        <f t="shared" si="17"/>
        <v>1.0822311029741231E-2</v>
      </c>
      <c r="W80" s="2"/>
      <c r="X80" s="2">
        <f t="shared" si="18"/>
        <v>67980.919999999984</v>
      </c>
      <c r="Y80" s="2"/>
      <c r="Z80" s="5">
        <f t="shared" si="19"/>
        <v>0.57068316515840889</v>
      </c>
    </row>
    <row r="81" spans="1:26" s="70" customFormat="1" ht="15" hidden="1" customHeight="1" outlineLevel="2" x14ac:dyDescent="0.3">
      <c r="A81" s="21"/>
      <c r="B81" s="9" t="str">
        <f>CONCATENATE("          ","6371"," - ","COMPUTER SOFTWARE MAINTENANCE")</f>
        <v xml:space="preserve">          6371 - COMPUTER SOFTWARE MAINTENANCE</v>
      </c>
      <c r="C81" s="9"/>
      <c r="D81" s="6">
        <v>33821</v>
      </c>
      <c r="E81" s="3"/>
      <c r="F81" s="7">
        <f t="shared" si="12"/>
        <v>0.16048557646498784</v>
      </c>
      <c r="G81" s="3"/>
      <c r="H81" s="6">
        <v>3500</v>
      </c>
      <c r="I81" s="3"/>
      <c r="J81" s="7">
        <f t="shared" si="13"/>
        <v>4.1382898221717743E-2</v>
      </c>
      <c r="K81" s="3"/>
      <c r="L81" s="6">
        <f t="shared" si="14"/>
        <v>30321</v>
      </c>
      <c r="M81" s="3"/>
      <c r="N81" s="7">
        <f t="shared" si="15"/>
        <v>8.6631428571428568</v>
      </c>
      <c r="O81" s="9"/>
      <c r="P81" s="6">
        <v>88888.06</v>
      </c>
      <c r="Q81" s="3"/>
      <c r="R81" s="7">
        <f t="shared" si="16"/>
        <v>6.6653888447199862E-3</v>
      </c>
      <c r="S81" s="3"/>
      <c r="T81" s="6">
        <v>42000</v>
      </c>
      <c r="U81" s="3"/>
      <c r="V81" s="7">
        <f t="shared" si="17"/>
        <v>3.8157272648975987E-3</v>
      </c>
      <c r="W81" s="3"/>
      <c r="X81" s="6">
        <f t="shared" si="18"/>
        <v>46888.06</v>
      </c>
      <c r="Y81" s="3"/>
      <c r="Z81" s="7">
        <f t="shared" si="19"/>
        <v>1.116382380952381</v>
      </c>
    </row>
    <row r="82" spans="1:26" s="70" customFormat="1" ht="15" hidden="1" customHeight="1" outlineLevel="2" x14ac:dyDescent="0.3">
      <c r="A82" s="21"/>
      <c r="B82" s="9" t="str">
        <f>CONCATENATE("          ","6372"," - ","COMPUTER HARDWARE MAINTENANCE")</f>
        <v xml:space="preserve">          6372 - COMPUTER HARDWARE MAINTENANCE</v>
      </c>
      <c r="C82" s="9"/>
      <c r="D82" s="6"/>
      <c r="E82" s="3"/>
      <c r="F82" s="7">
        <f t="shared" si="12"/>
        <v>0</v>
      </c>
      <c r="G82" s="3"/>
      <c r="H82" s="6"/>
      <c r="I82" s="3"/>
      <c r="J82" s="7">
        <f t="shared" si="13"/>
        <v>0</v>
      </c>
      <c r="K82" s="3"/>
      <c r="L82" s="6">
        <f t="shared" si="14"/>
        <v>0</v>
      </c>
      <c r="M82" s="3"/>
      <c r="N82" s="7">
        <f t="shared" si="15"/>
        <v>0</v>
      </c>
      <c r="O82" s="9"/>
      <c r="P82" s="6"/>
      <c r="Q82" s="3"/>
      <c r="R82" s="7">
        <f t="shared" si="16"/>
        <v>0</v>
      </c>
      <c r="S82" s="3"/>
      <c r="T82" s="6">
        <v>8000</v>
      </c>
      <c r="U82" s="3"/>
      <c r="V82" s="7">
        <f t="shared" si="17"/>
        <v>7.2680519331382834E-4</v>
      </c>
      <c r="W82" s="3"/>
      <c r="X82" s="6">
        <f t="shared" si="18"/>
        <v>-8000</v>
      </c>
      <c r="Y82" s="3"/>
      <c r="Z82" s="7">
        <f t="shared" si="19"/>
        <v>-1</v>
      </c>
    </row>
    <row r="83" spans="1:26" s="70" customFormat="1" ht="15" hidden="1" customHeight="1" outlineLevel="2" x14ac:dyDescent="0.3">
      <c r="A83" s="21"/>
      <c r="B83" s="9" t="str">
        <f>CONCATENATE("          ","6373"," - ","MAINTENANCE CONTRACTS")</f>
        <v xml:space="preserve">          6373 - MAINTENANCE CONTRACTS</v>
      </c>
      <c r="C83" s="9"/>
      <c r="D83" s="6">
        <v>6807.06</v>
      </c>
      <c r="E83" s="3"/>
      <c r="F83" s="7">
        <f t="shared" si="12"/>
        <v>3.2300492242445827E-2</v>
      </c>
      <c r="G83" s="3"/>
      <c r="H83" s="6"/>
      <c r="I83" s="3"/>
      <c r="J83" s="7">
        <f t="shared" si="13"/>
        <v>0</v>
      </c>
      <c r="K83" s="3"/>
      <c r="L83" s="6">
        <f t="shared" si="14"/>
        <v>6807.06</v>
      </c>
      <c r="M83" s="3"/>
      <c r="N83" s="7">
        <f t="shared" si="15"/>
        <v>0</v>
      </c>
      <c r="O83" s="9"/>
      <c r="P83" s="6">
        <v>32404.77</v>
      </c>
      <c r="Q83" s="3"/>
      <c r="R83" s="7">
        <f t="shared" si="16"/>
        <v>2.4299145742827199E-3</v>
      </c>
      <c r="S83" s="3"/>
      <c r="T83" s="6">
        <v>23345</v>
      </c>
      <c r="U83" s="3"/>
      <c r="V83" s="7">
        <f t="shared" si="17"/>
        <v>2.120908404738915E-3</v>
      </c>
      <c r="W83" s="3"/>
      <c r="X83" s="6">
        <f t="shared" si="18"/>
        <v>9059.77</v>
      </c>
      <c r="Y83" s="3"/>
      <c r="Z83" s="7">
        <f t="shared" si="19"/>
        <v>0.38808181623473981</v>
      </c>
    </row>
    <row r="84" spans="1:26" s="70" customFormat="1" ht="15" hidden="1" customHeight="1" outlineLevel="2" x14ac:dyDescent="0.3">
      <c r="A84" s="21"/>
      <c r="B84" s="9" t="str">
        <f>CONCATENATE("          ","6375"," - ","OUTSIDE REPAIRS &amp; MAINTENANCE")</f>
        <v xml:space="preserve">          6375 - OUTSIDE REPAIRS &amp; MAINTENANCE</v>
      </c>
      <c r="C84" s="9"/>
      <c r="D84" s="6">
        <v>3678.27</v>
      </c>
      <c r="E84" s="3"/>
      <c r="F84" s="7">
        <f t="shared" si="12"/>
        <v>1.7453927481265216E-2</v>
      </c>
      <c r="G84" s="3"/>
      <c r="H84" s="6">
        <v>2205</v>
      </c>
      <c r="I84" s="3"/>
      <c r="J84" s="7">
        <f t="shared" si="13"/>
        <v>2.6071225879682178E-2</v>
      </c>
      <c r="K84" s="3"/>
      <c r="L84" s="6">
        <f t="shared" si="14"/>
        <v>1473.27</v>
      </c>
      <c r="M84" s="3"/>
      <c r="N84" s="7">
        <f t="shared" si="15"/>
        <v>0.66814965986394559</v>
      </c>
      <c r="O84" s="9"/>
      <c r="P84" s="6">
        <v>65810.09</v>
      </c>
      <c r="Q84" s="3"/>
      <c r="R84" s="7">
        <f t="shared" si="16"/>
        <v>4.9348567147940716E-3</v>
      </c>
      <c r="S84" s="3"/>
      <c r="T84" s="6">
        <v>45777</v>
      </c>
      <c r="U84" s="3"/>
      <c r="V84" s="7">
        <f t="shared" si="17"/>
        <v>4.1588701667908895E-3</v>
      </c>
      <c r="W84" s="3"/>
      <c r="X84" s="6">
        <f t="shared" si="18"/>
        <v>20033.089999999997</v>
      </c>
      <c r="Y84" s="3"/>
      <c r="Z84" s="7">
        <f t="shared" si="19"/>
        <v>0.43762347903969234</v>
      </c>
    </row>
    <row r="85" spans="1:26" s="69" customFormat="1" ht="15" customHeight="1" outlineLevel="1" collapsed="1" x14ac:dyDescent="0.3">
      <c r="A85" s="20"/>
      <c r="B85" s="11" t="str">
        <f>CONCATENATE("     ","Royalty &amp; Commissions                             ")</f>
        <v xml:space="preserve">     Royalty &amp; Commissions                             </v>
      </c>
      <c r="C85" s="11"/>
      <c r="D85" s="2">
        <f>SUM(OSRRefD22_16x_0)</f>
        <v>2013.15</v>
      </c>
      <c r="E85" s="2"/>
      <c r="F85" s="5">
        <f t="shared" si="12"/>
        <v>9.5526902888882735E-3</v>
      </c>
      <c r="G85" s="2"/>
      <c r="H85" s="2">
        <f>SUM(OSRRefH22_16x_0)</f>
        <v>0</v>
      </c>
      <c r="I85" s="2"/>
      <c r="J85" s="5">
        <f t="shared" si="13"/>
        <v>0</v>
      </c>
      <c r="K85" s="2"/>
      <c r="L85" s="2">
        <f t="shared" si="14"/>
        <v>2013.15</v>
      </c>
      <c r="M85" s="2"/>
      <c r="N85" s="5">
        <f t="shared" si="15"/>
        <v>0</v>
      </c>
      <c r="O85" s="11"/>
      <c r="P85" s="2">
        <f>SUM(OSRRefP22_16x_0)</f>
        <v>8199.57</v>
      </c>
      <c r="Q85" s="2"/>
      <c r="R85" s="5">
        <f t="shared" si="16"/>
        <v>6.1485561063545158E-4</v>
      </c>
      <c r="S85" s="2"/>
      <c r="T85" s="2">
        <f>SUM(OSRRefT22_16x_0)</f>
        <v>0</v>
      </c>
      <c r="U85" s="2"/>
      <c r="V85" s="5">
        <f t="shared" si="17"/>
        <v>0</v>
      </c>
      <c r="W85" s="2"/>
      <c r="X85" s="2">
        <f t="shared" si="18"/>
        <v>8199.57</v>
      </c>
      <c r="Y85" s="2"/>
      <c r="Z85" s="5">
        <f t="shared" si="19"/>
        <v>0</v>
      </c>
    </row>
    <row r="86" spans="1:26" s="70" customFormat="1" ht="15" hidden="1" customHeight="1" outlineLevel="2" x14ac:dyDescent="0.3">
      <c r="A86" s="21"/>
      <c r="B86" s="9" t="str">
        <f>CONCATENATE("          ","6254"," - ","ROYALTY &amp; COMMISSIONS")</f>
        <v xml:space="preserve">          6254 - ROYALTY &amp; COMMISSIONS</v>
      </c>
      <c r="C86" s="9"/>
      <c r="D86" s="6">
        <v>2013.15</v>
      </c>
      <c r="E86" s="3"/>
      <c r="F86" s="7">
        <f t="shared" si="12"/>
        <v>9.5526902888882735E-3</v>
      </c>
      <c r="G86" s="3"/>
      <c r="H86" s="6"/>
      <c r="I86" s="3"/>
      <c r="J86" s="7">
        <f t="shared" si="13"/>
        <v>0</v>
      </c>
      <c r="K86" s="3"/>
      <c r="L86" s="6">
        <f t="shared" si="14"/>
        <v>2013.15</v>
      </c>
      <c r="M86" s="3"/>
      <c r="N86" s="7">
        <f t="shared" si="15"/>
        <v>0</v>
      </c>
      <c r="O86" s="9"/>
      <c r="P86" s="6">
        <v>8199.57</v>
      </c>
      <c r="Q86" s="3"/>
      <c r="R86" s="7">
        <f t="shared" si="16"/>
        <v>6.1485561063545158E-4</v>
      </c>
      <c r="S86" s="3"/>
      <c r="T86" s="6"/>
      <c r="U86" s="3"/>
      <c r="V86" s="7">
        <f t="shared" si="17"/>
        <v>0</v>
      </c>
      <c r="W86" s="3"/>
      <c r="X86" s="6">
        <f t="shared" si="18"/>
        <v>8199.57</v>
      </c>
      <c r="Y86" s="3"/>
      <c r="Z86" s="7">
        <f t="shared" si="19"/>
        <v>0</v>
      </c>
    </row>
    <row r="87" spans="1:26" s="69" customFormat="1" ht="15" customHeight="1" outlineLevel="1" collapsed="1" x14ac:dyDescent="0.3">
      <c r="A87" s="20"/>
      <c r="B87" s="11" t="str">
        <f>CONCATENATE("     ","Services                                          ")</f>
        <v xml:space="preserve">     Services                                          </v>
      </c>
      <c r="C87" s="11"/>
      <c r="D87" s="2">
        <f>SUM(OSRRefD22_17x_0)</f>
        <v>53402.549999999996</v>
      </c>
      <c r="E87" s="2"/>
      <c r="F87" s="5">
        <f t="shared" si="12"/>
        <v>0.25340288641525494</v>
      </c>
      <c r="G87" s="2"/>
      <c r="H87" s="2">
        <f>SUM(OSRRefH22_17x_0)</f>
        <v>32884</v>
      </c>
      <c r="I87" s="2"/>
      <c r="J87" s="5">
        <f t="shared" si="13"/>
        <v>0.38881006432084753</v>
      </c>
      <c r="K87" s="2"/>
      <c r="L87" s="2">
        <f t="shared" si="14"/>
        <v>20518.549999999996</v>
      </c>
      <c r="M87" s="2"/>
      <c r="N87" s="5">
        <f t="shared" si="15"/>
        <v>0.62396758301909727</v>
      </c>
      <c r="O87" s="11"/>
      <c r="P87" s="2">
        <f>SUM(OSRRefP22_17x_0)</f>
        <v>318359.42</v>
      </c>
      <c r="Q87" s="2"/>
      <c r="R87" s="5">
        <f t="shared" si="16"/>
        <v>2.3872602537163314E-2</v>
      </c>
      <c r="S87" s="2"/>
      <c r="T87" s="2">
        <f>SUM(OSRRefT22_17x_0)</f>
        <v>386051</v>
      </c>
      <c r="U87" s="2"/>
      <c r="V87" s="5">
        <f t="shared" si="17"/>
        <v>3.5072983960499592E-2</v>
      </c>
      <c r="W87" s="2"/>
      <c r="X87" s="2">
        <f t="shared" si="18"/>
        <v>-67691.580000000016</v>
      </c>
      <c r="Y87" s="2"/>
      <c r="Z87" s="5">
        <f t="shared" si="19"/>
        <v>-0.17534362040248572</v>
      </c>
    </row>
    <row r="88" spans="1:26" s="70" customFormat="1" ht="15" hidden="1" customHeight="1" outlineLevel="2" x14ac:dyDescent="0.3">
      <c r="A88" s="21"/>
      <c r="B88" s="9" t="str">
        <f>CONCATENATE("          ","6282"," - ","JANITORIAL/EXTERMINATOR EXPENS")</f>
        <v xml:space="preserve">          6282 - JANITORIAL/EXTERMINATOR EXPENS</v>
      </c>
      <c r="C88" s="9"/>
      <c r="D88" s="6">
        <v>3979.75</v>
      </c>
      <c r="E88" s="3"/>
      <c r="F88" s="7">
        <f t="shared" si="12"/>
        <v>1.8884494040286668E-2</v>
      </c>
      <c r="G88" s="3"/>
      <c r="H88" s="6">
        <v>2698</v>
      </c>
      <c r="I88" s="3"/>
      <c r="J88" s="7">
        <f t="shared" si="13"/>
        <v>3.1900302686341281E-2</v>
      </c>
      <c r="K88" s="3"/>
      <c r="L88" s="6">
        <f t="shared" si="14"/>
        <v>1281.75</v>
      </c>
      <c r="M88" s="3"/>
      <c r="N88" s="7">
        <f t="shared" si="15"/>
        <v>0.47507412898443291</v>
      </c>
      <c r="O88" s="9"/>
      <c r="P88" s="6">
        <v>34362.980000000003</v>
      </c>
      <c r="Q88" s="3"/>
      <c r="R88" s="7">
        <f t="shared" si="16"/>
        <v>2.5767535433143217E-3</v>
      </c>
      <c r="S88" s="3"/>
      <c r="T88" s="6">
        <v>32276</v>
      </c>
      <c r="U88" s="3"/>
      <c r="V88" s="7">
        <f t="shared" si="17"/>
        <v>2.9322955524246404E-3</v>
      </c>
      <c r="W88" s="3"/>
      <c r="X88" s="6">
        <f t="shared" si="18"/>
        <v>2086.9800000000032</v>
      </c>
      <c r="Y88" s="3"/>
      <c r="Z88" s="7">
        <f t="shared" si="19"/>
        <v>6.4660428801586414E-2</v>
      </c>
    </row>
    <row r="89" spans="1:26" s="70" customFormat="1" ht="15" hidden="1" customHeight="1" outlineLevel="2" x14ac:dyDescent="0.3">
      <c r="A89" s="21"/>
      <c r="B89" s="9" t="str">
        <f>CONCATENATE("          ","6283"," - ","PLANT SERVICE")</f>
        <v xml:space="preserve">          6283 - PLANT SERVICE</v>
      </c>
      <c r="C89" s="9"/>
      <c r="D89" s="6"/>
      <c r="E89" s="3"/>
      <c r="F89" s="7">
        <f t="shared" si="12"/>
        <v>0</v>
      </c>
      <c r="G89" s="3"/>
      <c r="H89" s="6">
        <v>100</v>
      </c>
      <c r="I89" s="3"/>
      <c r="J89" s="7">
        <f t="shared" si="13"/>
        <v>1.182368520620507E-3</v>
      </c>
      <c r="K89" s="3"/>
      <c r="L89" s="6">
        <f t="shared" si="14"/>
        <v>-100</v>
      </c>
      <c r="M89" s="3"/>
      <c r="N89" s="7">
        <f t="shared" si="15"/>
        <v>-1</v>
      </c>
      <c r="O89" s="9"/>
      <c r="P89" s="6"/>
      <c r="Q89" s="3"/>
      <c r="R89" s="7">
        <f t="shared" si="16"/>
        <v>0</v>
      </c>
      <c r="S89" s="3"/>
      <c r="T89" s="6">
        <v>1200</v>
      </c>
      <c r="U89" s="3"/>
      <c r="V89" s="7">
        <f t="shared" si="17"/>
        <v>1.0902077899707424E-4</v>
      </c>
      <c r="W89" s="3"/>
      <c r="X89" s="6">
        <f t="shared" si="18"/>
        <v>-1200</v>
      </c>
      <c r="Y89" s="3"/>
      <c r="Z89" s="7">
        <f t="shared" si="19"/>
        <v>-1</v>
      </c>
    </row>
    <row r="90" spans="1:26" s="70" customFormat="1" ht="15" hidden="1" customHeight="1" outlineLevel="2" x14ac:dyDescent="0.3">
      <c r="A90" s="21"/>
      <c r="B90" s="9" t="str">
        <f>CONCATENATE("          ","6284"," - ","TRASH REMOVAL EXPENSE")</f>
        <v xml:space="preserve">          6284 - TRASH REMOVAL EXPENSE</v>
      </c>
      <c r="C90" s="9"/>
      <c r="D90" s="6"/>
      <c r="E90" s="3"/>
      <c r="F90" s="7">
        <f t="shared" si="12"/>
        <v>0</v>
      </c>
      <c r="G90" s="3"/>
      <c r="H90" s="6">
        <v>1600</v>
      </c>
      <c r="I90" s="3"/>
      <c r="J90" s="7">
        <f t="shared" si="13"/>
        <v>1.8917896329928113E-2</v>
      </c>
      <c r="K90" s="3"/>
      <c r="L90" s="6">
        <f t="shared" si="14"/>
        <v>-1600</v>
      </c>
      <c r="M90" s="3"/>
      <c r="N90" s="7">
        <f t="shared" si="15"/>
        <v>-1</v>
      </c>
      <c r="O90" s="9"/>
      <c r="P90" s="6"/>
      <c r="Q90" s="3"/>
      <c r="R90" s="7">
        <f t="shared" si="16"/>
        <v>0</v>
      </c>
      <c r="S90" s="3"/>
      <c r="T90" s="6">
        <v>19200</v>
      </c>
      <c r="U90" s="3"/>
      <c r="V90" s="7">
        <f t="shared" si="17"/>
        <v>1.7443324639531878E-3</v>
      </c>
      <c r="W90" s="3"/>
      <c r="X90" s="6">
        <f t="shared" si="18"/>
        <v>-19200</v>
      </c>
      <c r="Y90" s="3"/>
      <c r="Z90" s="7">
        <f t="shared" si="19"/>
        <v>-1</v>
      </c>
    </row>
    <row r="91" spans="1:26" s="70" customFormat="1" ht="15" hidden="1" customHeight="1" outlineLevel="2" x14ac:dyDescent="0.3">
      <c r="A91" s="21"/>
      <c r="B91" s="9" t="str">
        <f>CONCATENATE("          ","6285"," - ","JANITORIAL SERVICES")</f>
        <v xml:space="preserve">          6285 - JANITORIAL SERVICES</v>
      </c>
      <c r="C91" s="9"/>
      <c r="D91" s="6">
        <v>45317.27</v>
      </c>
      <c r="E91" s="3"/>
      <c r="F91" s="7">
        <f t="shared" si="12"/>
        <v>0.21503705389460689</v>
      </c>
      <c r="G91" s="3"/>
      <c r="H91" s="6">
        <v>23083</v>
      </c>
      <c r="I91" s="3"/>
      <c r="J91" s="7">
        <f t="shared" si="13"/>
        <v>0.27292612561483165</v>
      </c>
      <c r="K91" s="3"/>
      <c r="L91" s="6">
        <f t="shared" si="14"/>
        <v>22234.269999999997</v>
      </c>
      <c r="M91" s="3"/>
      <c r="N91" s="7">
        <f t="shared" si="15"/>
        <v>0.96323138240263384</v>
      </c>
      <c r="O91" s="9"/>
      <c r="P91" s="6">
        <v>240830.02</v>
      </c>
      <c r="Q91" s="3"/>
      <c r="R91" s="7">
        <f t="shared" si="16"/>
        <v>1.8058957848575963E-2</v>
      </c>
      <c r="S91" s="3"/>
      <c r="T91" s="6">
        <v>270419</v>
      </c>
      <c r="U91" s="3"/>
      <c r="V91" s="7">
        <f t="shared" si="17"/>
        <v>2.4567741696341516E-2</v>
      </c>
      <c r="W91" s="3"/>
      <c r="X91" s="6">
        <f t="shared" si="18"/>
        <v>-29588.98000000001</v>
      </c>
      <c r="Y91" s="3"/>
      <c r="Z91" s="7">
        <f t="shared" si="19"/>
        <v>-0.10941901271730171</v>
      </c>
    </row>
    <row r="92" spans="1:26" s="70" customFormat="1" ht="15" hidden="1" customHeight="1" outlineLevel="2" x14ac:dyDescent="0.3">
      <c r="A92" s="21"/>
      <c r="B92" s="9" t="str">
        <f>CONCATENATE("          ","6286"," - ","LAUNDRY EXPENSE")</f>
        <v xml:space="preserve">          6286 - LAUNDRY EXPENSE</v>
      </c>
      <c r="C92" s="9"/>
      <c r="D92" s="6">
        <v>4105.53</v>
      </c>
      <c r="E92" s="3"/>
      <c r="F92" s="7">
        <f t="shared" si="12"/>
        <v>1.9481338480361359E-2</v>
      </c>
      <c r="G92" s="3"/>
      <c r="H92" s="6">
        <v>5403</v>
      </c>
      <c r="I92" s="3"/>
      <c r="J92" s="7">
        <f t="shared" si="13"/>
        <v>6.3883371169125999E-2</v>
      </c>
      <c r="K92" s="3"/>
      <c r="L92" s="6">
        <f t="shared" si="14"/>
        <v>-1297.4700000000003</v>
      </c>
      <c r="M92" s="3"/>
      <c r="N92" s="7">
        <f t="shared" si="15"/>
        <v>-0.24013881177123825</v>
      </c>
      <c r="O92" s="9"/>
      <c r="P92" s="6">
        <v>43166.42</v>
      </c>
      <c r="Q92" s="3"/>
      <c r="R92" s="7">
        <f t="shared" si="16"/>
        <v>3.2368911452730288E-3</v>
      </c>
      <c r="S92" s="3"/>
      <c r="T92" s="6">
        <v>62956</v>
      </c>
      <c r="U92" s="3"/>
      <c r="V92" s="7">
        <f t="shared" si="17"/>
        <v>5.7195934687831722E-3</v>
      </c>
      <c r="W92" s="3"/>
      <c r="X92" s="6">
        <f t="shared" si="18"/>
        <v>-19789.580000000002</v>
      </c>
      <c r="Y92" s="3"/>
      <c r="Z92" s="7">
        <f t="shared" si="19"/>
        <v>-0.31433985640764983</v>
      </c>
    </row>
    <row r="93" spans="1:26" s="69" customFormat="1" ht="15" customHeight="1" outlineLevel="1" collapsed="1" x14ac:dyDescent="0.3">
      <c r="A93" s="20"/>
      <c r="B93" s="11" t="str">
        <f>CONCATENATE("     ","Subscriptions &amp; Dues                              ")</f>
        <v xml:space="preserve">     Subscriptions &amp; Dues                              </v>
      </c>
      <c r="C93" s="11"/>
      <c r="D93" s="2">
        <f>SUM(OSRRefD22_18x_0)</f>
        <v>560.5</v>
      </c>
      <c r="E93" s="2"/>
      <c r="F93" s="5">
        <f t="shared" ref="F93:F116" si="20">IF(D$12=0,0,D93/D$12)</f>
        <v>2.6596542269189468E-3</v>
      </c>
      <c r="G93" s="2"/>
      <c r="H93" s="2">
        <f>SUM(OSRRefH22_18x_0)</f>
        <v>610</v>
      </c>
      <c r="I93" s="2"/>
      <c r="J93" s="5">
        <f t="shared" ref="J93:J116" si="21">IF(H$12=0,0,H93/H$12)</f>
        <v>7.2124479757850928E-3</v>
      </c>
      <c r="K93" s="2"/>
      <c r="L93" s="2">
        <f t="shared" ref="L93:L116" si="22">+D93-H93</f>
        <v>-49.5</v>
      </c>
      <c r="M93" s="2"/>
      <c r="N93" s="5">
        <f t="shared" ref="N93:N116" si="23">IF(H93=0,0,L93/H93)</f>
        <v>-8.1147540983606561E-2</v>
      </c>
      <c r="O93" s="11"/>
      <c r="P93" s="2">
        <f>SUM(OSRRefP22_18x_0)</f>
        <v>7528.4</v>
      </c>
      <c r="Q93" s="2"/>
      <c r="R93" s="5">
        <f t="shared" ref="R93:R116" si="24">IF(P$12=0,0,P93/P$12)</f>
        <v>5.6452703972378231E-4</v>
      </c>
      <c r="S93" s="2"/>
      <c r="T93" s="2">
        <f>SUM(OSRRefT22_18x_0)</f>
        <v>7885</v>
      </c>
      <c r="U93" s="2"/>
      <c r="V93" s="5">
        <f t="shared" ref="V93:V116" si="25">IF(T$12=0,0,T93/T$12)</f>
        <v>7.1635736865994202E-4</v>
      </c>
      <c r="W93" s="2"/>
      <c r="X93" s="2">
        <f t="shared" ref="X93:X116" si="26">+P93-T93</f>
        <v>-356.60000000000036</v>
      </c>
      <c r="Y93" s="2"/>
      <c r="Z93" s="5">
        <f t="shared" ref="Z93:Z116" si="27">IF(T93=0,0,X93/T93)</f>
        <v>-4.5225110970196623E-2</v>
      </c>
    </row>
    <row r="94" spans="1:26" s="70" customFormat="1" ht="15" hidden="1" customHeight="1" outlineLevel="2" x14ac:dyDescent="0.3">
      <c r="A94" s="21"/>
      <c r="B94" s="9" t="str">
        <f>CONCATENATE("          ","6258"," - ","MEMBERSHIP DUES")</f>
        <v xml:space="preserve">          6258 - MEMBERSHIP DUES</v>
      </c>
      <c r="C94" s="9"/>
      <c r="D94" s="6"/>
      <c r="E94" s="3"/>
      <c r="F94" s="7">
        <f t="shared" si="20"/>
        <v>0</v>
      </c>
      <c r="G94" s="3"/>
      <c r="H94" s="6"/>
      <c r="I94" s="3"/>
      <c r="J94" s="7">
        <f t="shared" si="21"/>
        <v>0</v>
      </c>
      <c r="K94" s="3"/>
      <c r="L94" s="6">
        <f t="shared" si="22"/>
        <v>0</v>
      </c>
      <c r="M94" s="3"/>
      <c r="N94" s="7">
        <f t="shared" si="23"/>
        <v>0</v>
      </c>
      <c r="O94" s="9"/>
      <c r="P94" s="6"/>
      <c r="Q94" s="3"/>
      <c r="R94" s="7">
        <f t="shared" si="24"/>
        <v>0</v>
      </c>
      <c r="S94" s="3"/>
      <c r="T94" s="6">
        <v>795</v>
      </c>
      <c r="U94" s="3"/>
      <c r="V94" s="7">
        <f t="shared" si="25"/>
        <v>7.2226266085561688E-5</v>
      </c>
      <c r="W94" s="3"/>
      <c r="X94" s="6">
        <f t="shared" si="26"/>
        <v>-795</v>
      </c>
      <c r="Y94" s="3"/>
      <c r="Z94" s="7">
        <f t="shared" si="27"/>
        <v>-1</v>
      </c>
    </row>
    <row r="95" spans="1:26" s="70" customFormat="1" ht="15" hidden="1" customHeight="1" outlineLevel="2" x14ac:dyDescent="0.3">
      <c r="A95" s="21"/>
      <c r="B95" s="9" t="str">
        <f>CONCATENATE("          ","6275"," - ","SUBSCRIPTIONS")</f>
        <v xml:space="preserve">          6275 - SUBSCRIPTIONS</v>
      </c>
      <c r="C95" s="9"/>
      <c r="D95" s="6">
        <v>560.5</v>
      </c>
      <c r="E95" s="3"/>
      <c r="F95" s="7">
        <f t="shared" si="20"/>
        <v>2.6596542269189468E-3</v>
      </c>
      <c r="G95" s="3"/>
      <c r="H95" s="6">
        <v>610</v>
      </c>
      <c r="I95" s="3"/>
      <c r="J95" s="7">
        <f t="shared" si="21"/>
        <v>7.2124479757850928E-3</v>
      </c>
      <c r="K95" s="3"/>
      <c r="L95" s="6">
        <f t="shared" si="22"/>
        <v>-49.5</v>
      </c>
      <c r="M95" s="3"/>
      <c r="N95" s="7">
        <f t="shared" si="23"/>
        <v>-8.1147540983606561E-2</v>
      </c>
      <c r="O95" s="9"/>
      <c r="P95" s="6">
        <v>7528.4</v>
      </c>
      <c r="Q95" s="3"/>
      <c r="R95" s="7">
        <f t="shared" si="24"/>
        <v>5.6452703972378231E-4</v>
      </c>
      <c r="S95" s="3"/>
      <c r="T95" s="6">
        <v>7090</v>
      </c>
      <c r="U95" s="3"/>
      <c r="V95" s="7">
        <f t="shared" si="25"/>
        <v>6.4413110257438035E-4</v>
      </c>
      <c r="W95" s="3"/>
      <c r="X95" s="6">
        <f t="shared" si="26"/>
        <v>438.39999999999964</v>
      </c>
      <c r="Y95" s="3"/>
      <c r="Z95" s="7">
        <f t="shared" si="27"/>
        <v>6.1833568406205873E-2</v>
      </c>
    </row>
    <row r="96" spans="1:26" s="69" customFormat="1" ht="15" customHeight="1" outlineLevel="1" collapsed="1" x14ac:dyDescent="0.3">
      <c r="A96" s="20"/>
      <c r="B96" s="11" t="str">
        <f>CONCATENATE("     ","Supplies                                          ")</f>
        <v xml:space="preserve">     Supplies                                          </v>
      </c>
      <c r="C96" s="11"/>
      <c r="D96" s="2">
        <f>SUM(OSRRefD22_19x_0)</f>
        <v>8131.2199999999993</v>
      </c>
      <c r="E96" s="2"/>
      <c r="F96" s="5">
        <f t="shared" si="20"/>
        <v>3.8583824519193351E-2</v>
      </c>
      <c r="G96" s="2"/>
      <c r="H96" s="2">
        <f>SUM(OSRRefH22_19x_0)</f>
        <v>26240</v>
      </c>
      <c r="I96" s="2"/>
      <c r="J96" s="5">
        <f t="shared" si="21"/>
        <v>0.31025349981082101</v>
      </c>
      <c r="K96" s="2"/>
      <c r="L96" s="2">
        <f t="shared" si="22"/>
        <v>-18108.78</v>
      </c>
      <c r="M96" s="2"/>
      <c r="N96" s="5">
        <f t="shared" si="23"/>
        <v>-0.69012118902439024</v>
      </c>
      <c r="O96" s="11"/>
      <c r="P96" s="2">
        <f>SUM(OSRRefP22_19x_0)</f>
        <v>369399.23000000004</v>
      </c>
      <c r="Q96" s="2"/>
      <c r="R96" s="5">
        <f t="shared" si="24"/>
        <v>2.7699890253990837E-2</v>
      </c>
      <c r="S96" s="2"/>
      <c r="T96" s="2">
        <f>SUM(OSRRefT22_19x_0)</f>
        <v>387963</v>
      </c>
      <c r="U96" s="2"/>
      <c r="V96" s="5">
        <f t="shared" si="25"/>
        <v>3.52466904017016E-2</v>
      </c>
      <c r="W96" s="2"/>
      <c r="X96" s="2">
        <f t="shared" si="26"/>
        <v>-18563.76999999996</v>
      </c>
      <c r="Y96" s="2"/>
      <c r="Z96" s="5">
        <f t="shared" si="27"/>
        <v>-4.7849330992903859E-2</v>
      </c>
    </row>
    <row r="97" spans="1:26" s="70" customFormat="1" ht="15" hidden="1" customHeight="1" outlineLevel="2" x14ac:dyDescent="0.3">
      <c r="A97" s="21"/>
      <c r="B97" s="9" t="str">
        <f>CONCATENATE("          ","6234"," - ","EXPENDABLE SUPPLIES &amp; EQUIPMEN")</f>
        <v xml:space="preserve">          6234 - EXPENDABLE SUPPLIES &amp; EQUIPMEN</v>
      </c>
      <c r="C97" s="9"/>
      <c r="D97" s="6">
        <v>525.74</v>
      </c>
      <c r="E97" s="3"/>
      <c r="F97" s="7">
        <f t="shared" si="20"/>
        <v>2.4947129585376751E-3</v>
      </c>
      <c r="G97" s="3"/>
      <c r="H97" s="6">
        <v>338</v>
      </c>
      <c r="I97" s="3"/>
      <c r="J97" s="7">
        <f t="shared" si="21"/>
        <v>3.9964055996973133E-3</v>
      </c>
      <c r="K97" s="3"/>
      <c r="L97" s="6">
        <f t="shared" si="22"/>
        <v>187.74</v>
      </c>
      <c r="M97" s="3"/>
      <c r="N97" s="7">
        <f t="shared" si="23"/>
        <v>0.5554437869822485</v>
      </c>
      <c r="O97" s="9"/>
      <c r="P97" s="6">
        <v>1204.56</v>
      </c>
      <c r="Q97" s="3"/>
      <c r="R97" s="7">
        <f t="shared" si="24"/>
        <v>9.0325526136985176E-5</v>
      </c>
      <c r="S97" s="3"/>
      <c r="T97" s="6">
        <v>4100</v>
      </c>
      <c r="U97" s="3"/>
      <c r="V97" s="7">
        <f t="shared" si="25"/>
        <v>3.7248766157333698E-4</v>
      </c>
      <c r="W97" s="3"/>
      <c r="X97" s="6">
        <f t="shared" si="26"/>
        <v>-2895.44</v>
      </c>
      <c r="Y97" s="3"/>
      <c r="Z97" s="7">
        <f t="shared" si="27"/>
        <v>-0.70620487804878052</v>
      </c>
    </row>
    <row r="98" spans="1:26" s="70" customFormat="1" ht="15" hidden="1" customHeight="1" outlineLevel="2" x14ac:dyDescent="0.3">
      <c r="A98" s="21"/>
      <c r="B98" s="9" t="str">
        <f>CONCATENATE("          ","6235"," - ","COVID-19 EXPENSES")</f>
        <v xml:space="preserve">          6235 - COVID-19 EXPENSES</v>
      </c>
      <c r="C98" s="9"/>
      <c r="D98" s="6"/>
      <c r="E98" s="3"/>
      <c r="F98" s="7">
        <f t="shared" si="20"/>
        <v>0</v>
      </c>
      <c r="G98" s="3"/>
      <c r="H98" s="6">
        <v>225</v>
      </c>
      <c r="I98" s="3"/>
      <c r="J98" s="7">
        <f t="shared" si="21"/>
        <v>2.6603291713961407E-3</v>
      </c>
      <c r="K98" s="3"/>
      <c r="L98" s="6">
        <f t="shared" si="22"/>
        <v>-225</v>
      </c>
      <c r="M98" s="3"/>
      <c r="N98" s="7">
        <f t="shared" si="23"/>
        <v>-1</v>
      </c>
      <c r="O98" s="9"/>
      <c r="P98" s="6">
        <v>777.84</v>
      </c>
      <c r="Q98" s="3"/>
      <c r="R98" s="7">
        <f t="shared" si="24"/>
        <v>5.8327362066142454E-5</v>
      </c>
      <c r="S98" s="3"/>
      <c r="T98" s="6">
        <v>3225</v>
      </c>
      <c r="U98" s="3"/>
      <c r="V98" s="7">
        <f t="shared" si="25"/>
        <v>2.9299334355463701E-4</v>
      </c>
      <c r="W98" s="3"/>
      <c r="X98" s="6">
        <f t="shared" si="26"/>
        <v>-2447.16</v>
      </c>
      <c r="Y98" s="3"/>
      <c r="Z98" s="7">
        <f t="shared" si="27"/>
        <v>-0.7588093023255813</v>
      </c>
    </row>
    <row r="99" spans="1:26" s="70" customFormat="1" ht="15" hidden="1" customHeight="1" outlineLevel="2" x14ac:dyDescent="0.3">
      <c r="A99" s="21"/>
      <c r="B99" s="9" t="str">
        <f>CONCATENATE("          ","6237"," - ","JANITORIAL SUPPLIES")</f>
        <v xml:space="preserve">          6237 - JANITORIAL SUPPLIES</v>
      </c>
      <c r="C99" s="9"/>
      <c r="D99" s="6">
        <v>3558.88</v>
      </c>
      <c r="E99" s="3"/>
      <c r="F99" s="7">
        <f t="shared" si="20"/>
        <v>1.6887404522921142E-2</v>
      </c>
      <c r="G99" s="3"/>
      <c r="H99" s="6">
        <v>7925</v>
      </c>
      <c r="I99" s="3"/>
      <c r="J99" s="7">
        <f t="shared" si="21"/>
        <v>9.3702705259175179E-2</v>
      </c>
      <c r="K99" s="3"/>
      <c r="L99" s="6">
        <f t="shared" si="22"/>
        <v>-4366.12</v>
      </c>
      <c r="M99" s="3"/>
      <c r="N99" s="7">
        <f t="shared" si="23"/>
        <v>-0.55092996845425868</v>
      </c>
      <c r="O99" s="9"/>
      <c r="P99" s="6">
        <v>92228.32</v>
      </c>
      <c r="Q99" s="3"/>
      <c r="R99" s="7">
        <f t="shared" si="24"/>
        <v>6.9158626624910621E-3</v>
      </c>
      <c r="S99" s="3"/>
      <c r="T99" s="6">
        <v>122128</v>
      </c>
      <c r="U99" s="3"/>
      <c r="V99" s="7">
        <f t="shared" si="25"/>
        <v>1.1095408081128903E-2</v>
      </c>
      <c r="W99" s="3"/>
      <c r="X99" s="6">
        <f t="shared" si="26"/>
        <v>-29899.679999999993</v>
      </c>
      <c r="Y99" s="3"/>
      <c r="Z99" s="7">
        <f t="shared" si="27"/>
        <v>-0.24482248133106244</v>
      </c>
    </row>
    <row r="100" spans="1:26" s="70" customFormat="1" ht="15" hidden="1" customHeight="1" outlineLevel="2" x14ac:dyDescent="0.3">
      <c r="A100" s="21"/>
      <c r="B100" s="9" t="str">
        <f>CONCATENATE("          ","6239"," - ","KITCHEN SUPPLIES")</f>
        <v xml:space="preserve">          6239 - KITCHEN SUPPLIES</v>
      </c>
      <c r="C100" s="9"/>
      <c r="D100" s="6">
        <v>681.31</v>
      </c>
      <c r="E100" s="3"/>
      <c r="F100" s="7">
        <f t="shared" si="20"/>
        <v>3.2329152923142681E-3</v>
      </c>
      <c r="G100" s="3"/>
      <c r="H100" s="6">
        <v>3300</v>
      </c>
      <c r="I100" s="3"/>
      <c r="J100" s="7">
        <f t="shared" si="21"/>
        <v>3.9018161180476733E-2</v>
      </c>
      <c r="K100" s="3"/>
      <c r="L100" s="6">
        <f t="shared" si="22"/>
        <v>-2618.69</v>
      </c>
      <c r="M100" s="3"/>
      <c r="N100" s="7">
        <f t="shared" si="23"/>
        <v>-0.79354242424242427</v>
      </c>
      <c r="O100" s="9"/>
      <c r="P100" s="6">
        <v>46507.96</v>
      </c>
      <c r="Q100" s="3"/>
      <c r="R100" s="7">
        <f t="shared" si="24"/>
        <v>3.4874609455385047E-3</v>
      </c>
      <c r="S100" s="3"/>
      <c r="T100" s="6">
        <v>54049</v>
      </c>
      <c r="U100" s="3"/>
      <c r="V100" s="7">
        <f t="shared" si="25"/>
        <v>4.9103867366773885E-3</v>
      </c>
      <c r="W100" s="3"/>
      <c r="X100" s="6">
        <f t="shared" si="26"/>
        <v>-7541.0400000000009</v>
      </c>
      <c r="Y100" s="3"/>
      <c r="Z100" s="7">
        <f t="shared" si="27"/>
        <v>-0.13952228533367872</v>
      </c>
    </row>
    <row r="101" spans="1:26" s="70" customFormat="1" ht="15" hidden="1" customHeight="1" outlineLevel="2" x14ac:dyDescent="0.3">
      <c r="A101" s="21"/>
      <c r="B101" s="9" t="str">
        <f>CONCATENATE("          ","6241"," - ","OFFICE EXPENSE")</f>
        <v xml:space="preserve">          6241 - OFFICE EXPENSE</v>
      </c>
      <c r="C101" s="9"/>
      <c r="D101" s="6">
        <v>153.01</v>
      </c>
      <c r="E101" s="3"/>
      <c r="F101" s="7">
        <f t="shared" si="20"/>
        <v>7.2605476050110259E-4</v>
      </c>
      <c r="G101" s="3"/>
      <c r="H101" s="6">
        <v>1445</v>
      </c>
      <c r="I101" s="3"/>
      <c r="J101" s="7">
        <f t="shared" si="21"/>
        <v>1.7085225122966327E-2</v>
      </c>
      <c r="K101" s="3"/>
      <c r="L101" s="6">
        <f t="shared" si="22"/>
        <v>-1291.99</v>
      </c>
      <c r="M101" s="3"/>
      <c r="N101" s="7">
        <f t="shared" si="23"/>
        <v>-0.89411072664359859</v>
      </c>
      <c r="O101" s="9"/>
      <c r="P101" s="6">
        <v>26793.97</v>
      </c>
      <c r="Q101" s="3"/>
      <c r="R101" s="7">
        <f t="shared" si="24"/>
        <v>2.0091813089830285E-3</v>
      </c>
      <c r="S101" s="3"/>
      <c r="T101" s="6">
        <v>20567</v>
      </c>
      <c r="U101" s="3"/>
      <c r="V101" s="7">
        <f t="shared" si="25"/>
        <v>1.8685253013606884E-3</v>
      </c>
      <c r="W101" s="3"/>
      <c r="X101" s="6">
        <f t="shared" si="26"/>
        <v>6226.9700000000012</v>
      </c>
      <c r="Y101" s="3"/>
      <c r="Z101" s="7">
        <f t="shared" si="27"/>
        <v>0.30276510915544325</v>
      </c>
    </row>
    <row r="102" spans="1:26" s="70" customFormat="1" ht="15" hidden="1" customHeight="1" outlineLevel="2" x14ac:dyDescent="0.3">
      <c r="A102" s="21"/>
      <c r="B102" s="9" t="str">
        <f>CONCATENATE("          ","6243"," - ","PAPER SUPPLIES")</f>
        <v xml:space="preserve">          6243 - PAPER SUPPLIES</v>
      </c>
      <c r="C102" s="9"/>
      <c r="D102" s="6">
        <v>2703.64</v>
      </c>
      <c r="E102" s="3"/>
      <c r="F102" s="7">
        <f t="shared" si="20"/>
        <v>1.2829166019745122E-2</v>
      </c>
      <c r="G102" s="3"/>
      <c r="H102" s="6">
        <v>11800</v>
      </c>
      <c r="I102" s="3"/>
      <c r="J102" s="7">
        <f t="shared" si="21"/>
        <v>0.13951948543321982</v>
      </c>
      <c r="K102" s="3"/>
      <c r="L102" s="6">
        <f t="shared" si="22"/>
        <v>-9096.36</v>
      </c>
      <c r="M102" s="3"/>
      <c r="N102" s="7">
        <f t="shared" si="23"/>
        <v>-0.77087796610169501</v>
      </c>
      <c r="O102" s="9"/>
      <c r="P102" s="6">
        <v>187239.96</v>
      </c>
      <c r="Q102" s="3"/>
      <c r="R102" s="7">
        <f t="shared" si="24"/>
        <v>1.4040436259603556E-2</v>
      </c>
      <c r="S102" s="3"/>
      <c r="T102" s="6">
        <v>164133</v>
      </c>
      <c r="U102" s="3"/>
      <c r="V102" s="7">
        <f t="shared" si="25"/>
        <v>1.4911589599272322E-2</v>
      </c>
      <c r="W102" s="3"/>
      <c r="X102" s="6">
        <f t="shared" si="26"/>
        <v>23106.959999999992</v>
      </c>
      <c r="Y102" s="3"/>
      <c r="Z102" s="7">
        <f t="shared" si="27"/>
        <v>0.14078192685200411</v>
      </c>
    </row>
    <row r="103" spans="1:26" s="70" customFormat="1" ht="15" hidden="1" customHeight="1" outlineLevel="2" x14ac:dyDescent="0.3">
      <c r="A103" s="21"/>
      <c r="B103" s="9" t="str">
        <f>CONCATENATE("          ","6244"," - ","SAFETY SUPPLY EXPENSE")</f>
        <v xml:space="preserve">          6244 - SAFETY SUPPLY EXPENSE</v>
      </c>
      <c r="C103" s="9"/>
      <c r="D103" s="6"/>
      <c r="E103" s="3"/>
      <c r="F103" s="7">
        <f t="shared" si="20"/>
        <v>0</v>
      </c>
      <c r="G103" s="3"/>
      <c r="H103" s="6">
        <v>525</v>
      </c>
      <c r="I103" s="3"/>
      <c r="J103" s="7">
        <f t="shared" si="21"/>
        <v>6.2074347332576616E-3</v>
      </c>
      <c r="K103" s="3"/>
      <c r="L103" s="6">
        <f t="shared" si="22"/>
        <v>-525</v>
      </c>
      <c r="M103" s="3"/>
      <c r="N103" s="7">
        <f t="shared" si="23"/>
        <v>-1</v>
      </c>
      <c r="O103" s="9"/>
      <c r="P103" s="6"/>
      <c r="Q103" s="3"/>
      <c r="R103" s="7">
        <f t="shared" si="24"/>
        <v>0</v>
      </c>
      <c r="S103" s="3"/>
      <c r="T103" s="6">
        <v>6450</v>
      </c>
      <c r="U103" s="3"/>
      <c r="V103" s="7">
        <f t="shared" si="25"/>
        <v>5.8598668710927403E-4</v>
      </c>
      <c r="W103" s="3"/>
      <c r="X103" s="6">
        <f t="shared" si="26"/>
        <v>-6450</v>
      </c>
      <c r="Y103" s="3"/>
      <c r="Z103" s="7">
        <f t="shared" si="27"/>
        <v>-1</v>
      </c>
    </row>
    <row r="104" spans="1:26" s="70" customFormat="1" ht="15" hidden="1" customHeight="1" outlineLevel="2" x14ac:dyDescent="0.3">
      <c r="A104" s="21"/>
      <c r="B104" s="9" t="str">
        <f>CONCATENATE("          ","6245"," - ","PRINTING")</f>
        <v xml:space="preserve">          6245 - PRINTING</v>
      </c>
      <c r="C104" s="9"/>
      <c r="D104" s="6">
        <v>598.64</v>
      </c>
      <c r="E104" s="3"/>
      <c r="F104" s="7">
        <f t="shared" si="20"/>
        <v>2.8406340881405139E-3</v>
      </c>
      <c r="G104" s="3"/>
      <c r="H104" s="6">
        <v>100</v>
      </c>
      <c r="I104" s="3"/>
      <c r="J104" s="7">
        <f t="shared" si="21"/>
        <v>1.182368520620507E-3</v>
      </c>
      <c r="K104" s="3"/>
      <c r="L104" s="6">
        <f t="shared" si="22"/>
        <v>498.64</v>
      </c>
      <c r="M104" s="3"/>
      <c r="N104" s="7">
        <f t="shared" si="23"/>
        <v>4.9863999999999997</v>
      </c>
      <c r="O104" s="9"/>
      <c r="P104" s="6">
        <v>1669.64</v>
      </c>
      <c r="Q104" s="3"/>
      <c r="R104" s="7">
        <f t="shared" si="24"/>
        <v>1.2520016558689975E-4</v>
      </c>
      <c r="S104" s="3"/>
      <c r="T104" s="6">
        <v>2000</v>
      </c>
      <c r="U104" s="3"/>
      <c r="V104" s="7">
        <f t="shared" si="25"/>
        <v>1.8170129832845709E-4</v>
      </c>
      <c r="W104" s="3"/>
      <c r="X104" s="6">
        <f t="shared" si="26"/>
        <v>-330.3599999999999</v>
      </c>
      <c r="Y104" s="3"/>
      <c r="Z104" s="7">
        <f t="shared" si="27"/>
        <v>-0.16517999999999994</v>
      </c>
    </row>
    <row r="105" spans="1:26" s="70" customFormat="1" ht="15" hidden="1" customHeight="1" outlineLevel="2" x14ac:dyDescent="0.3">
      <c r="A105" s="21"/>
      <c r="B105" s="9" t="str">
        <f>CONCATENATE("          ","6247"," - ","STORE SUPPLIES")</f>
        <v xml:space="preserve">          6247 - STORE SUPPLIES</v>
      </c>
      <c r="C105" s="9"/>
      <c r="D105" s="6">
        <v>-90</v>
      </c>
      <c r="E105" s="3"/>
      <c r="F105" s="7">
        <f t="shared" si="20"/>
        <v>-4.2706312296646778E-4</v>
      </c>
      <c r="G105" s="3"/>
      <c r="H105" s="6"/>
      <c r="I105" s="3"/>
      <c r="J105" s="7">
        <f t="shared" si="21"/>
        <v>0</v>
      </c>
      <c r="K105" s="3"/>
      <c r="L105" s="6">
        <f t="shared" si="22"/>
        <v>-90</v>
      </c>
      <c r="M105" s="3"/>
      <c r="N105" s="7">
        <f t="shared" si="23"/>
        <v>0</v>
      </c>
      <c r="O105" s="9"/>
      <c r="P105" s="6">
        <v>3445.14</v>
      </c>
      <c r="Q105" s="3"/>
      <c r="R105" s="7">
        <f t="shared" si="24"/>
        <v>2.5833838340603467E-4</v>
      </c>
      <c r="S105" s="3"/>
      <c r="T105" s="6">
        <v>411</v>
      </c>
      <c r="U105" s="3"/>
      <c r="V105" s="7">
        <f t="shared" si="25"/>
        <v>3.7339616806497929E-5</v>
      </c>
      <c r="W105" s="3"/>
      <c r="X105" s="6">
        <f t="shared" si="26"/>
        <v>3034.14</v>
      </c>
      <c r="Y105" s="3"/>
      <c r="Z105" s="7">
        <f t="shared" si="27"/>
        <v>7.3823357664233571</v>
      </c>
    </row>
    <row r="106" spans="1:26" s="70" customFormat="1" ht="15" hidden="1" customHeight="1" outlineLevel="2" x14ac:dyDescent="0.3">
      <c r="A106" s="21"/>
      <c r="B106" s="9" t="str">
        <f>CONCATENATE("          ","6248"," - ","UNIFORMS")</f>
        <v xml:space="preserve">          6248 - UNIFORMS</v>
      </c>
      <c r="C106" s="9"/>
      <c r="D106" s="6"/>
      <c r="E106" s="3"/>
      <c r="F106" s="7">
        <f t="shared" si="20"/>
        <v>0</v>
      </c>
      <c r="G106" s="3"/>
      <c r="H106" s="6">
        <v>582</v>
      </c>
      <c r="I106" s="3"/>
      <c r="J106" s="7">
        <f t="shared" si="21"/>
        <v>6.8813847900113505E-3</v>
      </c>
      <c r="K106" s="3"/>
      <c r="L106" s="6">
        <f t="shared" si="22"/>
        <v>-582</v>
      </c>
      <c r="M106" s="3"/>
      <c r="N106" s="7">
        <f t="shared" si="23"/>
        <v>-1</v>
      </c>
      <c r="O106" s="9"/>
      <c r="P106" s="6">
        <v>9531.84</v>
      </c>
      <c r="Q106" s="3"/>
      <c r="R106" s="7">
        <f t="shared" si="24"/>
        <v>7.1475764017862192E-4</v>
      </c>
      <c r="S106" s="3"/>
      <c r="T106" s="6">
        <v>10900</v>
      </c>
      <c r="U106" s="3"/>
      <c r="V106" s="7">
        <f t="shared" si="25"/>
        <v>9.9027207589009103E-4</v>
      </c>
      <c r="W106" s="3"/>
      <c r="X106" s="6">
        <f t="shared" si="26"/>
        <v>-1368.1599999999999</v>
      </c>
      <c r="Y106" s="3"/>
      <c r="Z106" s="7">
        <f t="shared" si="27"/>
        <v>-0.12551926605504585</v>
      </c>
    </row>
    <row r="107" spans="1:26" s="69" customFormat="1" ht="15" customHeight="1" outlineLevel="1" collapsed="1" x14ac:dyDescent="0.3">
      <c r="A107" s="20"/>
      <c r="B107" s="11" t="str">
        <f>CONCATENATE("     ","Telephone/Data Lines                              ")</f>
        <v xml:space="preserve">     Telephone/Data Lines                              </v>
      </c>
      <c r="C107" s="11"/>
      <c r="D107" s="2">
        <f>SUM(OSRRefD22_20x_0)</f>
        <v>575.35</v>
      </c>
      <c r="E107" s="2"/>
      <c r="F107" s="5">
        <f t="shared" si="20"/>
        <v>2.7301196422084137E-3</v>
      </c>
      <c r="G107" s="2"/>
      <c r="H107" s="2">
        <f>SUM(OSRRefH22_20x_0)</f>
        <v>965</v>
      </c>
      <c r="I107" s="2"/>
      <c r="J107" s="5">
        <f t="shared" si="21"/>
        <v>1.1409856223987892E-2</v>
      </c>
      <c r="K107" s="2"/>
      <c r="L107" s="2">
        <f t="shared" si="22"/>
        <v>-389.65</v>
      </c>
      <c r="M107" s="2"/>
      <c r="N107" s="5">
        <f t="shared" si="23"/>
        <v>-0.40378238341968908</v>
      </c>
      <c r="O107" s="11"/>
      <c r="P107" s="2">
        <f>SUM(OSRRefP22_20x_0)</f>
        <v>16569.59</v>
      </c>
      <c r="Q107" s="2"/>
      <c r="R107" s="5">
        <f t="shared" si="24"/>
        <v>1.2424926401541877E-3</v>
      </c>
      <c r="S107" s="2"/>
      <c r="T107" s="2">
        <f>SUM(OSRRefT22_20x_0)</f>
        <v>12136</v>
      </c>
      <c r="U107" s="2"/>
      <c r="V107" s="5">
        <f t="shared" si="25"/>
        <v>1.1025634782570776E-3</v>
      </c>
      <c r="W107" s="2"/>
      <c r="X107" s="2">
        <f t="shared" si="26"/>
        <v>4433.59</v>
      </c>
      <c r="Y107" s="2"/>
      <c r="Z107" s="5">
        <f t="shared" si="27"/>
        <v>0.36532547791694137</v>
      </c>
    </row>
    <row r="108" spans="1:26" s="70" customFormat="1" ht="15" hidden="1" customHeight="1" outlineLevel="2" x14ac:dyDescent="0.3">
      <c r="A108" s="21"/>
      <c r="B108" s="9" t="str">
        <f>CONCATENATE("          ","6303"," - ","DATA PHONE LINES")</f>
        <v xml:space="preserve">          6303 - DATA PHONE LINES</v>
      </c>
      <c r="C108" s="9"/>
      <c r="D108" s="6"/>
      <c r="E108" s="3"/>
      <c r="F108" s="7">
        <f t="shared" si="20"/>
        <v>0</v>
      </c>
      <c r="G108" s="3"/>
      <c r="H108" s="6">
        <v>197</v>
      </c>
      <c r="I108" s="3"/>
      <c r="J108" s="7">
        <f t="shared" si="21"/>
        <v>2.3292659856223989E-3</v>
      </c>
      <c r="K108" s="3"/>
      <c r="L108" s="6">
        <f t="shared" si="22"/>
        <v>-197</v>
      </c>
      <c r="M108" s="3"/>
      <c r="N108" s="7">
        <f t="shared" si="23"/>
        <v>-1</v>
      </c>
      <c r="O108" s="9"/>
      <c r="P108" s="6"/>
      <c r="Q108" s="3"/>
      <c r="R108" s="7">
        <f t="shared" si="24"/>
        <v>0</v>
      </c>
      <c r="S108" s="3"/>
      <c r="T108" s="6">
        <v>2320</v>
      </c>
      <c r="U108" s="3"/>
      <c r="V108" s="7">
        <f t="shared" si="25"/>
        <v>2.1077350606101022E-4</v>
      </c>
      <c r="W108" s="3"/>
      <c r="X108" s="6">
        <f t="shared" si="26"/>
        <v>-2320</v>
      </c>
      <c r="Y108" s="3"/>
      <c r="Z108" s="7">
        <f t="shared" si="27"/>
        <v>-1</v>
      </c>
    </row>
    <row r="109" spans="1:26" s="70" customFormat="1" ht="15" hidden="1" customHeight="1" outlineLevel="2" x14ac:dyDescent="0.3">
      <c r="A109" s="21"/>
      <c r="B109" s="9" t="str">
        <f>CONCATENATE("          ","6309"," - ","TELEPHONE")</f>
        <v xml:space="preserve">          6309 - TELEPHONE</v>
      </c>
      <c r="C109" s="9"/>
      <c r="D109" s="6">
        <v>575.35</v>
      </c>
      <c r="E109" s="3"/>
      <c r="F109" s="7">
        <f t="shared" si="20"/>
        <v>2.7301196422084137E-3</v>
      </c>
      <c r="G109" s="3"/>
      <c r="H109" s="6">
        <v>768</v>
      </c>
      <c r="I109" s="3"/>
      <c r="J109" s="7">
        <f t="shared" si="21"/>
        <v>9.0805902383654935E-3</v>
      </c>
      <c r="K109" s="3"/>
      <c r="L109" s="6">
        <f t="shared" si="22"/>
        <v>-192.64999999999998</v>
      </c>
      <c r="M109" s="3"/>
      <c r="N109" s="7">
        <f t="shared" si="23"/>
        <v>-0.25084635416666662</v>
      </c>
      <c r="O109" s="9"/>
      <c r="P109" s="6">
        <v>16569.59</v>
      </c>
      <c r="Q109" s="3"/>
      <c r="R109" s="7">
        <f t="shared" si="24"/>
        <v>1.2424926401541877E-3</v>
      </c>
      <c r="S109" s="3"/>
      <c r="T109" s="6">
        <v>9816</v>
      </c>
      <c r="U109" s="3"/>
      <c r="V109" s="7">
        <f t="shared" si="25"/>
        <v>8.9178997219606729E-4</v>
      </c>
      <c r="W109" s="3"/>
      <c r="X109" s="6">
        <f t="shared" si="26"/>
        <v>6753.59</v>
      </c>
      <c r="Y109" s="3"/>
      <c r="Z109" s="7">
        <f t="shared" si="27"/>
        <v>0.68801854115729422</v>
      </c>
    </row>
    <row r="110" spans="1:26" s="69" customFormat="1" ht="15" customHeight="1" outlineLevel="1" collapsed="1" x14ac:dyDescent="0.3">
      <c r="A110" s="20"/>
      <c r="B110" s="11" t="str">
        <f>CONCATENATE("     ","Training                                          ")</f>
        <v xml:space="preserve">     Training                                          </v>
      </c>
      <c r="C110" s="11"/>
      <c r="D110" s="2">
        <f>SUM(OSRRefD22_21x_0)</f>
        <v>916.56</v>
      </c>
      <c r="E110" s="2"/>
      <c r="F110" s="5">
        <f t="shared" si="20"/>
        <v>4.3492108442905074E-3</v>
      </c>
      <c r="G110" s="2"/>
      <c r="H110" s="2">
        <f>SUM(OSRRefH22_21x_0)</f>
        <v>1615</v>
      </c>
      <c r="I110" s="2"/>
      <c r="J110" s="5">
        <f t="shared" si="21"/>
        <v>1.909525160802119E-2</v>
      </c>
      <c r="K110" s="2"/>
      <c r="L110" s="2">
        <f t="shared" si="22"/>
        <v>-698.44</v>
      </c>
      <c r="M110" s="2"/>
      <c r="N110" s="5">
        <f t="shared" si="23"/>
        <v>-0.43247058823529416</v>
      </c>
      <c r="O110" s="11"/>
      <c r="P110" s="2">
        <f>SUM(OSRRefP22_21x_0)</f>
        <v>18247.86</v>
      </c>
      <c r="Q110" s="2"/>
      <c r="R110" s="5">
        <f t="shared" si="24"/>
        <v>1.3683399377150548E-3</v>
      </c>
      <c r="S110" s="2"/>
      <c r="T110" s="2">
        <f>SUM(OSRRefT22_21x_0)</f>
        <v>14760</v>
      </c>
      <c r="U110" s="2"/>
      <c r="V110" s="5">
        <f t="shared" si="25"/>
        <v>1.3409555816640132E-3</v>
      </c>
      <c r="W110" s="2"/>
      <c r="X110" s="2">
        <f t="shared" si="26"/>
        <v>3487.8600000000006</v>
      </c>
      <c r="Y110" s="2"/>
      <c r="Z110" s="5">
        <f t="shared" si="27"/>
        <v>0.23630487804878053</v>
      </c>
    </row>
    <row r="111" spans="1:26" s="70" customFormat="1" ht="15" hidden="1" customHeight="1" outlineLevel="2" x14ac:dyDescent="0.3">
      <c r="A111" s="21"/>
      <c r="B111" s="9" t="str">
        <f>CONCATENATE("          ","6376"," - ","TRAINING")</f>
        <v xml:space="preserve">          6376 - TRAINING</v>
      </c>
      <c r="C111" s="9"/>
      <c r="D111" s="6">
        <v>916.56</v>
      </c>
      <c r="E111" s="3"/>
      <c r="F111" s="7">
        <f t="shared" si="20"/>
        <v>4.3492108442905074E-3</v>
      </c>
      <c r="G111" s="3"/>
      <c r="H111" s="6">
        <v>1615</v>
      </c>
      <c r="I111" s="3"/>
      <c r="J111" s="7">
        <f t="shared" si="21"/>
        <v>1.909525160802119E-2</v>
      </c>
      <c r="K111" s="3"/>
      <c r="L111" s="6">
        <f t="shared" si="22"/>
        <v>-698.44</v>
      </c>
      <c r="M111" s="3"/>
      <c r="N111" s="7">
        <f t="shared" si="23"/>
        <v>-0.43247058823529416</v>
      </c>
      <c r="O111" s="9"/>
      <c r="P111" s="6">
        <v>18247.86</v>
      </c>
      <c r="Q111" s="3"/>
      <c r="R111" s="7">
        <f t="shared" si="24"/>
        <v>1.3683399377150548E-3</v>
      </c>
      <c r="S111" s="3"/>
      <c r="T111" s="6">
        <v>14760</v>
      </c>
      <c r="U111" s="3"/>
      <c r="V111" s="7">
        <f t="shared" si="25"/>
        <v>1.3409555816640132E-3</v>
      </c>
      <c r="W111" s="3"/>
      <c r="X111" s="6">
        <f t="shared" si="26"/>
        <v>3487.8600000000006</v>
      </c>
      <c r="Y111" s="3"/>
      <c r="Z111" s="7">
        <f t="shared" si="27"/>
        <v>0.23630487804878053</v>
      </c>
    </row>
    <row r="112" spans="1:26" s="69" customFormat="1" ht="15" customHeight="1" outlineLevel="1" collapsed="1" x14ac:dyDescent="0.3">
      <c r="A112" s="20"/>
      <c r="B112" s="11" t="str">
        <f>CONCATENATE("     ","Travel                                            ")</f>
        <v xml:space="preserve">     Travel                                            </v>
      </c>
      <c r="C112" s="11"/>
      <c r="D112" s="2">
        <f>SUM(OSRRefD22_22x_0)</f>
        <v>0</v>
      </c>
      <c r="E112" s="2"/>
      <c r="F112" s="5">
        <f t="shared" si="20"/>
        <v>0</v>
      </c>
      <c r="G112" s="2"/>
      <c r="H112" s="2">
        <f>SUM(OSRRefH22_22x_0)</f>
        <v>0</v>
      </c>
      <c r="I112" s="2"/>
      <c r="J112" s="5">
        <f t="shared" si="21"/>
        <v>0</v>
      </c>
      <c r="K112" s="2"/>
      <c r="L112" s="2">
        <f t="shared" si="22"/>
        <v>0</v>
      </c>
      <c r="M112" s="2"/>
      <c r="N112" s="5">
        <f t="shared" si="23"/>
        <v>0</v>
      </c>
      <c r="O112" s="11"/>
      <c r="P112" s="2">
        <f>SUM(OSRRefP22_22x_0)</f>
        <v>1111.6500000000001</v>
      </c>
      <c r="Q112" s="2"/>
      <c r="R112" s="5">
        <f t="shared" si="24"/>
        <v>8.3358546797319836E-5</v>
      </c>
      <c r="S112" s="2"/>
      <c r="T112" s="2">
        <f>SUM(OSRRefT22_22x_0)</f>
        <v>1200</v>
      </c>
      <c r="U112" s="2"/>
      <c r="V112" s="5">
        <f t="shared" si="25"/>
        <v>1.0902077899707424E-4</v>
      </c>
      <c r="W112" s="2"/>
      <c r="X112" s="2">
        <f t="shared" si="26"/>
        <v>-88.349999999999909</v>
      </c>
      <c r="Y112" s="2"/>
      <c r="Z112" s="5">
        <f t="shared" si="27"/>
        <v>-7.3624999999999927E-2</v>
      </c>
    </row>
    <row r="113" spans="1:26" s="70" customFormat="1" ht="15" hidden="1" customHeight="1" outlineLevel="2" x14ac:dyDescent="0.3">
      <c r="A113" s="21"/>
      <c r="B113" s="9" t="str">
        <f>CONCATENATE("          ","6292"," - ","TRAVEL/CONFERENCE")</f>
        <v xml:space="preserve">          6292 - TRAVEL/CONFERENCE</v>
      </c>
      <c r="C113" s="9"/>
      <c r="D113" s="6"/>
      <c r="E113" s="3"/>
      <c r="F113" s="7">
        <f t="shared" si="20"/>
        <v>0</v>
      </c>
      <c r="G113" s="3"/>
      <c r="H113" s="6"/>
      <c r="I113" s="3"/>
      <c r="J113" s="7">
        <f t="shared" si="21"/>
        <v>0</v>
      </c>
      <c r="K113" s="3"/>
      <c r="L113" s="6">
        <f t="shared" si="22"/>
        <v>0</v>
      </c>
      <c r="M113" s="3"/>
      <c r="N113" s="7">
        <f t="shared" si="23"/>
        <v>0</v>
      </c>
      <c r="O113" s="9"/>
      <c r="P113" s="6">
        <v>628.59</v>
      </c>
      <c r="Q113" s="3"/>
      <c r="R113" s="7">
        <f t="shared" si="24"/>
        <v>4.7135653246370058E-5</v>
      </c>
      <c r="S113" s="3"/>
      <c r="T113" s="6">
        <v>1200</v>
      </c>
      <c r="U113" s="3"/>
      <c r="V113" s="7">
        <f t="shared" si="25"/>
        <v>1.0902077899707424E-4</v>
      </c>
      <c r="W113" s="3"/>
      <c r="X113" s="6">
        <f t="shared" si="26"/>
        <v>-571.41</v>
      </c>
      <c r="Y113" s="3"/>
      <c r="Z113" s="7">
        <f t="shared" si="27"/>
        <v>-0.47617499999999996</v>
      </c>
    </row>
    <row r="114" spans="1:26" s="70" customFormat="1" ht="15" hidden="1" customHeight="1" outlineLevel="2" x14ac:dyDescent="0.3">
      <c r="A114" s="21"/>
      <c r="B114" s="9" t="str">
        <f>CONCATENATE("          ","6298"," - ","VEHICLE MILEAGE")</f>
        <v xml:space="preserve">          6298 - VEHICLE MILEAGE</v>
      </c>
      <c r="C114" s="9"/>
      <c r="D114" s="6"/>
      <c r="E114" s="3"/>
      <c r="F114" s="7">
        <f t="shared" si="20"/>
        <v>0</v>
      </c>
      <c r="G114" s="3"/>
      <c r="H114" s="6"/>
      <c r="I114" s="3"/>
      <c r="J114" s="7">
        <f t="shared" si="21"/>
        <v>0</v>
      </c>
      <c r="K114" s="3"/>
      <c r="L114" s="6">
        <f t="shared" si="22"/>
        <v>0</v>
      </c>
      <c r="M114" s="3"/>
      <c r="N114" s="7">
        <f t="shared" si="23"/>
        <v>0</v>
      </c>
      <c r="O114" s="9"/>
      <c r="P114" s="6">
        <v>483.06</v>
      </c>
      <c r="Q114" s="3"/>
      <c r="R114" s="7">
        <f t="shared" si="24"/>
        <v>3.6222893550949778E-5</v>
      </c>
      <c r="S114" s="3"/>
      <c r="T114" s="6"/>
      <c r="U114" s="3"/>
      <c r="V114" s="7">
        <f t="shared" si="25"/>
        <v>0</v>
      </c>
      <c r="W114" s="3"/>
      <c r="X114" s="6">
        <f t="shared" si="26"/>
        <v>483.06</v>
      </c>
      <c r="Y114" s="3"/>
      <c r="Z114" s="7">
        <f t="shared" si="27"/>
        <v>0</v>
      </c>
    </row>
    <row r="115" spans="1:26" s="69" customFormat="1" ht="15" customHeight="1" outlineLevel="1" collapsed="1" x14ac:dyDescent="0.3">
      <c r="A115" s="20"/>
      <c r="B115" s="11" t="str">
        <f>CONCATENATE("     ","Utilities                                         ")</f>
        <v xml:space="preserve">     Utilities                                         </v>
      </c>
      <c r="C115" s="11"/>
      <c r="D115" s="2">
        <f>SUM(OSRRefD22_23x_0)</f>
        <v>13976.85</v>
      </c>
      <c r="E115" s="2"/>
      <c r="F115" s="5">
        <f t="shared" si="20"/>
        <v>6.6322191224820831E-2</v>
      </c>
      <c r="G115" s="2"/>
      <c r="H115" s="2">
        <f>SUM(OSRRefH22_23x_0)</f>
        <v>8663</v>
      </c>
      <c r="I115" s="2"/>
      <c r="J115" s="5">
        <f t="shared" si="21"/>
        <v>0.10242858494135453</v>
      </c>
      <c r="K115" s="2"/>
      <c r="L115" s="2">
        <f t="shared" si="22"/>
        <v>5313.85</v>
      </c>
      <c r="M115" s="2"/>
      <c r="N115" s="5">
        <f t="shared" si="23"/>
        <v>0.61339605217592064</v>
      </c>
      <c r="O115" s="11"/>
      <c r="P115" s="2">
        <f>SUM(OSRRefP22_23x_0)</f>
        <v>122238.53</v>
      </c>
      <c r="Q115" s="2"/>
      <c r="R115" s="5">
        <f t="shared" si="24"/>
        <v>9.1662179853736186E-3</v>
      </c>
      <c r="S115" s="2"/>
      <c r="T115" s="2">
        <f>SUM(OSRRefT22_23x_0)</f>
        <v>104000</v>
      </c>
      <c r="U115" s="2"/>
      <c r="V115" s="5">
        <f t="shared" si="25"/>
        <v>9.4484675130797682E-3</v>
      </c>
      <c r="W115" s="2"/>
      <c r="X115" s="2">
        <f t="shared" si="26"/>
        <v>18238.53</v>
      </c>
      <c r="Y115" s="2"/>
      <c r="Z115" s="5">
        <f t="shared" si="27"/>
        <v>0.17537048076923076</v>
      </c>
    </row>
    <row r="116" spans="1:26" s="70" customFormat="1" ht="15" hidden="1" customHeight="1" outlineLevel="2" x14ac:dyDescent="0.3">
      <c r="A116" s="21"/>
      <c r="B116" s="9" t="str">
        <f>CONCATENATE("          ","6274"," - ","UTILITIES")</f>
        <v xml:space="preserve">          6274 - UTILITIES</v>
      </c>
      <c r="C116" s="9"/>
      <c r="D116" s="6">
        <v>13976.85</v>
      </c>
      <c r="E116" s="3"/>
      <c r="F116" s="7">
        <f t="shared" si="20"/>
        <v>6.6322191224820831E-2</v>
      </c>
      <c r="G116" s="3"/>
      <c r="H116" s="6">
        <v>8663</v>
      </c>
      <c r="I116" s="3"/>
      <c r="J116" s="7">
        <f t="shared" si="21"/>
        <v>0.10242858494135453</v>
      </c>
      <c r="K116" s="3"/>
      <c r="L116" s="6">
        <f t="shared" si="22"/>
        <v>5313.85</v>
      </c>
      <c r="M116" s="3"/>
      <c r="N116" s="7">
        <f t="shared" si="23"/>
        <v>0.61339605217592064</v>
      </c>
      <c r="O116" s="9"/>
      <c r="P116" s="6">
        <v>122238.53</v>
      </c>
      <c r="Q116" s="3"/>
      <c r="R116" s="7">
        <f t="shared" si="24"/>
        <v>9.1662179853736186E-3</v>
      </c>
      <c r="S116" s="3"/>
      <c r="T116" s="6">
        <v>104000</v>
      </c>
      <c r="U116" s="3"/>
      <c r="V116" s="7">
        <f t="shared" si="25"/>
        <v>9.4484675130797682E-3</v>
      </c>
      <c r="W116" s="3"/>
      <c r="X116" s="6">
        <f t="shared" si="26"/>
        <v>18238.53</v>
      </c>
      <c r="Y116" s="3"/>
      <c r="Z116" s="7">
        <f t="shared" si="27"/>
        <v>0.17537048076923076</v>
      </c>
    </row>
    <row r="117" spans="1:26" s="65" customFormat="1" ht="15" customHeight="1" x14ac:dyDescent="0.3">
      <c r="A117" s="36"/>
      <c r="B117" s="36"/>
      <c r="C117" s="36"/>
      <c r="D117" s="2"/>
      <c r="E117" s="2"/>
      <c r="F117" s="5"/>
      <c r="G117" s="2"/>
      <c r="H117" s="2"/>
      <c r="I117" s="2"/>
      <c r="J117" s="5"/>
      <c r="K117" s="2"/>
      <c r="L117" s="2"/>
      <c r="M117" s="2"/>
      <c r="N117" s="5"/>
      <c r="O117" s="36"/>
      <c r="P117" s="2"/>
      <c r="Q117" s="2"/>
      <c r="R117" s="5"/>
      <c r="S117" s="2"/>
      <c r="T117" s="2"/>
      <c r="U117" s="2"/>
      <c r="V117" s="5"/>
      <c r="W117" s="2"/>
      <c r="X117" s="2"/>
      <c r="Y117" s="2"/>
      <c r="Z117" s="5"/>
    </row>
    <row r="118" spans="1:26" s="63" customFormat="1" ht="15" customHeight="1" collapsed="1" x14ac:dyDescent="0.3">
      <c r="A118" s="13"/>
      <c r="B118" s="28" t="s">
        <v>291</v>
      </c>
      <c r="C118" s="13"/>
      <c r="D118" s="8">
        <f>SUM(OSRRefD25x_0)</f>
        <v>20761.61</v>
      </c>
      <c r="E118" s="8"/>
      <c r="F118" s="14">
        <f>IF(D$12=0,0,D118/D$12)</f>
        <v>9.8516866715687199E-2</v>
      </c>
      <c r="G118" s="8"/>
      <c r="H118" s="8">
        <f>SUM(OSRRefH25x_0)</f>
        <v>12000</v>
      </c>
      <c r="I118" s="8"/>
      <c r="J118" s="14">
        <f>IF(H$12=0,0,H118/H$12)</f>
        <v>0.14188422247446084</v>
      </c>
      <c r="K118" s="8"/>
      <c r="L118" s="8">
        <f>+D118-H118</f>
        <v>8761.61</v>
      </c>
      <c r="M118" s="8"/>
      <c r="N118" s="14">
        <f>IF(H118=0,0,L118/H118)</f>
        <v>0.73013416666666675</v>
      </c>
      <c r="O118" s="13"/>
      <c r="P118" s="8">
        <f>SUM(OSRRefP25x_0)</f>
        <v>228646.99</v>
      </c>
      <c r="Q118" s="8"/>
      <c r="R118" s="14">
        <f>IF(P$12=0,0,P118/P$12)</f>
        <v>1.7145397216733072E-2</v>
      </c>
      <c r="S118" s="8"/>
      <c r="T118" s="8">
        <f>SUM(OSRRefT25x_0)</f>
        <v>175853.02000000002</v>
      </c>
      <c r="U118" s="8"/>
      <c r="V118" s="14">
        <f>IF(T$12=0,0,T118/T$12)</f>
        <v>1.5976361024490068E-2</v>
      </c>
      <c r="W118" s="8"/>
      <c r="X118" s="8">
        <f>+P118-T118</f>
        <v>52793.969999999972</v>
      </c>
      <c r="Y118" s="8"/>
      <c r="Z118" s="14">
        <f>IF(T118=0,0,X118/T118)</f>
        <v>0.30021645349053411</v>
      </c>
    </row>
    <row r="119" spans="1:26" s="70" customFormat="1" ht="15" hidden="1" customHeight="1" outlineLevel="1" x14ac:dyDescent="0.3">
      <c r="A119" s="48"/>
      <c r="B119" s="9" t="str">
        <f>CONCATENATE("          ","9150"," - ","MISC. INCOME")</f>
        <v xml:space="preserve">          9150 - MISC. INCOME</v>
      </c>
      <c r="C119" s="9"/>
      <c r="D119" s="3">
        <f>--20761.61</f>
        <v>20761.61</v>
      </c>
      <c r="E119" s="3"/>
      <c r="F119" s="26">
        <f>IF(D$12=0,0,D119/D$12)</f>
        <v>9.8516866715687199E-2</v>
      </c>
      <c r="G119" s="3"/>
      <c r="H119" s="3"/>
      <c r="I119" s="3"/>
      <c r="J119" s="26">
        <f>IF(H$12=0,0,H119/H$12)</f>
        <v>0</v>
      </c>
      <c r="K119" s="3"/>
      <c r="L119" s="3">
        <f>+D119-H119</f>
        <v>20761.61</v>
      </c>
      <c r="M119" s="3"/>
      <c r="N119" s="26">
        <f>IF(H119=0,0,L119/H119)</f>
        <v>0</v>
      </c>
      <c r="O119" s="9"/>
      <c r="P119" s="3">
        <f>--228646.99</f>
        <v>228646.99</v>
      </c>
      <c r="Q119" s="3"/>
      <c r="R119" s="26">
        <f>IF(P$12=0,0,P119/P$12)</f>
        <v>1.7145397216733072E-2</v>
      </c>
      <c r="S119" s="3"/>
      <c r="T119" s="3">
        <v>1000</v>
      </c>
      <c r="U119" s="3"/>
      <c r="V119" s="26">
        <f>IF(T$12=0,0,T119/T$12)</f>
        <v>9.0850649164228543E-5</v>
      </c>
      <c r="W119" s="3"/>
      <c r="X119" s="3">
        <f>+P119-T119</f>
        <v>227646.99</v>
      </c>
      <c r="Y119" s="3"/>
      <c r="Z119" s="26">
        <f>IF(T119=0,0,X119/T119)</f>
        <v>227.64698999999999</v>
      </c>
    </row>
    <row r="120" spans="1:26" s="70" customFormat="1" ht="15" hidden="1" customHeight="1" outlineLevel="1" x14ac:dyDescent="0.3">
      <c r="A120" s="48"/>
      <c r="B120" s="9" t="str">
        <f>CONCATENATE("          ","9151"," - ","MISC. INCOME")</f>
        <v xml:space="preserve">          9151 - MISC. INCOME</v>
      </c>
      <c r="C120" s="9"/>
      <c r="D120" s="3">
        <f>0</f>
        <v>0</v>
      </c>
      <c r="E120" s="3"/>
      <c r="F120" s="26">
        <f>IF(D$12=0,0,D120/D$12)</f>
        <v>0</v>
      </c>
      <c r="G120" s="3"/>
      <c r="H120" s="3">
        <v>12000</v>
      </c>
      <c r="I120" s="3"/>
      <c r="J120" s="26">
        <f>IF(H$12=0,0,H120/H$12)</f>
        <v>0.14188422247446084</v>
      </c>
      <c r="K120" s="3"/>
      <c r="L120" s="3">
        <f>+D120-H120</f>
        <v>-12000</v>
      </c>
      <c r="M120" s="3"/>
      <c r="N120" s="26">
        <f>IF(H120=0,0,L120/H120)</f>
        <v>-1</v>
      </c>
      <c r="O120" s="9"/>
      <c r="P120" s="3">
        <f>0</f>
        <v>0</v>
      </c>
      <c r="Q120" s="3"/>
      <c r="R120" s="26">
        <f>IF(P$12=0,0,P120/P$12)</f>
        <v>0</v>
      </c>
      <c r="S120" s="3"/>
      <c r="T120" s="3">
        <v>83840.89</v>
      </c>
      <c r="U120" s="3"/>
      <c r="V120" s="26">
        <f>IF(T$12=0,0,T120/T$12)</f>
        <v>7.6169992830066764E-3</v>
      </c>
      <c r="W120" s="3"/>
      <c r="X120" s="3">
        <f>+P120-T120</f>
        <v>-83840.89</v>
      </c>
      <c r="Y120" s="3"/>
      <c r="Z120" s="26">
        <f>IF(T120=0,0,X120/T120)</f>
        <v>-1</v>
      </c>
    </row>
    <row r="121" spans="1:26" s="70" customFormat="1" ht="15" hidden="1" customHeight="1" outlineLevel="1" x14ac:dyDescent="0.3">
      <c r="A121" s="48"/>
      <c r="B121" s="9" t="str">
        <f>CONCATENATE("          ","9160"," - ","MISC. INCOME")</f>
        <v xml:space="preserve">          9160 - MISC. INCOME</v>
      </c>
      <c r="C121" s="9"/>
      <c r="D121" s="3">
        <f>0</f>
        <v>0</v>
      </c>
      <c r="E121" s="3"/>
      <c r="F121" s="26">
        <f>IF(D$12=0,0,D121/D$12)</f>
        <v>0</v>
      </c>
      <c r="G121" s="3"/>
      <c r="H121" s="3"/>
      <c r="I121" s="3"/>
      <c r="J121" s="26">
        <f>IF(H$12=0,0,H121/H$12)</f>
        <v>0</v>
      </c>
      <c r="K121" s="3"/>
      <c r="L121" s="3">
        <f>+D121-H121</f>
        <v>0</v>
      </c>
      <c r="M121" s="3"/>
      <c r="N121" s="26">
        <f>IF(H121=0,0,L121/H121)</f>
        <v>0</v>
      </c>
      <c r="O121" s="9"/>
      <c r="P121" s="3">
        <f>0</f>
        <v>0</v>
      </c>
      <c r="Q121" s="3"/>
      <c r="R121" s="26">
        <f>IF(P$12=0,0,P121/P$12)</f>
        <v>0</v>
      </c>
      <c r="S121" s="3"/>
      <c r="T121" s="3">
        <v>91012.13</v>
      </c>
      <c r="U121" s="3"/>
      <c r="V121" s="26">
        <f>IF(T$12=0,0,T121/T$12)</f>
        <v>8.2685110923191602E-3</v>
      </c>
      <c r="W121" s="3"/>
      <c r="X121" s="3">
        <f>+P121-T121</f>
        <v>-91012.13</v>
      </c>
      <c r="Y121" s="3"/>
      <c r="Z121" s="26">
        <f>IF(T121=0,0,X121/T121)</f>
        <v>-1</v>
      </c>
    </row>
    <row r="122" spans="1:26" s="70" customFormat="1" ht="15" hidden="1" customHeight="1" outlineLevel="1" x14ac:dyDescent="0.3">
      <c r="A122" s="48"/>
      <c r="B122" s="9" t="str">
        <f>CONCATENATE("          ","9165"," - ","OTHER INCOME")</f>
        <v xml:space="preserve">          9165 - OTHER INCOME</v>
      </c>
      <c r="C122" s="9"/>
      <c r="D122" s="3">
        <f>0</f>
        <v>0</v>
      </c>
      <c r="E122" s="3"/>
      <c r="F122" s="26">
        <f>IF(D$12=0,0,D122/D$12)</f>
        <v>0</v>
      </c>
      <c r="G122" s="3"/>
      <c r="H122" s="3"/>
      <c r="I122" s="3"/>
      <c r="J122" s="26">
        <f>IF(H$12=0,0,H122/H$12)</f>
        <v>0</v>
      </c>
      <c r="K122" s="3"/>
      <c r="L122" s="3">
        <f>+D122-H122</f>
        <v>0</v>
      </c>
      <c r="M122" s="3"/>
      <c r="N122" s="26">
        <f>IF(H122=0,0,L122/H122)</f>
        <v>0</v>
      </c>
      <c r="O122" s="9"/>
      <c r="P122" s="3">
        <f>0</f>
        <v>0</v>
      </c>
      <c r="Q122" s="3"/>
      <c r="R122" s="26">
        <f>IF(P$12=0,0,P122/P$12)</f>
        <v>0</v>
      </c>
      <c r="S122" s="3"/>
      <c r="T122" s="3"/>
      <c r="U122" s="3"/>
      <c r="V122" s="26">
        <f>IF(T$12=0,0,T122/T$12)</f>
        <v>0</v>
      </c>
      <c r="W122" s="3"/>
      <c r="X122" s="3">
        <f>+P122-T122</f>
        <v>0</v>
      </c>
      <c r="Y122" s="3"/>
      <c r="Z122" s="26">
        <f>IF(T122=0,0,X122/T122)</f>
        <v>0</v>
      </c>
    </row>
    <row r="123" spans="1:26" ht="15" customHeight="1" x14ac:dyDescent="0.3">
      <c r="A123" s="12"/>
      <c r="B123" s="13"/>
      <c r="C123" s="13"/>
      <c r="D123" s="4"/>
      <c r="E123" s="4"/>
      <c r="F123" s="10"/>
      <c r="G123" s="4"/>
      <c r="H123" s="4"/>
      <c r="I123" s="4"/>
      <c r="J123" s="10"/>
      <c r="K123" s="4"/>
      <c r="L123" s="4"/>
      <c r="M123" s="4"/>
      <c r="N123" s="10"/>
      <c r="O123" s="13"/>
      <c r="P123" s="4"/>
      <c r="Q123" s="4"/>
      <c r="R123" s="10"/>
      <c r="S123" s="4"/>
      <c r="T123" s="4"/>
      <c r="U123" s="4"/>
      <c r="V123" s="10"/>
      <c r="W123" s="4"/>
      <c r="X123" s="4"/>
      <c r="Y123" s="4"/>
      <c r="Z123" s="10"/>
    </row>
    <row r="124" spans="1:26" s="63" customFormat="1" ht="15" customHeight="1" x14ac:dyDescent="0.3">
      <c r="A124" s="13"/>
      <c r="B124" s="27" t="s">
        <v>292</v>
      </c>
      <c r="C124" s="27"/>
      <c r="D124" s="23">
        <f>+D27-D29+D118</f>
        <v>-244918.85000000009</v>
      </c>
      <c r="E124" s="15"/>
      <c r="F124" s="22">
        <f>IF(D$12=0,0,D124/D$12)</f>
        <v>-1.162175655048399</v>
      </c>
      <c r="G124" s="15"/>
      <c r="H124" s="23">
        <f>+H27-H29+H118</f>
        <v>-371608.70111112978</v>
      </c>
      <c r="I124" s="15"/>
      <c r="J124" s="22">
        <f>IF(H$12=0,0,H124/H$12)</f>
        <v>-4.3937843018247467</v>
      </c>
      <c r="K124" s="17"/>
      <c r="L124" s="23">
        <f>+D124-H124</f>
        <v>126689.85111112968</v>
      </c>
      <c r="M124" s="17"/>
      <c r="N124" s="22">
        <f>IF(H124=0,0,L124/H124)</f>
        <v>-0.34092272525460326</v>
      </c>
      <c r="O124" s="28"/>
      <c r="P124" s="23">
        <f>+P27-P29+P118</f>
        <v>2479517.9500000011</v>
      </c>
      <c r="Q124" s="15"/>
      <c r="R124" s="22">
        <f>IF(P$12=0,0,P124/P$12)</f>
        <v>0.18592993574404681</v>
      </c>
      <c r="S124" s="15"/>
      <c r="T124" s="23">
        <f>+T27-T29+T118</f>
        <v>-199626.97729497636</v>
      </c>
      <c r="U124" s="15"/>
      <c r="V124" s="22">
        <f>IF(T$12=0,0,T124/T$12)</f>
        <v>-1.8136240477941313E-2</v>
      </c>
      <c r="W124" s="17"/>
      <c r="X124" s="23">
        <f>+P124-T124</f>
        <v>2679144.9272949775</v>
      </c>
      <c r="Y124" s="17"/>
      <c r="Z124" s="22">
        <f>IF(T124=0,0,X124/T124)</f>
        <v>-13.420755869764896</v>
      </c>
    </row>
    <row r="125" spans="1:26" ht="15" customHeight="1" x14ac:dyDescent="0.3">
      <c r="A125" s="12"/>
      <c r="B125" s="13"/>
      <c r="C125" s="12"/>
      <c r="D125" s="4"/>
      <c r="E125" s="4"/>
      <c r="F125" s="10"/>
      <c r="G125" s="4"/>
      <c r="H125" s="4"/>
      <c r="I125" s="4"/>
      <c r="J125" s="10"/>
      <c r="K125" s="4"/>
      <c r="L125" s="4"/>
      <c r="M125" s="4"/>
      <c r="N125" s="10"/>
      <c r="P125" s="4"/>
      <c r="Q125" s="4"/>
      <c r="R125" s="10"/>
      <c r="S125" s="4"/>
      <c r="T125" s="4"/>
      <c r="U125" s="4"/>
      <c r="V125" s="10"/>
      <c r="W125" s="4"/>
      <c r="X125" s="4"/>
      <c r="Y125" s="4"/>
      <c r="Z125" s="10"/>
    </row>
    <row r="126" spans="1:26" s="63" customFormat="1" ht="15" customHeight="1" x14ac:dyDescent="0.3">
      <c r="A126" s="49"/>
      <c r="B126" s="13" t="s">
        <v>293</v>
      </c>
      <c r="C126" s="13"/>
      <c r="D126" s="8">
        <v>-3013048.78</v>
      </c>
      <c r="E126" s="8"/>
      <c r="F126" s="14">
        <f>IF(D$12=0,0,D126/D$12)</f>
        <v>-14.297355795967841</v>
      </c>
      <c r="G126" s="8"/>
      <c r="H126" s="8">
        <v>-105840</v>
      </c>
      <c r="I126" s="8"/>
      <c r="J126" s="14">
        <f>IF(H$12=0,0,H126/H$12)</f>
        <v>-1.2514188422247445</v>
      </c>
      <c r="K126" s="8"/>
      <c r="L126" s="8">
        <f>+D126-H126</f>
        <v>-2907208.78</v>
      </c>
      <c r="M126" s="8"/>
      <c r="N126" s="14">
        <f>IF(H126=0,0,L126/H126)</f>
        <v>27.467958994708994</v>
      </c>
      <c r="O126" s="13"/>
      <c r="P126" s="8">
        <v>-1537463.37</v>
      </c>
      <c r="Q126" s="8"/>
      <c r="R126" s="14">
        <f>IF(P$12=0,0,P126/P$12)</f>
        <v>-0.11528872601746058</v>
      </c>
      <c r="S126" s="8"/>
      <c r="T126" s="8">
        <v>1248136</v>
      </c>
      <c r="U126" s="8"/>
      <c r="V126" s="14">
        <f>IF(T$12=0,0,T126/T$12)</f>
        <v>0.11339396584524356</v>
      </c>
      <c r="W126" s="8"/>
      <c r="X126" s="8">
        <f>+P126-T126</f>
        <v>-2785599.37</v>
      </c>
      <c r="Y126" s="8"/>
      <c r="Z126" s="14">
        <f>IF(T126=0,0,X126/T126)</f>
        <v>-2.2318075674445734</v>
      </c>
    </row>
    <row r="127" spans="1:26" ht="15" customHeight="1" x14ac:dyDescent="0.3">
      <c r="A127" s="12"/>
      <c r="B127" s="13"/>
      <c r="C127" s="13"/>
      <c r="D127" s="4"/>
      <c r="E127" s="4"/>
      <c r="F127" s="10"/>
      <c r="G127" s="4"/>
      <c r="H127" s="4"/>
      <c r="I127" s="4"/>
      <c r="J127" s="10"/>
      <c r="K127" s="4"/>
      <c r="L127" s="4"/>
      <c r="M127" s="4"/>
      <c r="N127" s="10"/>
      <c r="O127" s="13"/>
      <c r="P127" s="4"/>
      <c r="Q127" s="4"/>
      <c r="R127" s="10"/>
      <c r="S127" s="4"/>
      <c r="T127" s="4"/>
      <c r="U127" s="4"/>
      <c r="V127" s="10"/>
      <c r="W127" s="4"/>
      <c r="X127" s="4"/>
      <c r="Y127" s="4"/>
      <c r="Z127" s="10"/>
    </row>
    <row r="128" spans="1:26" s="63" customFormat="1" ht="15" customHeight="1" x14ac:dyDescent="0.3">
      <c r="A128" s="13"/>
      <c r="B128" s="27" t="s">
        <v>294</v>
      </c>
      <c r="C128" s="27"/>
      <c r="D128" s="30">
        <f>+D124-D126</f>
        <v>2768129.9299999997</v>
      </c>
      <c r="E128" s="15"/>
      <c r="F128" s="35">
        <f>IF(D$12=0,0,D128/D$12)</f>
        <v>13.135180140919442</v>
      </c>
      <c r="G128" s="15"/>
      <c r="H128" s="30">
        <f>+H124-H126</f>
        <v>-265768.70111112978</v>
      </c>
      <c r="I128" s="15"/>
      <c r="J128" s="35">
        <f>IF(H$12=0,0,H128/H$12)</f>
        <v>-3.1423654596000019</v>
      </c>
      <c r="K128" s="17"/>
      <c r="L128" s="30">
        <f>D128-H128</f>
        <v>3033898.6311111297</v>
      </c>
      <c r="M128" s="17"/>
      <c r="N128" s="35">
        <f>IF(H128=0,0,L128/H128)</f>
        <v>-11.415560291437481</v>
      </c>
      <c r="O128" s="28"/>
      <c r="P128" s="30">
        <f>+P124-P126</f>
        <v>4016981.3200000012</v>
      </c>
      <c r="Q128" s="15"/>
      <c r="R128" s="35">
        <f>IF(P$12=0,0,P128/P$12)</f>
        <v>0.30121866176150741</v>
      </c>
      <c r="S128" s="15"/>
      <c r="T128" s="30">
        <f>+T124-T126</f>
        <v>-1447762.9772949764</v>
      </c>
      <c r="U128" s="15"/>
      <c r="V128" s="35">
        <f>IF(T$12=0,0,T128/T$12)</f>
        <v>-0.13153020632318485</v>
      </c>
      <c r="W128" s="17"/>
      <c r="X128" s="30">
        <f>P128-T128</f>
        <v>5464744.2972949781</v>
      </c>
      <c r="Y128" s="17"/>
      <c r="Z128" s="35">
        <f>IF(T128=0,0,X128/T128)</f>
        <v>-3.7746125456981874</v>
      </c>
    </row>
    <row r="129" spans="1:26" ht="15" customHeight="1" x14ac:dyDescent="0.3">
      <c r="A129" s="12"/>
      <c r="B129" s="12"/>
      <c r="C129" s="12"/>
      <c r="D129" s="4"/>
      <c r="E129" s="4"/>
      <c r="F129" s="10"/>
      <c r="G129" s="4"/>
      <c r="H129" s="4"/>
      <c r="I129" s="4"/>
      <c r="J129" s="10"/>
      <c r="K129" s="4"/>
      <c r="L129" s="4"/>
      <c r="M129" s="4"/>
      <c r="N129" s="10"/>
      <c r="P129" s="4"/>
      <c r="Q129" s="4"/>
      <c r="R129" s="10"/>
      <c r="S129" s="4"/>
      <c r="T129" s="4"/>
      <c r="U129" s="4"/>
      <c r="V129" s="10"/>
      <c r="W129" s="4"/>
      <c r="X129" s="4"/>
      <c r="Y129" s="4"/>
      <c r="Z129" s="10"/>
    </row>
    <row r="130" spans="1:26" ht="15" customHeight="1" x14ac:dyDescent="0.3">
      <c r="A130" s="12"/>
      <c r="B130" s="12"/>
      <c r="C130" s="12"/>
      <c r="D130" s="4"/>
      <c r="E130" s="4"/>
      <c r="F130" s="10"/>
      <c r="G130" s="4"/>
      <c r="H130" s="4"/>
      <c r="I130" s="4"/>
      <c r="J130" s="10"/>
      <c r="K130" s="4"/>
      <c r="L130" s="4"/>
      <c r="M130" s="4"/>
      <c r="N130" s="10"/>
      <c r="P130" s="4"/>
      <c r="Q130" s="4"/>
      <c r="R130" s="10"/>
      <c r="S130" s="4"/>
      <c r="T130" s="4"/>
      <c r="U130" s="4"/>
      <c r="V130" s="10"/>
      <c r="W130" s="4"/>
      <c r="X130" s="4"/>
      <c r="Y130" s="4"/>
      <c r="Z130" s="10"/>
    </row>
    <row r="131" spans="1:26" s="63" customFormat="1" ht="15" customHeight="1" x14ac:dyDescent="0.3">
      <c r="A131" s="13"/>
      <c r="B131" s="27" t="s">
        <v>297</v>
      </c>
      <c r="C131" s="27"/>
      <c r="D131" s="33">
        <f>SUM(D128:D130)</f>
        <v>2768129.9299999997</v>
      </c>
      <c r="E131" s="15"/>
      <c r="F131" s="31">
        <f>IF(D$12=0,0,D131/D$12)</f>
        <v>13.135180140919442</v>
      </c>
      <c r="G131" s="15"/>
      <c r="H131" s="33">
        <f>SUM(H128:H130)</f>
        <v>-265768.70111112978</v>
      </c>
      <c r="I131" s="15"/>
      <c r="J131" s="31">
        <f>IF(H$12=0,0,H131/H$12)</f>
        <v>-3.1423654596000019</v>
      </c>
      <c r="K131" s="17"/>
      <c r="L131" s="33">
        <f>+D131-H131</f>
        <v>3033898.6311111297</v>
      </c>
      <c r="M131" s="17"/>
      <c r="N131" s="31">
        <f>IF(H131=0,0,L131/H131)</f>
        <v>-11.415560291437481</v>
      </c>
      <c r="O131" s="28"/>
      <c r="P131" s="33">
        <f>SUM(P128:P130)</f>
        <v>4016981.3200000012</v>
      </c>
      <c r="Q131" s="15"/>
      <c r="R131" s="31">
        <f>IF(P$12=0,0,P131/P$12)</f>
        <v>0.30121866176150741</v>
      </c>
      <c r="S131" s="15"/>
      <c r="T131" s="33">
        <f>SUM(T128:T130)</f>
        <v>-1447762.9772949764</v>
      </c>
      <c r="U131" s="15"/>
      <c r="V131" s="31">
        <f>IF(T$12=0,0,T131/T$12)</f>
        <v>-0.13153020632318485</v>
      </c>
      <c r="W131" s="17"/>
      <c r="X131" s="33">
        <f>+P131-T131</f>
        <v>5464744.2972949781</v>
      </c>
      <c r="Y131" s="17"/>
      <c r="Z131" s="31">
        <f>IF(T131=0,0,X131/T131)</f>
        <v>-3.7746125456981874</v>
      </c>
    </row>
    <row r="132" spans="1:26" ht="15" customHeight="1" x14ac:dyDescent="0.3">
      <c r="A132" s="12"/>
      <c r="C132" s="12"/>
      <c r="D132" s="19"/>
      <c r="E132" s="19"/>
      <c r="G132" s="19"/>
      <c r="H132" s="19"/>
      <c r="I132" s="19"/>
      <c r="J132" s="41"/>
      <c r="K132" s="19"/>
      <c r="L132" s="19"/>
      <c r="M132" s="19"/>
      <c r="P132" s="19"/>
      <c r="Q132" s="19"/>
      <c r="R132" s="41"/>
      <c r="S132" s="19"/>
      <c r="T132" s="19"/>
      <c r="U132" s="19"/>
      <c r="V132" s="41"/>
      <c r="W132" s="19"/>
      <c r="X132" s="19"/>
    </row>
    <row r="133" spans="1:26" ht="15" customHeight="1" x14ac:dyDescent="0.3">
      <c r="A133" s="12"/>
      <c r="B133" s="50">
        <v>44767.799535798615</v>
      </c>
      <c r="D133" s="19"/>
      <c r="E133" s="19"/>
      <c r="G133" s="19"/>
      <c r="H133" s="19"/>
      <c r="I133" s="19"/>
      <c r="J133" s="41"/>
      <c r="K133" s="19"/>
      <c r="L133" s="19"/>
      <c r="M133" s="19"/>
      <c r="P133" s="19"/>
      <c r="Q133" s="19"/>
      <c r="R133" s="41"/>
      <c r="S133" s="19"/>
      <c r="T133" s="19"/>
      <c r="U133" s="19"/>
      <c r="V133" s="41"/>
      <c r="W133" s="19"/>
      <c r="X133" s="19"/>
    </row>
    <row r="134" spans="1:26" ht="15" customHeight="1" x14ac:dyDescent="0.3">
      <c r="A134" s="12"/>
      <c r="B134" s="57" t="s">
        <v>298</v>
      </c>
      <c r="D134" s="19"/>
      <c r="E134" s="19"/>
      <c r="G134" s="19"/>
      <c r="H134" s="19"/>
      <c r="I134" s="19"/>
      <c r="J134" s="41"/>
      <c r="K134" s="19"/>
      <c r="L134" s="19"/>
      <c r="M134" s="19"/>
      <c r="P134" s="19"/>
      <c r="Q134" s="19"/>
      <c r="R134" s="41"/>
      <c r="S134" s="19"/>
      <c r="T134" s="19"/>
      <c r="U134" s="19"/>
      <c r="V134" s="41"/>
      <c r="W134" s="19"/>
      <c r="X134" s="19"/>
    </row>
    <row r="135" spans="1:26" ht="15" customHeight="1" x14ac:dyDescent="0.3">
      <c r="A135" s="12"/>
      <c r="B135" s="51"/>
      <c r="D135" s="19"/>
      <c r="E135" s="19"/>
      <c r="G135" s="19"/>
      <c r="H135" s="19"/>
      <c r="I135" s="19"/>
      <c r="J135" s="41"/>
      <c r="K135" s="19"/>
      <c r="L135" s="19"/>
      <c r="M135" s="19"/>
      <c r="P135" s="19"/>
      <c r="Q135" s="19"/>
      <c r="R135" s="41"/>
      <c r="S135" s="19"/>
      <c r="T135" s="19"/>
      <c r="U135" s="19"/>
      <c r="V135" s="41"/>
      <c r="W135" s="19"/>
      <c r="X135" s="19"/>
    </row>
    <row r="136" spans="1:26" ht="15" customHeight="1" x14ac:dyDescent="0.3">
      <c r="D136" s="19"/>
      <c r="E136" s="19"/>
      <c r="G136" s="19"/>
      <c r="H136" s="19"/>
      <c r="I136" s="19"/>
      <c r="J136" s="41"/>
      <c r="K136" s="19"/>
      <c r="L136" s="19"/>
      <c r="M136" s="19"/>
      <c r="P136" s="19"/>
      <c r="Q136" s="19"/>
      <c r="R136" s="41"/>
      <c r="S136" s="19"/>
      <c r="T136" s="19"/>
      <c r="U136" s="19"/>
      <c r="V136" s="41"/>
      <c r="W136" s="19"/>
      <c r="X136" s="19"/>
    </row>
  </sheetData>
  <pageMargins left="0.25" right="0.25" top="0.75" bottom="0.75" header="0.3" footer="0.3"/>
  <pageSetup scale="55" orientation="landscape" r:id="rId1"/>
  <headerFooter>
    <oddHeader>&amp;RPre-Audit</oddHeader>
    <oddFooter>&amp;L&amp;C&amp;R</oddFooter>
    <evenHeader>&amp;L&amp;C&amp;R</evenHeader>
    <evenFooter>&amp;L&amp;C&amp;R</even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4ECB33-B608-92C4-5F7C-662533041576}">
  <sheetPr>
    <tabColor theme="5" tint="0.39997558519241921"/>
    <outlinePr summaryBelow="0" summaryRight="0"/>
  </sheetPr>
  <dimension ref="A2:Z130"/>
  <sheetViews>
    <sheetView showGridLines="0" defaultGridColor="0" colorId="8" zoomScale="80" workbookViewId="0">
      <pane xSplit="3" ySplit="10" topLeftCell="D11" activePane="bottomRight" state="frozen"/>
      <selection activeCell="D78" sqref="D78"/>
      <selection pane="topRight" activeCell="D78" sqref="D78"/>
      <selection pane="bottomLeft" activeCell="D78" sqref="D78"/>
      <selection pane="bottomRight" activeCell="D78" sqref="D78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3" t="s">
        <v>276</v>
      </c>
    </row>
    <row r="3" spans="1:26" ht="15" customHeight="1" x14ac:dyDescent="0.3">
      <c r="D3" s="53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3" t="str">
        <f>CONCATENATE("Period ",RIGHT(202212,2),", ",2022)</f>
        <v>Period 12,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5"/>
      <c r="D5" s="60">
        <v>44742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5"/>
      <c r="B6" s="47"/>
      <c r="C6" s="47"/>
      <c r="D6" s="25" t="s">
        <v>310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4"/>
    </row>
    <row r="8" spans="1:26" ht="15" customHeight="1" x14ac:dyDescent="0.3">
      <c r="B8" s="54"/>
    </row>
    <row r="9" spans="1:26" ht="15" customHeight="1" x14ac:dyDescent="0.3">
      <c r="B9" s="12"/>
      <c r="C9" s="12"/>
      <c r="D9" s="16" t="s">
        <v>279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280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ht="15" customHeight="1" x14ac:dyDescent="0.3">
      <c r="A10" s="13"/>
      <c r="B10" s="52"/>
      <c r="C10" s="13"/>
      <c r="D10" s="40" t="s">
        <v>281</v>
      </c>
      <c r="E10" s="32"/>
      <c r="F10" s="39" t="s">
        <v>282</v>
      </c>
      <c r="G10" s="32"/>
      <c r="H10" s="45" t="s">
        <v>283</v>
      </c>
      <c r="I10" s="32"/>
      <c r="J10" s="42" t="s">
        <v>284</v>
      </c>
      <c r="K10" s="13"/>
      <c r="L10" s="40" t="s">
        <v>285</v>
      </c>
      <c r="M10" s="13"/>
      <c r="N10" s="39" t="s">
        <v>286</v>
      </c>
      <c r="O10" s="13"/>
      <c r="P10" s="55" t="s">
        <v>281</v>
      </c>
      <c r="Q10" s="32"/>
      <c r="R10" s="39" t="s">
        <v>282</v>
      </c>
      <c r="S10" s="32"/>
      <c r="T10" s="45" t="s">
        <v>283</v>
      </c>
      <c r="U10" s="32"/>
      <c r="V10" s="42" t="s">
        <v>284</v>
      </c>
      <c r="W10" s="13"/>
      <c r="X10" s="40" t="s">
        <v>285</v>
      </c>
      <c r="Y10" s="13"/>
      <c r="Z10" s="39" t="s">
        <v>286</v>
      </c>
    </row>
    <row r="11" spans="1:26" ht="16.5" customHeight="1" x14ac:dyDescent="0.3">
      <c r="A11" s="12"/>
      <c r="B11" s="58"/>
      <c r="C11" s="12"/>
      <c r="D11" s="12"/>
      <c r="E11" s="12"/>
      <c r="F11" s="10"/>
      <c r="G11" s="12"/>
      <c r="H11" s="12"/>
      <c r="I11" s="12"/>
      <c r="J11" s="43"/>
      <c r="K11" s="12"/>
      <c r="L11" s="12"/>
      <c r="M11" s="12"/>
      <c r="N11" s="10"/>
      <c r="P11" s="12"/>
      <c r="Q11" s="12"/>
      <c r="R11" s="10"/>
      <c r="S11" s="12"/>
      <c r="T11" s="12"/>
      <c r="U11" s="12"/>
      <c r="V11" s="43"/>
      <c r="W11" s="12"/>
      <c r="X11" s="12"/>
      <c r="Y11" s="12"/>
      <c r="Z11" s="10"/>
    </row>
    <row r="12" spans="1:26" s="63" customFormat="1" ht="15" customHeight="1" collapsed="1" x14ac:dyDescent="0.3">
      <c r="A12" s="13"/>
      <c r="B12" s="28" t="s">
        <v>287</v>
      </c>
      <c r="C12" s="13"/>
      <c r="D12" s="8">
        <f>SUM(OSRRefD13x_0)</f>
        <v>66185.75</v>
      </c>
      <c r="E12" s="8"/>
      <c r="F12" s="14"/>
      <c r="G12" s="8"/>
      <c r="H12" s="8">
        <f>SUM(OSRRefH13x_0)</f>
        <v>97601</v>
      </c>
      <c r="I12" s="8"/>
      <c r="J12" s="14"/>
      <c r="K12" s="8"/>
      <c r="L12" s="8">
        <f t="shared" ref="L12:L18" si="0">+D12-H12</f>
        <v>-31415.25</v>
      </c>
      <c r="M12" s="8"/>
      <c r="N12" s="14">
        <f t="shared" ref="N12:N18" si="1">IF(H12=0,0,L12/H12)</f>
        <v>-0.32187426358336491</v>
      </c>
      <c r="O12" s="13"/>
      <c r="P12" s="8">
        <f>SUM(OSRRefP13x_0)</f>
        <v>2073630.28</v>
      </c>
      <c r="Q12" s="8"/>
      <c r="R12" s="14"/>
      <c r="S12" s="8"/>
      <c r="T12" s="8">
        <f>SUM(OSRRefT13x_0)</f>
        <v>2654585</v>
      </c>
      <c r="U12" s="8"/>
      <c r="V12" s="14"/>
      <c r="W12" s="8"/>
      <c r="X12" s="8">
        <f t="shared" ref="X12:X18" si="2">+P12-T12</f>
        <v>-580954.72</v>
      </c>
      <c r="Y12" s="8"/>
      <c r="Z12" s="14">
        <f t="shared" ref="Z12:Z18" si="3">IF(T12=0,0,X12/T12)</f>
        <v>-0.21884954522081604</v>
      </c>
    </row>
    <row r="13" spans="1:26" s="70" customFormat="1" ht="15" hidden="1" customHeight="1" outlineLevel="1" x14ac:dyDescent="0.3">
      <c r="A13" s="48"/>
      <c r="B13" s="9" t="str">
        <f>CONCATENATE("          ","4000"," - ","TAXABLE SALES")</f>
        <v xml:space="preserve">          4000 - TAXABLE SALES</v>
      </c>
      <c r="C13" s="9"/>
      <c r="D13" s="3">
        <f>--2209.28</f>
        <v>2209.2800000000002</v>
      </c>
      <c r="E13" s="3"/>
      <c r="F13" s="26"/>
      <c r="G13" s="3"/>
      <c r="H13" s="3">
        <v>41892</v>
      </c>
      <c r="I13" s="3"/>
      <c r="J13" s="26"/>
      <c r="K13" s="3"/>
      <c r="L13" s="3">
        <f t="shared" si="0"/>
        <v>-39682.720000000001</v>
      </c>
      <c r="M13" s="3"/>
      <c r="N13" s="26">
        <f t="shared" si="1"/>
        <v>-0.94726248448391104</v>
      </c>
      <c r="O13" s="9"/>
      <c r="P13" s="3">
        <f>--77941.32</f>
        <v>77941.320000000007</v>
      </c>
      <c r="Q13" s="3"/>
      <c r="R13" s="26"/>
      <c r="S13" s="3"/>
      <c r="T13" s="3">
        <v>972431</v>
      </c>
      <c r="U13" s="3"/>
      <c r="V13" s="26"/>
      <c r="W13" s="3"/>
      <c r="X13" s="3">
        <f t="shared" si="2"/>
        <v>-894489.67999999993</v>
      </c>
      <c r="Y13" s="3"/>
      <c r="Z13" s="26">
        <f t="shared" si="3"/>
        <v>-0.91984899699824452</v>
      </c>
    </row>
    <row r="14" spans="1:26" s="70" customFormat="1" ht="15" hidden="1" customHeight="1" outlineLevel="1" x14ac:dyDescent="0.3">
      <c r="A14" s="48"/>
      <c r="B14" s="9" t="str">
        <f>CONCATENATE("          ","4051"," - ","TAXABLE SALES-FOOD")</f>
        <v xml:space="preserve">          4051 - TAXABLE SALES-FOOD</v>
      </c>
      <c r="C14" s="9"/>
      <c r="D14" s="3">
        <f>--14372.1</f>
        <v>14372.1</v>
      </c>
      <c r="E14" s="3"/>
      <c r="F14" s="26"/>
      <c r="G14" s="3"/>
      <c r="H14" s="3"/>
      <c r="I14" s="3"/>
      <c r="J14" s="26"/>
      <c r="K14" s="3"/>
      <c r="L14" s="3">
        <f t="shared" si="0"/>
        <v>14372.1</v>
      </c>
      <c r="M14" s="3"/>
      <c r="N14" s="26">
        <f t="shared" si="1"/>
        <v>0</v>
      </c>
      <c r="O14" s="9"/>
      <c r="P14" s="3">
        <f>--360408.55</f>
        <v>360408.55</v>
      </c>
      <c r="Q14" s="3"/>
      <c r="R14" s="26"/>
      <c r="S14" s="3"/>
      <c r="T14" s="3"/>
      <c r="U14" s="3"/>
      <c r="V14" s="26"/>
      <c r="W14" s="3"/>
      <c r="X14" s="3">
        <f t="shared" si="2"/>
        <v>360408.55</v>
      </c>
      <c r="Y14" s="3"/>
      <c r="Z14" s="26">
        <f t="shared" si="3"/>
        <v>0</v>
      </c>
    </row>
    <row r="15" spans="1:26" s="70" customFormat="1" ht="15" hidden="1" customHeight="1" outlineLevel="1" x14ac:dyDescent="0.3">
      <c r="A15" s="48"/>
      <c r="B15" s="9" t="str">
        <f>CONCATENATE("          ","4053"," - ","TAXABLE SALES-FOOD")</f>
        <v xml:space="preserve">          4053 - TAXABLE SALES-FOOD</v>
      </c>
      <c r="C15" s="9"/>
      <c r="D15" s="3">
        <f>--10447.15</f>
        <v>10447.15</v>
      </c>
      <c r="E15" s="3"/>
      <c r="F15" s="26"/>
      <c r="G15" s="3"/>
      <c r="H15" s="3"/>
      <c r="I15" s="3"/>
      <c r="J15" s="26"/>
      <c r="K15" s="3"/>
      <c r="L15" s="3">
        <f t="shared" si="0"/>
        <v>10447.15</v>
      </c>
      <c r="M15" s="3"/>
      <c r="N15" s="26">
        <f t="shared" si="1"/>
        <v>0</v>
      </c>
      <c r="O15" s="9"/>
      <c r="P15" s="3">
        <f>--37019.46</f>
        <v>37019.46</v>
      </c>
      <c r="Q15" s="3"/>
      <c r="R15" s="26"/>
      <c r="S15" s="3"/>
      <c r="T15" s="3"/>
      <c r="U15" s="3"/>
      <c r="V15" s="26"/>
      <c r="W15" s="3"/>
      <c r="X15" s="3">
        <f t="shared" si="2"/>
        <v>37019.46</v>
      </c>
      <c r="Y15" s="3"/>
      <c r="Z15" s="26">
        <f t="shared" si="3"/>
        <v>0</v>
      </c>
    </row>
    <row r="16" spans="1:26" s="70" customFormat="1" ht="15" hidden="1" customHeight="1" outlineLevel="1" x14ac:dyDescent="0.3">
      <c r="A16" s="48"/>
      <c r="B16" s="9" t="str">
        <f>CONCATENATE("          ","4100"," - ","NON-TAXABLE SALES")</f>
        <v xml:space="preserve">          4100 - NON-TAXABLE SALES</v>
      </c>
      <c r="C16" s="9"/>
      <c r="D16" s="3">
        <f>--13309.38</f>
        <v>13309.38</v>
      </c>
      <c r="E16" s="3"/>
      <c r="F16" s="26"/>
      <c r="G16" s="3"/>
      <c r="H16" s="3">
        <v>55709</v>
      </c>
      <c r="I16" s="3"/>
      <c r="J16" s="26"/>
      <c r="K16" s="3"/>
      <c r="L16" s="3">
        <f t="shared" si="0"/>
        <v>-42399.62</v>
      </c>
      <c r="M16" s="3"/>
      <c r="N16" s="26">
        <f t="shared" si="1"/>
        <v>-0.7610910265845735</v>
      </c>
      <c r="O16" s="9"/>
      <c r="P16" s="3">
        <f>--433482.7</f>
        <v>433482.7</v>
      </c>
      <c r="Q16" s="3"/>
      <c r="R16" s="26"/>
      <c r="S16" s="3"/>
      <c r="T16" s="3">
        <v>1682154</v>
      </c>
      <c r="U16" s="3"/>
      <c r="V16" s="26"/>
      <c r="W16" s="3"/>
      <c r="X16" s="3">
        <f t="shared" si="2"/>
        <v>-1248671.3</v>
      </c>
      <c r="Y16" s="3"/>
      <c r="Z16" s="26">
        <f t="shared" si="3"/>
        <v>-0.74230498515593701</v>
      </c>
    </row>
    <row r="17" spans="1:26" s="70" customFormat="1" ht="15" hidden="1" customHeight="1" outlineLevel="1" x14ac:dyDescent="0.3">
      <c r="A17" s="48"/>
      <c r="B17" s="9" t="str">
        <f>CONCATENATE("          ","4151"," - ","NON-TAXABLE SALES-FOOD")</f>
        <v xml:space="preserve">          4151 - NON-TAXABLE SALES-FOOD</v>
      </c>
      <c r="C17" s="9"/>
      <c r="D17" s="3">
        <f>--25847.84</f>
        <v>25847.84</v>
      </c>
      <c r="E17" s="3"/>
      <c r="F17" s="26"/>
      <c r="G17" s="3"/>
      <c r="H17" s="3"/>
      <c r="I17" s="3"/>
      <c r="J17" s="26"/>
      <c r="K17" s="3"/>
      <c r="L17" s="3">
        <f t="shared" si="0"/>
        <v>25847.84</v>
      </c>
      <c r="M17" s="3"/>
      <c r="N17" s="26">
        <f t="shared" si="1"/>
        <v>0</v>
      </c>
      <c r="O17" s="9"/>
      <c r="P17" s="3">
        <f>--1164778.25</f>
        <v>1164778.25</v>
      </c>
      <c r="Q17" s="3"/>
      <c r="R17" s="26"/>
      <c r="S17" s="3"/>
      <c r="T17" s="3"/>
      <c r="U17" s="3"/>
      <c r="V17" s="26"/>
      <c r="W17" s="3"/>
      <c r="X17" s="3">
        <f t="shared" si="2"/>
        <v>1164778.25</v>
      </c>
      <c r="Y17" s="3"/>
      <c r="Z17" s="26">
        <f t="shared" si="3"/>
        <v>0</v>
      </c>
    </row>
    <row r="18" spans="1:26" s="70" customFormat="1" ht="15" hidden="1" customHeight="1" outlineLevel="1" x14ac:dyDescent="0.3">
      <c r="A18" s="48"/>
      <c r="B18" s="9" t="str">
        <f>CONCATENATE("          ","4153"," - ","NON-TAXABLE SALES-FOOD")</f>
        <v xml:space="preserve">          4153 - NON-TAXABLE SALES-FOOD</v>
      </c>
      <c r="C18" s="9"/>
      <c r="D18" s="3">
        <f>0</f>
        <v>0</v>
      </c>
      <c r="E18" s="3"/>
      <c r="F18" s="26"/>
      <c r="G18" s="3"/>
      <c r="H18" s="3"/>
      <c r="I18" s="3"/>
      <c r="J18" s="26"/>
      <c r="K18" s="3"/>
      <c r="L18" s="3">
        <f t="shared" si="0"/>
        <v>0</v>
      </c>
      <c r="M18" s="3"/>
      <c r="N18" s="26">
        <f t="shared" si="1"/>
        <v>0</v>
      </c>
      <c r="O18" s="9"/>
      <c r="P18" s="3">
        <f>0</f>
        <v>0</v>
      </c>
      <c r="Q18" s="3"/>
      <c r="R18" s="26"/>
      <c r="S18" s="3"/>
      <c r="T18" s="3"/>
      <c r="U18" s="3"/>
      <c r="V18" s="26"/>
      <c r="W18" s="3"/>
      <c r="X18" s="3">
        <f t="shared" si="2"/>
        <v>0</v>
      </c>
      <c r="Y18" s="3"/>
      <c r="Z18" s="26">
        <f t="shared" si="3"/>
        <v>0</v>
      </c>
    </row>
    <row r="19" spans="1:26" ht="15" customHeight="1" x14ac:dyDescent="0.3">
      <c r="A19" s="12"/>
      <c r="B19" s="13"/>
      <c r="C19" s="12"/>
      <c r="D19" s="4"/>
      <c r="E19" s="4"/>
      <c r="F19" s="10"/>
      <c r="G19" s="4"/>
      <c r="H19" s="4"/>
      <c r="I19" s="4"/>
      <c r="J19" s="10"/>
      <c r="K19" s="4"/>
      <c r="L19" s="4"/>
      <c r="M19" s="4"/>
      <c r="N19" s="10"/>
      <c r="P19" s="4"/>
      <c r="Q19" s="4"/>
      <c r="R19" s="10"/>
      <c r="S19" s="4"/>
      <c r="T19" s="4"/>
      <c r="U19" s="4"/>
      <c r="V19" s="10"/>
      <c r="W19" s="4"/>
      <c r="X19" s="4"/>
      <c r="Y19" s="4"/>
      <c r="Z19" s="10"/>
    </row>
    <row r="20" spans="1:26" s="63" customFormat="1" ht="15" customHeight="1" collapsed="1" x14ac:dyDescent="0.3">
      <c r="A20" s="13"/>
      <c r="B20" s="28" t="s">
        <v>288</v>
      </c>
      <c r="C20" s="13"/>
      <c r="D20" s="8">
        <f>SUM(OSRRefD16x_0)</f>
        <v>57182.49</v>
      </c>
      <c r="E20" s="8"/>
      <c r="F20" s="14">
        <f>IF(D$12=0,0,D20/D$12)</f>
        <v>0.86396981223299574</v>
      </c>
      <c r="G20" s="8"/>
      <c r="H20" s="8">
        <f>SUM(OSRRefH16x_0)</f>
        <v>33858</v>
      </c>
      <c r="I20" s="8"/>
      <c r="J20" s="14">
        <f>IF(H$12=0,0,H20/H$12)</f>
        <v>0.34690218337926865</v>
      </c>
      <c r="K20" s="8"/>
      <c r="L20" s="8">
        <f>+D20-H20</f>
        <v>23324.489999999998</v>
      </c>
      <c r="M20" s="8"/>
      <c r="N20" s="14">
        <f>IF(H20=0,0,L20/H20)</f>
        <v>0.68889154704944178</v>
      </c>
      <c r="O20" s="13"/>
      <c r="P20" s="8">
        <f>SUM(OSRRefP16x_0)</f>
        <v>872982.52</v>
      </c>
      <c r="Q20" s="8"/>
      <c r="R20" s="14">
        <f>IF(P$12=0,0,P20/P$12)</f>
        <v>0.42099236706747933</v>
      </c>
      <c r="S20" s="8"/>
      <c r="T20" s="8">
        <f>SUM(OSRRefT16x_0)</f>
        <v>986429</v>
      </c>
      <c r="U20" s="8"/>
      <c r="V20" s="14">
        <f>IF(T$12=0,0,T20/T$12)</f>
        <v>0.37159443001448439</v>
      </c>
      <c r="W20" s="8"/>
      <c r="X20" s="8">
        <f>+P20-T20</f>
        <v>-113446.47999999998</v>
      </c>
      <c r="Y20" s="8"/>
      <c r="Z20" s="14">
        <f>IF(T20=0,0,X20/T20)</f>
        <v>-0.11500724329880811</v>
      </c>
    </row>
    <row r="21" spans="1:26" s="70" customFormat="1" ht="15" hidden="1" customHeight="1" outlineLevel="1" x14ac:dyDescent="0.3">
      <c r="A21" s="48"/>
      <c r="B21" s="9" t="str">
        <f>CONCATENATE("          ","5000"," - ","PURCHASES @ COST")</f>
        <v xml:space="preserve">          5000 - PURCHASES @ COST</v>
      </c>
      <c r="C21" s="9"/>
      <c r="D21" s="3"/>
      <c r="E21" s="3"/>
      <c r="F21" s="26">
        <f>IF(D$12=0,0,D21/D$12)</f>
        <v>0</v>
      </c>
      <c r="G21" s="3"/>
      <c r="H21" s="3">
        <v>33858</v>
      </c>
      <c r="I21" s="3"/>
      <c r="J21" s="26">
        <f>IF(H$12=0,0,H21/H$12)</f>
        <v>0.34690218337926865</v>
      </c>
      <c r="K21" s="3"/>
      <c r="L21" s="3">
        <f>+D21-H21</f>
        <v>-33858</v>
      </c>
      <c r="M21" s="3"/>
      <c r="N21" s="26">
        <f>IF(H21=0,0,L21/H21)</f>
        <v>-1</v>
      </c>
      <c r="O21" s="9"/>
      <c r="P21" s="3">
        <v>-8062</v>
      </c>
      <c r="Q21" s="3"/>
      <c r="R21" s="26">
        <f>IF(P$12=0,0,P21/P$12)</f>
        <v>-3.8878676096492956E-3</v>
      </c>
      <c r="S21" s="3"/>
      <c r="T21" s="3">
        <v>986429</v>
      </c>
      <c r="U21" s="3"/>
      <c r="V21" s="26">
        <f>IF(T$12=0,0,T21/T$12)</f>
        <v>0.37159443001448439</v>
      </c>
      <c r="W21" s="3"/>
      <c r="X21" s="3">
        <f>+P21-T21</f>
        <v>-994491</v>
      </c>
      <c r="Y21" s="3"/>
      <c r="Z21" s="26">
        <f>IF(T21=0,0,X21/T21)</f>
        <v>-1.0081729146243672</v>
      </c>
    </row>
    <row r="22" spans="1:26" s="70" customFormat="1" ht="15" hidden="1" customHeight="1" outlineLevel="1" x14ac:dyDescent="0.3">
      <c r="A22" s="48"/>
      <c r="B22" s="9" t="str">
        <f>CONCATENATE("          ","5053"," - ","PURCHASES @ COST-FOOD")</f>
        <v xml:space="preserve">          5053 - PURCHASES @ COST-FOOD</v>
      </c>
      <c r="C22" s="9"/>
      <c r="D22" s="3">
        <v>19198.650000000001</v>
      </c>
      <c r="E22" s="3"/>
      <c r="F22" s="26">
        <f>IF(D$12=0,0,D22/D$12)</f>
        <v>0.29007225875660547</v>
      </c>
      <c r="G22" s="3"/>
      <c r="H22" s="3"/>
      <c r="I22" s="3"/>
      <c r="J22" s="26">
        <f>IF(H$12=0,0,H22/H$12)</f>
        <v>0</v>
      </c>
      <c r="K22" s="3"/>
      <c r="L22" s="3">
        <f>+D22-H22</f>
        <v>19198.650000000001</v>
      </c>
      <c r="M22" s="3"/>
      <c r="N22" s="26">
        <f>IF(H22=0,0,L22/H22)</f>
        <v>0</v>
      </c>
      <c r="O22" s="9"/>
      <c r="P22" s="3">
        <v>569991.53</v>
      </c>
      <c r="Q22" s="3"/>
      <c r="R22" s="26">
        <f>IF(P$12=0,0,P22/P$12)</f>
        <v>0.27487616066254589</v>
      </c>
      <c r="S22" s="3"/>
      <c r="T22" s="3"/>
      <c r="U22" s="3"/>
      <c r="V22" s="26">
        <f>IF(T$12=0,0,T22/T$12)</f>
        <v>0</v>
      </c>
      <c r="W22" s="3"/>
      <c r="X22" s="3">
        <f>+P22-T22</f>
        <v>569991.53</v>
      </c>
      <c r="Y22" s="3"/>
      <c r="Z22" s="26">
        <f>IF(T22=0,0,X22/T22)</f>
        <v>0</v>
      </c>
    </row>
    <row r="23" spans="1:26" s="70" customFormat="1" ht="15" hidden="1" customHeight="1" outlineLevel="1" x14ac:dyDescent="0.3">
      <c r="A23" s="48"/>
      <c r="B23" s="9" t="str">
        <f>CONCATENATE("          ","5059"," - ","PURCHASES @ COST-FOOD")</f>
        <v xml:space="preserve">          5059 - PURCHASES @ COST-FOOD</v>
      </c>
      <c r="C23" s="9"/>
      <c r="D23" s="3">
        <v>37983.839999999997</v>
      </c>
      <c r="E23" s="3"/>
      <c r="F23" s="26">
        <f>IF(D$12=0,0,D23/D$12)</f>
        <v>0.57389755347639027</v>
      </c>
      <c r="G23" s="3"/>
      <c r="H23" s="3"/>
      <c r="I23" s="3"/>
      <c r="J23" s="26">
        <f>IF(H$12=0,0,H23/H$12)</f>
        <v>0</v>
      </c>
      <c r="K23" s="3"/>
      <c r="L23" s="3">
        <f>+D23-H23</f>
        <v>37983.839999999997</v>
      </c>
      <c r="M23" s="3"/>
      <c r="N23" s="26">
        <f>IF(H23=0,0,L23/H23)</f>
        <v>0</v>
      </c>
      <c r="O23" s="9"/>
      <c r="P23" s="3">
        <v>311052.99</v>
      </c>
      <c r="Q23" s="3"/>
      <c r="R23" s="26">
        <f>IF(P$12=0,0,P23/P$12)</f>
        <v>0.15000407401458277</v>
      </c>
      <c r="S23" s="3"/>
      <c r="T23" s="3"/>
      <c r="U23" s="3"/>
      <c r="V23" s="26">
        <f>IF(T$12=0,0,T23/T$12)</f>
        <v>0</v>
      </c>
      <c r="W23" s="3"/>
      <c r="X23" s="3">
        <f>+P23-T23</f>
        <v>311052.99</v>
      </c>
      <c r="Y23" s="3"/>
      <c r="Z23" s="26">
        <f>IF(T23=0,0,X23/T23)</f>
        <v>0</v>
      </c>
    </row>
    <row r="24" spans="1:26" ht="15" customHeight="1" x14ac:dyDescent="0.3">
      <c r="A24" s="12"/>
      <c r="B24" s="13"/>
      <c r="C24" s="13"/>
      <c r="D24" s="4"/>
      <c r="E24" s="4"/>
      <c r="F24" s="10"/>
      <c r="G24" s="4"/>
      <c r="H24" s="4"/>
      <c r="I24" s="4"/>
      <c r="J24" s="10"/>
      <c r="K24" s="4"/>
      <c r="L24" s="4"/>
      <c r="M24" s="4"/>
      <c r="N24" s="10"/>
      <c r="O24" s="13"/>
      <c r="P24" s="4"/>
      <c r="Q24" s="4"/>
      <c r="R24" s="10"/>
      <c r="S24" s="4"/>
      <c r="T24" s="4"/>
      <c r="U24" s="4"/>
      <c r="V24" s="10"/>
      <c r="W24" s="4"/>
      <c r="X24" s="4"/>
      <c r="Y24" s="4"/>
      <c r="Z24" s="10"/>
    </row>
    <row r="25" spans="1:26" s="63" customFormat="1" ht="15" customHeight="1" x14ac:dyDescent="0.3">
      <c r="A25" s="13"/>
      <c r="B25" s="27" t="s">
        <v>289</v>
      </c>
      <c r="C25" s="27"/>
      <c r="D25" s="23">
        <f>D12-D20</f>
        <v>9003.260000000002</v>
      </c>
      <c r="E25" s="15"/>
      <c r="F25" s="22">
        <f>IF(D$12=0,0,D25/D$12)</f>
        <v>0.13603018776700426</v>
      </c>
      <c r="G25" s="15"/>
      <c r="H25" s="23">
        <f>H12-H20</f>
        <v>63743</v>
      </c>
      <c r="I25" s="15"/>
      <c r="J25" s="22">
        <f>IF(H$12=0,0,H25/H$12)</f>
        <v>0.6530978166207313</v>
      </c>
      <c r="K25" s="17"/>
      <c r="L25" s="23">
        <f>+D25-H25</f>
        <v>-54739.74</v>
      </c>
      <c r="M25" s="17"/>
      <c r="N25" s="22">
        <f>IF(H25=0,0,L25/H25)</f>
        <v>-0.85875688310873344</v>
      </c>
      <c r="O25" s="28"/>
      <c r="P25" s="23">
        <f>P12-P20</f>
        <v>1200647.76</v>
      </c>
      <c r="Q25" s="15"/>
      <c r="R25" s="22">
        <f>IF(P$12=0,0,P25/P$12)</f>
        <v>0.57900763293252067</v>
      </c>
      <c r="S25" s="15"/>
      <c r="T25" s="23">
        <f>T12-T20</f>
        <v>1668156</v>
      </c>
      <c r="U25" s="15"/>
      <c r="V25" s="22">
        <f>IF(T$12=0,0,T25/T$12)</f>
        <v>0.62840556998551567</v>
      </c>
      <c r="W25" s="17"/>
      <c r="X25" s="23">
        <f>+P25-T25</f>
        <v>-467508.24</v>
      </c>
      <c r="Y25" s="17"/>
      <c r="Z25" s="22">
        <f>IF(T25=0,0,X25/T25)</f>
        <v>-0.28025450857114081</v>
      </c>
    </row>
    <row r="26" spans="1:26" ht="15" customHeight="1" x14ac:dyDescent="0.3">
      <c r="A26" s="12"/>
      <c r="B26" s="13"/>
      <c r="C26" s="12"/>
      <c r="D26" s="2"/>
      <c r="E26" s="2"/>
      <c r="F26" s="5"/>
      <c r="G26" s="2"/>
      <c r="H26" s="2"/>
      <c r="I26" s="2"/>
      <c r="J26" s="5"/>
      <c r="K26" s="2"/>
      <c r="L26" s="2"/>
      <c r="M26" s="2"/>
      <c r="N26" s="5"/>
      <c r="O26" s="36"/>
      <c r="P26" s="2"/>
      <c r="Q26" s="2"/>
      <c r="R26" s="5"/>
      <c r="S26" s="2"/>
      <c r="T26" s="2"/>
      <c r="U26" s="2"/>
      <c r="V26" s="5"/>
      <c r="W26" s="2"/>
      <c r="X26" s="2"/>
      <c r="Y26" s="2"/>
      <c r="Z26" s="5"/>
    </row>
    <row r="27" spans="1:26" s="63" customFormat="1" ht="15" customHeight="1" x14ac:dyDescent="0.3">
      <c r="A27" s="13"/>
      <c r="B27" s="28" t="s">
        <v>290</v>
      </c>
      <c r="C27" s="13"/>
      <c r="D27" s="24" cm="1">
        <f t="array" ref="D27">SUM(OSRRefD22x_0)</f>
        <v>239216.27000000005</v>
      </c>
      <c r="E27" s="24"/>
      <c r="F27" s="34">
        <f t="shared" ref="F27:F58" si="4">IF(D$12=0,0,D27/D$12)</f>
        <v>3.6143168280181164</v>
      </c>
      <c r="G27" s="24"/>
      <c r="H27" s="24" cm="1">
        <f t="array" ref="H27">SUM(OSRRefH22x_0)</f>
        <v>190751.17827967141</v>
      </c>
      <c r="I27" s="24"/>
      <c r="J27" s="34">
        <f t="shared" ref="J27:J58" si="5">IF(H$12=0,0,H27/H$12)</f>
        <v>1.9543977856750587</v>
      </c>
      <c r="K27" s="8"/>
      <c r="L27" s="24">
        <f t="shared" ref="L27:L58" si="6">+D27-H27</f>
        <v>48465.091720328637</v>
      </c>
      <c r="M27" s="8"/>
      <c r="N27" s="34">
        <f t="shared" ref="N27:N58" si="7">IF(H27=0,0,L27/H27)</f>
        <v>0.25407492712454516</v>
      </c>
      <c r="O27" s="13"/>
      <c r="P27" s="24" cm="1">
        <f t="array" ref="P27">SUM(OSRRefP22x_0)</f>
        <v>2729470.7499999995</v>
      </c>
      <c r="Q27" s="24"/>
      <c r="R27" s="34">
        <f t="shared" ref="R27:R58" si="8">IF(P$12=0,0,P27/P$12)</f>
        <v>1.3162764723902467</v>
      </c>
      <c r="S27" s="24"/>
      <c r="T27" s="24" cm="1">
        <f t="array" ref="T27">SUM(OSRRefT22x_0)</f>
        <v>2678134.7344945678</v>
      </c>
      <c r="U27" s="24"/>
      <c r="V27" s="34">
        <f t="shared" ref="V27:V58" si="9">IF(T$12=0,0,T27/T$12)</f>
        <v>1.0088713431645879</v>
      </c>
      <c r="W27" s="8"/>
      <c r="X27" s="24">
        <f t="shared" ref="X27:X58" si="10">+P27-T27</f>
        <v>51336.015505431686</v>
      </c>
      <c r="Y27" s="8"/>
      <c r="Z27" s="34">
        <f t="shared" ref="Z27:Z58" si="11">IF(T27=0,0,X27/T27)</f>
        <v>1.9168570887872112E-2</v>
      </c>
    </row>
    <row r="28" spans="1:26" s="69" customFormat="1" ht="15" customHeight="1" outlineLevel="1" collapsed="1" x14ac:dyDescent="0.3">
      <c r="A28" s="20"/>
      <c r="B28" s="11" t="str">
        <f>CONCATENATE("     ","*Benefits                                         ")</f>
        <v xml:space="preserve">     *Benefits                                         </v>
      </c>
      <c r="C28" s="11"/>
      <c r="D28" s="2">
        <f>SUM(OSRRefD22_0x_0)</f>
        <v>22263.800000000003</v>
      </c>
      <c r="E28" s="2"/>
      <c r="F28" s="5">
        <f t="shared" si="4"/>
        <v>0.33638358710145316</v>
      </c>
      <c r="G28" s="2"/>
      <c r="H28" s="2">
        <f>SUM(OSRRefH22_0x_0)</f>
        <v>33958.759708902202</v>
      </c>
      <c r="I28" s="2"/>
      <c r="J28" s="5">
        <f t="shared" si="5"/>
        <v>0.34793454686839481</v>
      </c>
      <c r="K28" s="2"/>
      <c r="L28" s="2">
        <f t="shared" si="6"/>
        <v>-11694.959708902199</v>
      </c>
      <c r="M28" s="2"/>
      <c r="N28" s="5">
        <f t="shared" si="7"/>
        <v>-0.34438712747911093</v>
      </c>
      <c r="O28" s="11"/>
      <c r="P28" s="2">
        <f>SUM(OSRRefP22_0x_0)</f>
        <v>396140.41</v>
      </c>
      <c r="Q28" s="2"/>
      <c r="R28" s="5">
        <f t="shared" si="8"/>
        <v>0.19103714573458097</v>
      </c>
      <c r="S28" s="2"/>
      <c r="T28" s="2">
        <f>SUM(OSRRefT22_0x_0)</f>
        <v>408378.69610456808</v>
      </c>
      <c r="U28" s="2"/>
      <c r="V28" s="5">
        <f t="shared" si="9"/>
        <v>0.15383899784884195</v>
      </c>
      <c r="W28" s="2"/>
      <c r="X28" s="2">
        <f t="shared" si="10"/>
        <v>-12238.286104568106</v>
      </c>
      <c r="Y28" s="2"/>
      <c r="Z28" s="5">
        <f t="shared" si="11"/>
        <v>-2.9967983690888742E-2</v>
      </c>
    </row>
    <row r="29" spans="1:26" s="70" customFormat="1" ht="15" hidden="1" customHeight="1" outlineLevel="2" x14ac:dyDescent="0.3">
      <c r="A29" s="21"/>
      <c r="B29" s="9" t="str">
        <f>CONCATENATE("          ","6111"," - ","F.I.C.A.")</f>
        <v xml:space="preserve">          6111 - F.I.C.A.</v>
      </c>
      <c r="C29" s="9"/>
      <c r="D29" s="6">
        <v>5132.1400000000003</v>
      </c>
      <c r="E29" s="3"/>
      <c r="F29" s="7">
        <f t="shared" si="4"/>
        <v>7.7541464741277391E-2</v>
      </c>
      <c r="G29" s="3"/>
      <c r="H29" s="6">
        <v>4138.6021593636897</v>
      </c>
      <c r="I29" s="3"/>
      <c r="J29" s="7">
        <f t="shared" si="5"/>
        <v>4.2403276189421107E-2</v>
      </c>
      <c r="K29" s="3"/>
      <c r="L29" s="6">
        <f t="shared" si="6"/>
        <v>993.53784063631065</v>
      </c>
      <c r="M29" s="3"/>
      <c r="N29" s="7">
        <f t="shared" si="7"/>
        <v>0.24006604219939495</v>
      </c>
      <c r="O29" s="9"/>
      <c r="P29" s="6">
        <v>63829.86</v>
      </c>
      <c r="Q29" s="3"/>
      <c r="R29" s="7">
        <f t="shared" si="8"/>
        <v>3.0781697497202828E-2</v>
      </c>
      <c r="S29" s="3"/>
      <c r="T29" s="6">
        <v>52666.817963105997</v>
      </c>
      <c r="U29" s="3"/>
      <c r="V29" s="7">
        <f t="shared" si="9"/>
        <v>1.9839944082824999E-2</v>
      </c>
      <c r="W29" s="3"/>
      <c r="X29" s="6">
        <f t="shared" si="10"/>
        <v>11163.042036894003</v>
      </c>
      <c r="Y29" s="3"/>
      <c r="Z29" s="7">
        <f t="shared" si="11"/>
        <v>0.21195588548208674</v>
      </c>
    </row>
    <row r="30" spans="1:26" s="70" customFormat="1" ht="15" hidden="1" customHeight="1" outlineLevel="2" x14ac:dyDescent="0.3">
      <c r="A30" s="21"/>
      <c r="B30" s="9" t="str">
        <f>CONCATENATE("          ","6112"," - ","COMPENSATION INSURANCE")</f>
        <v xml:space="preserve">          6112 - COMPENSATION INSURANCE</v>
      </c>
      <c r="C30" s="9"/>
      <c r="D30" s="6">
        <v>-5674.18</v>
      </c>
      <c r="E30" s="3"/>
      <c r="F30" s="7">
        <f t="shared" si="4"/>
        <v>-8.5731143033054708E-2</v>
      </c>
      <c r="G30" s="3"/>
      <c r="H30" s="6">
        <v>2769.4188515415399</v>
      </c>
      <c r="I30" s="3"/>
      <c r="J30" s="7">
        <f t="shared" si="5"/>
        <v>2.83749024245811E-2</v>
      </c>
      <c r="K30" s="3"/>
      <c r="L30" s="6">
        <f t="shared" si="6"/>
        <v>-8443.5988515415411</v>
      </c>
      <c r="M30" s="3"/>
      <c r="N30" s="7">
        <f t="shared" si="7"/>
        <v>-3.0488702880178584</v>
      </c>
      <c r="O30" s="9"/>
      <c r="P30" s="6">
        <v>22625.89</v>
      </c>
      <c r="Q30" s="3"/>
      <c r="R30" s="7">
        <f t="shared" si="8"/>
        <v>1.0911245952677735E-2</v>
      </c>
      <c r="S30" s="3"/>
      <c r="T30" s="6">
        <v>41715.147131329999</v>
      </c>
      <c r="U30" s="3"/>
      <c r="V30" s="7">
        <f t="shared" si="9"/>
        <v>1.5714376119555409E-2</v>
      </c>
      <c r="W30" s="3"/>
      <c r="X30" s="6">
        <f t="shared" si="10"/>
        <v>-19089.25713133</v>
      </c>
      <c r="Y30" s="3"/>
      <c r="Z30" s="7">
        <f t="shared" si="11"/>
        <v>-0.45760972797799598</v>
      </c>
    </row>
    <row r="31" spans="1:26" s="70" customFormat="1" ht="15" hidden="1" customHeight="1" outlineLevel="2" x14ac:dyDescent="0.3">
      <c r="A31" s="21"/>
      <c r="B31" s="9" t="str">
        <f>CONCATENATE("          ","6113"," - ","GROUP INSURANCE")</f>
        <v xml:space="preserve">          6113 - GROUP INSURANCE</v>
      </c>
      <c r="C31" s="9"/>
      <c r="D31" s="6">
        <v>13050.78</v>
      </c>
      <c r="E31" s="3"/>
      <c r="F31" s="7">
        <f t="shared" si="4"/>
        <v>0.19718413706877991</v>
      </c>
      <c r="G31" s="3"/>
      <c r="H31" s="6">
        <v>17475.0461538462</v>
      </c>
      <c r="I31" s="3"/>
      <c r="J31" s="7">
        <f t="shared" si="5"/>
        <v>0.17904576954996568</v>
      </c>
      <c r="K31" s="3"/>
      <c r="L31" s="6">
        <f t="shared" si="6"/>
        <v>-4424.2661538461998</v>
      </c>
      <c r="M31" s="3"/>
      <c r="N31" s="7">
        <f t="shared" si="7"/>
        <v>-0.2531762213899752</v>
      </c>
      <c r="O31" s="9"/>
      <c r="P31" s="6">
        <v>158957.49</v>
      </c>
      <c r="Q31" s="3"/>
      <c r="R31" s="7">
        <f t="shared" si="8"/>
        <v>7.6656620774268394E-2</v>
      </c>
      <c r="S31" s="3"/>
      <c r="T31" s="6">
        <v>191065.811538462</v>
      </c>
      <c r="U31" s="3"/>
      <c r="V31" s="7">
        <f t="shared" si="9"/>
        <v>7.1975774570587112E-2</v>
      </c>
      <c r="W31" s="3"/>
      <c r="X31" s="6">
        <f t="shared" si="10"/>
        <v>-32108.321538462013</v>
      </c>
      <c r="Y31" s="3"/>
      <c r="Z31" s="7">
        <f t="shared" si="11"/>
        <v>-0.16804849219190912</v>
      </c>
    </row>
    <row r="32" spans="1:26" s="70" customFormat="1" ht="15" hidden="1" customHeight="1" outlineLevel="2" x14ac:dyDescent="0.3">
      <c r="A32" s="21"/>
      <c r="B32" s="9" t="str">
        <f>CONCATENATE("          ","6114"," - ","STATE UNEMPLOYMENT INSURANCE")</f>
        <v xml:space="preserve">          6114 - STATE UNEMPLOYMENT INSURANCE</v>
      </c>
      <c r="C32" s="9"/>
      <c r="D32" s="6"/>
      <c r="E32" s="3"/>
      <c r="F32" s="7">
        <f t="shared" si="4"/>
        <v>0</v>
      </c>
      <c r="G32" s="3"/>
      <c r="H32" s="6">
        <v>153.45064876615399</v>
      </c>
      <c r="I32" s="3"/>
      <c r="J32" s="7">
        <f t="shared" si="5"/>
        <v>1.5722241448976341E-3</v>
      </c>
      <c r="K32" s="3"/>
      <c r="L32" s="6">
        <f t="shared" si="6"/>
        <v>-153.45064876615399</v>
      </c>
      <c r="M32" s="3"/>
      <c r="N32" s="7">
        <f t="shared" si="7"/>
        <v>-1</v>
      </c>
      <c r="O32" s="9"/>
      <c r="P32" s="6">
        <v>2634.44</v>
      </c>
      <c r="Q32" s="3"/>
      <c r="R32" s="7">
        <f t="shared" si="8"/>
        <v>1.2704482691099591E-3</v>
      </c>
      <c r="S32" s="3"/>
      <c r="T32" s="6">
        <v>2311.3933766700002</v>
      </c>
      <c r="U32" s="3"/>
      <c r="V32" s="7">
        <f t="shared" si="9"/>
        <v>8.707174103183737E-4</v>
      </c>
      <c r="W32" s="3"/>
      <c r="X32" s="6">
        <f t="shared" si="10"/>
        <v>323.04662332999987</v>
      </c>
      <c r="Y32" s="3"/>
      <c r="Z32" s="7">
        <f t="shared" si="11"/>
        <v>0.13976271914190985</v>
      </c>
    </row>
    <row r="33" spans="1:26" s="70" customFormat="1" ht="15" hidden="1" customHeight="1" outlineLevel="2" x14ac:dyDescent="0.3">
      <c r="A33" s="21"/>
      <c r="B33" s="9" t="str">
        <f>CONCATENATE("          ","6115"," - ","P.E.R.S.")</f>
        <v xml:space="preserve">          6115 - P.E.R.S.</v>
      </c>
      <c r="C33" s="9"/>
      <c r="D33" s="6">
        <v>3041.45</v>
      </c>
      <c r="E33" s="3"/>
      <c r="F33" s="7">
        <f t="shared" si="4"/>
        <v>4.5953245222725432E-2</v>
      </c>
      <c r="G33" s="3"/>
      <c r="H33" s="6">
        <v>3199.1709584615401</v>
      </c>
      <c r="I33" s="3"/>
      <c r="J33" s="7">
        <f t="shared" si="5"/>
        <v>3.2778055127114888E-2</v>
      </c>
      <c r="K33" s="3"/>
      <c r="L33" s="6">
        <f t="shared" si="6"/>
        <v>-157.72095846154025</v>
      </c>
      <c r="M33" s="3"/>
      <c r="N33" s="7">
        <f t="shared" si="7"/>
        <v>-4.9300572088647368E-2</v>
      </c>
      <c r="O33" s="9"/>
      <c r="P33" s="6">
        <v>43228.57</v>
      </c>
      <c r="Q33" s="3"/>
      <c r="R33" s="7">
        <f t="shared" si="8"/>
        <v>2.0846806885941115E-2</v>
      </c>
      <c r="S33" s="3"/>
      <c r="T33" s="6">
        <v>38648.435259999998</v>
      </c>
      <c r="U33" s="3"/>
      <c r="V33" s="7">
        <f t="shared" si="9"/>
        <v>1.4559125158923146E-2</v>
      </c>
      <c r="W33" s="3"/>
      <c r="X33" s="6">
        <f t="shared" si="10"/>
        <v>4580.1347400000013</v>
      </c>
      <c r="Y33" s="3"/>
      <c r="Z33" s="7">
        <f t="shared" si="11"/>
        <v>0.11850763709288657</v>
      </c>
    </row>
    <row r="34" spans="1:26" s="70" customFormat="1" ht="15" hidden="1" customHeight="1" outlineLevel="2" x14ac:dyDescent="0.3">
      <c r="A34" s="21"/>
      <c r="B34" s="9" t="str">
        <f>CONCATENATE("          ","6116"," - ","EDUCATIONAL BENEFITS")</f>
        <v xml:space="preserve">          6116 - EDUCATIONAL BENEFITS</v>
      </c>
      <c r="C34" s="9"/>
      <c r="D34" s="6"/>
      <c r="E34" s="3"/>
      <c r="F34" s="7">
        <f t="shared" si="4"/>
        <v>0</v>
      </c>
      <c r="G34" s="3"/>
      <c r="H34" s="6">
        <v>0</v>
      </c>
      <c r="I34" s="3"/>
      <c r="J34" s="7">
        <f t="shared" si="5"/>
        <v>0</v>
      </c>
      <c r="K34" s="3"/>
      <c r="L34" s="6">
        <f t="shared" si="6"/>
        <v>0</v>
      </c>
      <c r="M34" s="3"/>
      <c r="N34" s="7">
        <f t="shared" si="7"/>
        <v>0</v>
      </c>
      <c r="O34" s="9"/>
      <c r="P34" s="6"/>
      <c r="Q34" s="3"/>
      <c r="R34" s="7">
        <f t="shared" si="8"/>
        <v>0</v>
      </c>
      <c r="S34" s="3"/>
      <c r="T34" s="6">
        <v>0</v>
      </c>
      <c r="U34" s="3"/>
      <c r="V34" s="7">
        <f t="shared" si="9"/>
        <v>0</v>
      </c>
      <c r="W34" s="3"/>
      <c r="X34" s="6">
        <f t="shared" si="10"/>
        <v>0</v>
      </c>
      <c r="Y34" s="3"/>
      <c r="Z34" s="7">
        <f t="shared" si="11"/>
        <v>0</v>
      </c>
    </row>
    <row r="35" spans="1:26" s="70" customFormat="1" ht="15" hidden="1" customHeight="1" outlineLevel="2" x14ac:dyDescent="0.3">
      <c r="A35" s="21"/>
      <c r="B35" s="9" t="str">
        <f>CONCATENATE("          ","6117"," - ","RETIREMENT STAFF HOURLY")</f>
        <v xml:space="preserve">          6117 - RETIREMENT STAFF HOURLY</v>
      </c>
      <c r="C35" s="9"/>
      <c r="D35" s="6">
        <v>261.17</v>
      </c>
      <c r="E35" s="3"/>
      <c r="F35" s="7">
        <f t="shared" si="4"/>
        <v>3.9460155698167656E-3</v>
      </c>
      <c r="G35" s="3"/>
      <c r="H35" s="6"/>
      <c r="I35" s="3"/>
      <c r="J35" s="7">
        <f t="shared" si="5"/>
        <v>0</v>
      </c>
      <c r="K35" s="3"/>
      <c r="L35" s="6">
        <f t="shared" si="6"/>
        <v>261.17</v>
      </c>
      <c r="M35" s="3"/>
      <c r="N35" s="7">
        <f t="shared" si="7"/>
        <v>0</v>
      </c>
      <c r="O35" s="9"/>
      <c r="P35" s="6">
        <v>1723.91</v>
      </c>
      <c r="Q35" s="3"/>
      <c r="R35" s="7">
        <f t="shared" si="8"/>
        <v>8.3134877833670529E-4</v>
      </c>
      <c r="S35" s="3"/>
      <c r="T35" s="6"/>
      <c r="U35" s="3"/>
      <c r="V35" s="7">
        <f t="shared" si="9"/>
        <v>0</v>
      </c>
      <c r="W35" s="3"/>
      <c r="X35" s="6">
        <f t="shared" si="10"/>
        <v>1723.91</v>
      </c>
      <c r="Y35" s="3"/>
      <c r="Z35" s="7">
        <f t="shared" si="11"/>
        <v>0</v>
      </c>
    </row>
    <row r="36" spans="1:26" s="70" customFormat="1" ht="15" hidden="1" customHeight="1" outlineLevel="2" x14ac:dyDescent="0.3">
      <c r="A36" s="21"/>
      <c r="B36" s="9" t="str">
        <f>CONCATENATE("          ","6118"," - ","VACATION")</f>
        <v xml:space="preserve">          6118 - VACATION</v>
      </c>
      <c r="C36" s="9"/>
      <c r="D36" s="6">
        <v>2769.06</v>
      </c>
      <c r="E36" s="3"/>
      <c r="F36" s="7">
        <f t="shared" si="4"/>
        <v>4.1837706757119168E-2</v>
      </c>
      <c r="G36" s="3"/>
      <c r="H36" s="6">
        <v>2734.63729446154</v>
      </c>
      <c r="I36" s="3"/>
      <c r="J36" s="7">
        <f t="shared" si="5"/>
        <v>2.8018537663154475E-2</v>
      </c>
      <c r="K36" s="3"/>
      <c r="L36" s="6">
        <f t="shared" si="6"/>
        <v>34.422705538459923</v>
      </c>
      <c r="M36" s="3"/>
      <c r="N36" s="7">
        <f t="shared" si="7"/>
        <v>1.2587667698446232E-2</v>
      </c>
      <c r="O36" s="9"/>
      <c r="P36" s="6">
        <v>44428.5</v>
      </c>
      <c r="Q36" s="3"/>
      <c r="R36" s="7">
        <f t="shared" si="8"/>
        <v>2.1425468381952834E-2</v>
      </c>
      <c r="S36" s="3"/>
      <c r="T36" s="6">
        <v>33450.917756000003</v>
      </c>
      <c r="U36" s="3"/>
      <c r="V36" s="7">
        <f t="shared" si="9"/>
        <v>1.260118540412155E-2</v>
      </c>
      <c r="W36" s="3"/>
      <c r="X36" s="6">
        <f t="shared" si="10"/>
        <v>10977.582243999997</v>
      </c>
      <c r="Y36" s="3"/>
      <c r="Z36" s="7">
        <f t="shared" si="11"/>
        <v>0.32816983749365075</v>
      </c>
    </row>
    <row r="37" spans="1:26" s="70" customFormat="1" ht="15" hidden="1" customHeight="1" outlineLevel="2" x14ac:dyDescent="0.3">
      <c r="A37" s="21"/>
      <c r="B37" s="9" t="str">
        <f>CONCATENATE("          ","6119"," - ","SICK LEAVE")</f>
        <v xml:space="preserve">          6119 - SICK LEAVE</v>
      </c>
      <c r="C37" s="9"/>
      <c r="D37" s="6">
        <v>1914.06</v>
      </c>
      <c r="E37" s="3"/>
      <c r="F37" s="7">
        <f t="shared" si="4"/>
        <v>2.8919518174229344E-2</v>
      </c>
      <c r="G37" s="3"/>
      <c r="H37" s="6">
        <v>1543.4336424615401</v>
      </c>
      <c r="I37" s="3"/>
      <c r="J37" s="7">
        <f t="shared" si="5"/>
        <v>1.5813707261826623E-2</v>
      </c>
      <c r="K37" s="3"/>
      <c r="L37" s="6">
        <f t="shared" si="6"/>
        <v>370.62635753845984</v>
      </c>
      <c r="M37" s="3"/>
      <c r="N37" s="7">
        <f t="shared" si="7"/>
        <v>0.24013106060547418</v>
      </c>
      <c r="O37" s="9"/>
      <c r="P37" s="6">
        <v>37261</v>
      </c>
      <c r="Q37" s="3"/>
      <c r="R37" s="7">
        <f t="shared" si="8"/>
        <v>1.7968969858985662E-2</v>
      </c>
      <c r="S37" s="3"/>
      <c r="T37" s="6">
        <v>23844.173079</v>
      </c>
      <c r="U37" s="3"/>
      <c r="V37" s="7">
        <f t="shared" si="9"/>
        <v>8.9822601570490306E-3</v>
      </c>
      <c r="W37" s="3"/>
      <c r="X37" s="6">
        <f t="shared" si="10"/>
        <v>13416.826921</v>
      </c>
      <c r="Y37" s="3"/>
      <c r="Z37" s="7">
        <f t="shared" si="11"/>
        <v>0.56268786829166428</v>
      </c>
    </row>
    <row r="38" spans="1:26" s="70" customFormat="1" ht="15" hidden="1" customHeight="1" outlineLevel="2" x14ac:dyDescent="0.3">
      <c r="A38" s="21"/>
      <c r="B38" s="9" t="str">
        <f>CONCATENATE("          ","6156"," - ","EMPLOYEE MEALS")</f>
        <v xml:space="preserve">          6156 - EMPLOYEE MEALS</v>
      </c>
      <c r="C38" s="9"/>
      <c r="D38" s="6">
        <v>1769.32</v>
      </c>
      <c r="E38" s="3"/>
      <c r="F38" s="7">
        <f t="shared" si="4"/>
        <v>2.6732642600559787E-2</v>
      </c>
      <c r="G38" s="3"/>
      <c r="H38" s="6">
        <v>1945</v>
      </c>
      <c r="I38" s="3"/>
      <c r="J38" s="7">
        <f t="shared" si="5"/>
        <v>1.9928074507433325E-2</v>
      </c>
      <c r="K38" s="3"/>
      <c r="L38" s="6">
        <f t="shared" si="6"/>
        <v>-175.68000000000006</v>
      </c>
      <c r="M38" s="3"/>
      <c r="N38" s="7">
        <f t="shared" si="7"/>
        <v>-9.0323907455012883E-2</v>
      </c>
      <c r="O38" s="9"/>
      <c r="P38" s="6">
        <v>21450.75</v>
      </c>
      <c r="Q38" s="3"/>
      <c r="R38" s="7">
        <f t="shared" si="8"/>
        <v>1.0344539336105759E-2</v>
      </c>
      <c r="S38" s="3"/>
      <c r="T38" s="6">
        <v>24676</v>
      </c>
      <c r="U38" s="3"/>
      <c r="V38" s="7">
        <f t="shared" si="9"/>
        <v>9.2956149454622855E-3</v>
      </c>
      <c r="W38" s="3"/>
      <c r="X38" s="6">
        <f t="shared" si="10"/>
        <v>-3225.25</v>
      </c>
      <c r="Y38" s="3"/>
      <c r="Z38" s="7">
        <f t="shared" si="11"/>
        <v>-0.13070392284000648</v>
      </c>
    </row>
    <row r="39" spans="1:26" s="69" customFormat="1" ht="15" customHeight="1" outlineLevel="1" collapsed="1" x14ac:dyDescent="0.3">
      <c r="A39" s="20"/>
      <c r="B39" s="11" t="str">
        <f>CONCATENATE("     ","*Payroll                                          ")</f>
        <v xml:space="preserve">     *Payroll                                          </v>
      </c>
      <c r="C39" s="11"/>
      <c r="D39" s="2">
        <f>SUM(OSRRefD22_1x_0)</f>
        <v>48748.32</v>
      </c>
      <c r="E39" s="2"/>
      <c r="F39" s="5">
        <f t="shared" si="4"/>
        <v>0.73653800100474798</v>
      </c>
      <c r="G39" s="2"/>
      <c r="H39" s="2">
        <f>SUM(OSRRefH22_1x_0)</f>
        <v>68818.918570769194</v>
      </c>
      <c r="I39" s="2"/>
      <c r="J39" s="5">
        <f t="shared" si="5"/>
        <v>0.70510464616929325</v>
      </c>
      <c r="K39" s="2"/>
      <c r="L39" s="2">
        <f t="shared" si="6"/>
        <v>-20070.598570769194</v>
      </c>
      <c r="M39" s="2"/>
      <c r="N39" s="5">
        <f t="shared" si="7"/>
        <v>-0.29164362049847981</v>
      </c>
      <c r="O39" s="11"/>
      <c r="P39" s="2">
        <f>SUM(OSRRefP22_1x_0)</f>
        <v>1006014.6900000001</v>
      </c>
      <c r="Q39" s="2"/>
      <c r="R39" s="5">
        <f t="shared" si="8"/>
        <v>0.48514660482291955</v>
      </c>
      <c r="S39" s="2"/>
      <c r="T39" s="2">
        <f>SUM(OSRRefT22_1x_0)</f>
        <v>1044417.7883900001</v>
      </c>
      <c r="U39" s="2"/>
      <c r="V39" s="5">
        <f t="shared" si="9"/>
        <v>0.39343919610409916</v>
      </c>
      <c r="W39" s="2"/>
      <c r="X39" s="2">
        <f t="shared" si="10"/>
        <v>-38403.098390000057</v>
      </c>
      <c r="Y39" s="2"/>
      <c r="Z39" s="5">
        <f t="shared" si="11"/>
        <v>-3.6769862421818317E-2</v>
      </c>
    </row>
    <row r="40" spans="1:26" s="70" customFormat="1" ht="15" hidden="1" customHeight="1" outlineLevel="2" x14ac:dyDescent="0.3">
      <c r="A40" s="21"/>
      <c r="B40" s="9" t="str">
        <f>CONCATENATE("          ","6001"," - ","ADMINISTRATIVE SALARIES")</f>
        <v xml:space="preserve">          6001 - ADMINISTRATIVE SALARIES</v>
      </c>
      <c r="C40" s="9"/>
      <c r="D40" s="6">
        <v>5756.01</v>
      </c>
      <c r="E40" s="3"/>
      <c r="F40" s="7">
        <f t="shared" si="4"/>
        <v>8.6967511888888474E-2</v>
      </c>
      <c r="G40" s="3"/>
      <c r="H40" s="6">
        <v>10268.307692307701</v>
      </c>
      <c r="I40" s="3"/>
      <c r="J40" s="7">
        <f t="shared" si="5"/>
        <v>0.10520699267740802</v>
      </c>
      <c r="K40" s="3"/>
      <c r="L40" s="6">
        <f t="shared" si="6"/>
        <v>-4512.2976923077003</v>
      </c>
      <c r="M40" s="3"/>
      <c r="N40" s="7">
        <f t="shared" si="7"/>
        <v>-0.43943927544048944</v>
      </c>
      <c r="O40" s="9"/>
      <c r="P40" s="6">
        <v>128912.89</v>
      </c>
      <c r="Q40" s="3"/>
      <c r="R40" s="7">
        <f t="shared" si="8"/>
        <v>6.2167731269819226E-2</v>
      </c>
      <c r="S40" s="3"/>
      <c r="T40" s="6">
        <v>133488</v>
      </c>
      <c r="U40" s="3"/>
      <c r="V40" s="7">
        <f t="shared" si="9"/>
        <v>5.028582622142444E-2</v>
      </c>
      <c r="W40" s="3"/>
      <c r="X40" s="6">
        <f t="shared" si="10"/>
        <v>-4575.1100000000006</v>
      </c>
      <c r="Y40" s="3"/>
      <c r="Z40" s="7">
        <f t="shared" si="11"/>
        <v>-3.4273567661512648E-2</v>
      </c>
    </row>
    <row r="41" spans="1:26" s="70" customFormat="1" ht="15" hidden="1" customHeight="1" outlineLevel="2" x14ac:dyDescent="0.3">
      <c r="A41" s="21"/>
      <c r="B41" s="9" t="str">
        <f>CONCATENATE("          ","6002"," - ","STAFF SALARIES")</f>
        <v xml:space="preserve">          6002 - STAFF SALARIES</v>
      </c>
      <c r="C41" s="9"/>
      <c r="D41" s="6">
        <v>16186.68</v>
      </c>
      <c r="E41" s="3"/>
      <c r="F41" s="7">
        <f t="shared" si="4"/>
        <v>0.24456442663262107</v>
      </c>
      <c r="G41" s="3"/>
      <c r="H41" s="6">
        <v>23952.633038461499</v>
      </c>
      <c r="I41" s="3"/>
      <c r="J41" s="7">
        <f t="shared" si="5"/>
        <v>0.24541380762965032</v>
      </c>
      <c r="K41" s="3"/>
      <c r="L41" s="6">
        <f t="shared" si="6"/>
        <v>-7765.9530384614991</v>
      </c>
      <c r="M41" s="3"/>
      <c r="N41" s="7">
        <f t="shared" si="7"/>
        <v>-0.32422126728161632</v>
      </c>
      <c r="O41" s="9"/>
      <c r="P41" s="6">
        <v>282002.03999999998</v>
      </c>
      <c r="Q41" s="3"/>
      <c r="R41" s="7">
        <f t="shared" si="8"/>
        <v>0.13599436829211425</v>
      </c>
      <c r="S41" s="3"/>
      <c r="T41" s="6">
        <v>278898.78950000001</v>
      </c>
      <c r="U41" s="3"/>
      <c r="V41" s="7">
        <f t="shared" si="9"/>
        <v>0.10506304733131544</v>
      </c>
      <c r="W41" s="3"/>
      <c r="X41" s="6">
        <f t="shared" si="10"/>
        <v>3103.2504999999655</v>
      </c>
      <c r="Y41" s="3"/>
      <c r="Z41" s="7">
        <f t="shared" si="11"/>
        <v>1.1126798024341964E-2</v>
      </c>
    </row>
    <row r="42" spans="1:26" s="70" customFormat="1" ht="15" hidden="1" customHeight="1" outlineLevel="2" x14ac:dyDescent="0.3">
      <c r="A42" s="21"/>
      <c r="B42" s="9" t="str">
        <f>CONCATENATE("          ","6003"," - ","STAFF HOURLY-9 MONTH")</f>
        <v xml:space="preserve">          6003 - STAFF HOURLY-9 MONTH</v>
      </c>
      <c r="C42" s="9"/>
      <c r="D42" s="6"/>
      <c r="E42" s="3"/>
      <c r="F42" s="7">
        <f t="shared" si="4"/>
        <v>0</v>
      </c>
      <c r="G42" s="3"/>
      <c r="H42" s="6">
        <v>0</v>
      </c>
      <c r="I42" s="3"/>
      <c r="J42" s="7">
        <f t="shared" si="5"/>
        <v>0</v>
      </c>
      <c r="K42" s="3"/>
      <c r="L42" s="6">
        <f t="shared" si="6"/>
        <v>0</v>
      </c>
      <c r="M42" s="3"/>
      <c r="N42" s="7">
        <f t="shared" si="7"/>
        <v>0</v>
      </c>
      <c r="O42" s="9"/>
      <c r="P42" s="6"/>
      <c r="Q42" s="3"/>
      <c r="R42" s="7">
        <f t="shared" si="8"/>
        <v>0</v>
      </c>
      <c r="S42" s="3"/>
      <c r="T42" s="6">
        <v>0</v>
      </c>
      <c r="U42" s="3"/>
      <c r="V42" s="7">
        <f t="shared" si="9"/>
        <v>0</v>
      </c>
      <c r="W42" s="3"/>
      <c r="X42" s="6">
        <f t="shared" si="10"/>
        <v>0</v>
      </c>
      <c r="Y42" s="3"/>
      <c r="Z42" s="7">
        <f t="shared" si="11"/>
        <v>0</v>
      </c>
    </row>
    <row r="43" spans="1:26" s="70" customFormat="1" ht="15" hidden="1" customHeight="1" outlineLevel="2" x14ac:dyDescent="0.3">
      <c r="A43" s="21"/>
      <c r="B43" s="9" t="str">
        <f>CONCATENATE("          ","6004"," - ","STAFF HOURLY")</f>
        <v xml:space="preserve">          6004 - STAFF HOURLY</v>
      </c>
      <c r="C43" s="9"/>
      <c r="D43" s="6">
        <v>9119.61</v>
      </c>
      <c r="E43" s="3"/>
      <c r="F43" s="7">
        <f t="shared" si="4"/>
        <v>0.13778811904375188</v>
      </c>
      <c r="G43" s="3"/>
      <c r="H43" s="6">
        <v>16098.45894</v>
      </c>
      <c r="I43" s="3"/>
      <c r="J43" s="7">
        <f t="shared" si="5"/>
        <v>0.16494153686949931</v>
      </c>
      <c r="K43" s="3"/>
      <c r="L43" s="6">
        <f t="shared" si="6"/>
        <v>-6978.8489399999999</v>
      </c>
      <c r="M43" s="3"/>
      <c r="N43" s="7">
        <f t="shared" si="7"/>
        <v>-0.43351037301213874</v>
      </c>
      <c r="O43" s="9"/>
      <c r="P43" s="6">
        <v>154800.56</v>
      </c>
      <c r="Q43" s="3"/>
      <c r="R43" s="7">
        <f t="shared" si="8"/>
        <v>7.4651957725077198E-2</v>
      </c>
      <c r="S43" s="3"/>
      <c r="T43" s="6">
        <v>211121.80718999999</v>
      </c>
      <c r="U43" s="3"/>
      <c r="V43" s="7">
        <f t="shared" si="9"/>
        <v>7.9531002846019244E-2</v>
      </c>
      <c r="W43" s="3"/>
      <c r="X43" s="6">
        <f t="shared" si="10"/>
        <v>-56321.247189999995</v>
      </c>
      <c r="Y43" s="3"/>
      <c r="Z43" s="7">
        <f t="shared" si="11"/>
        <v>-0.26677133897074612</v>
      </c>
    </row>
    <row r="44" spans="1:26" s="70" customFormat="1" ht="15" hidden="1" customHeight="1" outlineLevel="2" x14ac:dyDescent="0.3">
      <c r="A44" s="21"/>
      <c r="B44" s="9" t="str">
        <f>CONCATENATE("          ","6005"," - ","TEMPORARY WAGES-HOURLY")</f>
        <v xml:space="preserve">          6005 - TEMPORARY WAGES-HOURLY</v>
      </c>
      <c r="C44" s="9"/>
      <c r="D44" s="6">
        <v>11629.63</v>
      </c>
      <c r="E44" s="3"/>
      <c r="F44" s="7">
        <f t="shared" si="4"/>
        <v>0.17571199238506777</v>
      </c>
      <c r="G44" s="3"/>
      <c r="H44" s="6">
        <v>11716.8531</v>
      </c>
      <c r="I44" s="3"/>
      <c r="J44" s="7">
        <f t="shared" si="5"/>
        <v>0.12004849438018053</v>
      </c>
      <c r="K44" s="3"/>
      <c r="L44" s="6">
        <f t="shared" si="6"/>
        <v>-87.223100000001068</v>
      </c>
      <c r="M44" s="3"/>
      <c r="N44" s="7">
        <f t="shared" si="7"/>
        <v>-7.4442428573249812E-3</v>
      </c>
      <c r="O44" s="9"/>
      <c r="P44" s="6">
        <v>172303.41</v>
      </c>
      <c r="Q44" s="3"/>
      <c r="R44" s="7">
        <f t="shared" si="8"/>
        <v>8.3092637902644831E-2</v>
      </c>
      <c r="S44" s="3"/>
      <c r="T44" s="6">
        <v>126721.62450000001</v>
      </c>
      <c r="U44" s="3"/>
      <c r="V44" s="7">
        <f t="shared" si="9"/>
        <v>4.7736887121715824E-2</v>
      </c>
      <c r="W44" s="3"/>
      <c r="X44" s="6">
        <f t="shared" si="10"/>
        <v>45581.785499999998</v>
      </c>
      <c r="Y44" s="3"/>
      <c r="Z44" s="7">
        <f t="shared" si="11"/>
        <v>0.35970013547293184</v>
      </c>
    </row>
    <row r="45" spans="1:26" s="70" customFormat="1" ht="15" hidden="1" customHeight="1" outlineLevel="2" x14ac:dyDescent="0.3">
      <c r="A45" s="21"/>
      <c r="B45" s="9" t="str">
        <f>CONCATENATE("          ","6006"," - ","TEMPORARY PART TIME")</f>
        <v xml:space="preserve">          6006 - TEMPORARY PART TIME</v>
      </c>
      <c r="C45" s="9"/>
      <c r="D45" s="6">
        <v>1152</v>
      </c>
      <c r="E45" s="3"/>
      <c r="F45" s="7">
        <f t="shared" si="4"/>
        <v>1.7405559353788392E-2</v>
      </c>
      <c r="G45" s="3"/>
      <c r="H45" s="6">
        <v>0</v>
      </c>
      <c r="I45" s="3"/>
      <c r="J45" s="7">
        <f t="shared" si="5"/>
        <v>0</v>
      </c>
      <c r="K45" s="3"/>
      <c r="L45" s="6">
        <f t="shared" si="6"/>
        <v>1152</v>
      </c>
      <c r="M45" s="3"/>
      <c r="N45" s="7">
        <f t="shared" si="7"/>
        <v>0</v>
      </c>
      <c r="O45" s="9"/>
      <c r="P45" s="6">
        <v>7943.04</v>
      </c>
      <c r="Q45" s="3"/>
      <c r="R45" s="7">
        <f t="shared" si="8"/>
        <v>3.8304996202119502E-3</v>
      </c>
      <c r="S45" s="3"/>
      <c r="T45" s="6">
        <v>0</v>
      </c>
      <c r="U45" s="3"/>
      <c r="V45" s="7">
        <f t="shared" si="9"/>
        <v>0</v>
      </c>
      <c r="W45" s="3"/>
      <c r="X45" s="6">
        <f t="shared" si="10"/>
        <v>7943.04</v>
      </c>
      <c r="Y45" s="3"/>
      <c r="Z45" s="7">
        <f t="shared" si="11"/>
        <v>0</v>
      </c>
    </row>
    <row r="46" spans="1:26" s="70" customFormat="1" ht="15" hidden="1" customHeight="1" outlineLevel="2" x14ac:dyDescent="0.3">
      <c r="A46" s="21"/>
      <c r="B46" s="9" t="str">
        <f>CONCATENATE("          ","6007"," - ","STUDENT HOURLY")</f>
        <v xml:space="preserve">          6007 - STUDENT HOURLY</v>
      </c>
      <c r="C46" s="9"/>
      <c r="D46" s="6">
        <v>4661.3900000000003</v>
      </c>
      <c r="E46" s="3"/>
      <c r="F46" s="7">
        <f t="shared" si="4"/>
        <v>7.0428906524440685E-2</v>
      </c>
      <c r="G46" s="3"/>
      <c r="H46" s="6">
        <v>0</v>
      </c>
      <c r="I46" s="3"/>
      <c r="J46" s="7">
        <f t="shared" si="5"/>
        <v>0</v>
      </c>
      <c r="K46" s="3"/>
      <c r="L46" s="6">
        <f t="shared" si="6"/>
        <v>4661.3900000000003</v>
      </c>
      <c r="M46" s="3"/>
      <c r="N46" s="7">
        <f t="shared" si="7"/>
        <v>0</v>
      </c>
      <c r="O46" s="9"/>
      <c r="P46" s="6">
        <v>241491.82</v>
      </c>
      <c r="Q46" s="3"/>
      <c r="R46" s="7">
        <f t="shared" si="8"/>
        <v>0.11645847494086554</v>
      </c>
      <c r="S46" s="3"/>
      <c r="T46" s="6">
        <v>18888.098000000002</v>
      </c>
      <c r="U46" s="3"/>
      <c r="V46" s="7">
        <f t="shared" si="9"/>
        <v>7.1152733854821003E-3</v>
      </c>
      <c r="W46" s="3"/>
      <c r="X46" s="6">
        <f t="shared" si="10"/>
        <v>222603.72200000001</v>
      </c>
      <c r="Y46" s="3"/>
      <c r="Z46" s="7">
        <f t="shared" si="11"/>
        <v>11.785396390891236</v>
      </c>
    </row>
    <row r="47" spans="1:26" s="70" customFormat="1" ht="15" hidden="1" customHeight="1" outlineLevel="2" x14ac:dyDescent="0.3">
      <c r="A47" s="21"/>
      <c r="B47" s="9" t="str">
        <f>CONCATENATE("          ","6008"," - ","STUDENT HOURLY-FICA EXEMPT")</f>
        <v xml:space="preserve">          6008 - STUDENT HOURLY-FICA EXEMPT</v>
      </c>
      <c r="C47" s="9"/>
      <c r="D47" s="6">
        <v>243</v>
      </c>
      <c r="E47" s="3"/>
      <c r="F47" s="7">
        <f t="shared" si="4"/>
        <v>3.6714851761897385E-3</v>
      </c>
      <c r="G47" s="3"/>
      <c r="H47" s="6">
        <v>6782.6657999999998</v>
      </c>
      <c r="I47" s="3"/>
      <c r="J47" s="7">
        <f t="shared" si="5"/>
        <v>6.9493814612555202E-2</v>
      </c>
      <c r="K47" s="3"/>
      <c r="L47" s="6">
        <f t="shared" si="6"/>
        <v>-6539.6657999999998</v>
      </c>
      <c r="M47" s="3"/>
      <c r="N47" s="7">
        <f t="shared" si="7"/>
        <v>-0.96417337855567053</v>
      </c>
      <c r="O47" s="9"/>
      <c r="P47" s="6">
        <v>18560.93</v>
      </c>
      <c r="Q47" s="3"/>
      <c r="R47" s="7">
        <f t="shared" si="8"/>
        <v>8.9509350721865416E-3</v>
      </c>
      <c r="S47" s="3"/>
      <c r="T47" s="6">
        <v>275299.46919999999</v>
      </c>
      <c r="U47" s="3"/>
      <c r="V47" s="7">
        <f t="shared" si="9"/>
        <v>0.10370715919814208</v>
      </c>
      <c r="W47" s="3"/>
      <c r="X47" s="6">
        <f t="shared" si="10"/>
        <v>-256738.5392</v>
      </c>
      <c r="Y47" s="3"/>
      <c r="Z47" s="7">
        <f t="shared" si="11"/>
        <v>-0.93257912899746342</v>
      </c>
    </row>
    <row r="48" spans="1:26" s="70" customFormat="1" ht="15" hidden="1" customHeight="1" outlineLevel="2" x14ac:dyDescent="0.3">
      <c r="A48" s="21"/>
      <c r="B48" s="9" t="str">
        <f>CONCATENATE("          ","6009"," - ","TEMPORARY-SEASONAL")</f>
        <v xml:space="preserve">          6009 - TEMPORARY-SEASONAL</v>
      </c>
      <c r="C48" s="9"/>
      <c r="D48" s="6"/>
      <c r="E48" s="3"/>
      <c r="F48" s="7">
        <f t="shared" si="4"/>
        <v>0</v>
      </c>
      <c r="G48" s="3"/>
      <c r="H48" s="6">
        <v>0</v>
      </c>
      <c r="I48" s="3"/>
      <c r="J48" s="7">
        <f t="shared" si="5"/>
        <v>0</v>
      </c>
      <c r="K48" s="3"/>
      <c r="L48" s="6">
        <f t="shared" si="6"/>
        <v>0</v>
      </c>
      <c r="M48" s="3"/>
      <c r="N48" s="7">
        <f t="shared" si="7"/>
        <v>0</v>
      </c>
      <c r="O48" s="9"/>
      <c r="P48" s="6"/>
      <c r="Q48" s="3"/>
      <c r="R48" s="7">
        <f t="shared" si="8"/>
        <v>0</v>
      </c>
      <c r="S48" s="3"/>
      <c r="T48" s="6">
        <v>0</v>
      </c>
      <c r="U48" s="3"/>
      <c r="V48" s="7">
        <f t="shared" si="9"/>
        <v>0</v>
      </c>
      <c r="W48" s="3"/>
      <c r="X48" s="6">
        <f t="shared" si="10"/>
        <v>0</v>
      </c>
      <c r="Y48" s="3"/>
      <c r="Z48" s="7">
        <f t="shared" si="11"/>
        <v>0</v>
      </c>
    </row>
    <row r="49" spans="1:26" s="70" customFormat="1" ht="15" hidden="1" customHeight="1" outlineLevel="2" x14ac:dyDescent="0.3">
      <c r="A49" s="21"/>
      <c r="B49" s="9" t="str">
        <f>CONCATENATE("          ","6010"," - ","GRATUITY")</f>
        <v xml:space="preserve">          6010 - GRATUITY</v>
      </c>
      <c r="C49" s="9"/>
      <c r="D49" s="6"/>
      <c r="E49" s="3"/>
      <c r="F49" s="7">
        <f t="shared" si="4"/>
        <v>0</v>
      </c>
      <c r="G49" s="3"/>
      <c r="H49" s="6">
        <v>0</v>
      </c>
      <c r="I49" s="3"/>
      <c r="J49" s="7">
        <f t="shared" si="5"/>
        <v>0</v>
      </c>
      <c r="K49" s="3"/>
      <c r="L49" s="6">
        <f t="shared" si="6"/>
        <v>0</v>
      </c>
      <c r="M49" s="3"/>
      <c r="N49" s="7">
        <f t="shared" si="7"/>
        <v>0</v>
      </c>
      <c r="O49" s="9"/>
      <c r="P49" s="6"/>
      <c r="Q49" s="3"/>
      <c r="R49" s="7">
        <f t="shared" si="8"/>
        <v>0</v>
      </c>
      <c r="S49" s="3"/>
      <c r="T49" s="6">
        <v>0</v>
      </c>
      <c r="U49" s="3"/>
      <c r="V49" s="7">
        <f t="shared" si="9"/>
        <v>0</v>
      </c>
      <c r="W49" s="3"/>
      <c r="X49" s="6">
        <f t="shared" si="10"/>
        <v>0</v>
      </c>
      <c r="Y49" s="3"/>
      <c r="Z49" s="7">
        <f t="shared" si="11"/>
        <v>0</v>
      </c>
    </row>
    <row r="50" spans="1:26" s="69" customFormat="1" ht="15" customHeight="1" outlineLevel="1" collapsed="1" x14ac:dyDescent="0.3">
      <c r="A50" s="20"/>
      <c r="B50" s="11" t="str">
        <f>CONCATENATE("     ","Advertising/Promo                                 ")</f>
        <v xml:space="preserve">     Advertising/Promo                                 </v>
      </c>
      <c r="C50" s="11"/>
      <c r="D50" s="2">
        <f>SUM(OSRRefD22_2x_0)</f>
        <v>1272.93</v>
      </c>
      <c r="E50" s="2"/>
      <c r="F50" s="5">
        <f t="shared" si="4"/>
        <v>1.9232689816161334E-2</v>
      </c>
      <c r="G50" s="2"/>
      <c r="H50" s="2">
        <f>SUM(OSRRefH22_2x_0)</f>
        <v>0</v>
      </c>
      <c r="I50" s="2"/>
      <c r="J50" s="5">
        <f t="shared" si="5"/>
        <v>0</v>
      </c>
      <c r="K50" s="2"/>
      <c r="L50" s="2">
        <f t="shared" si="6"/>
        <v>1272.93</v>
      </c>
      <c r="M50" s="2"/>
      <c r="N50" s="5">
        <f t="shared" si="7"/>
        <v>0</v>
      </c>
      <c r="O50" s="11"/>
      <c r="P50" s="2">
        <f>SUM(OSRRefP22_2x_0)</f>
        <v>4089.69</v>
      </c>
      <c r="Q50" s="2"/>
      <c r="R50" s="5">
        <f t="shared" si="8"/>
        <v>1.9722368251682745E-3</v>
      </c>
      <c r="S50" s="2"/>
      <c r="T50" s="2">
        <f>SUM(OSRRefT22_2x_0)</f>
        <v>0</v>
      </c>
      <c r="U50" s="2"/>
      <c r="V50" s="5">
        <f t="shared" si="9"/>
        <v>0</v>
      </c>
      <c r="W50" s="2"/>
      <c r="X50" s="2">
        <f t="shared" si="10"/>
        <v>4089.69</v>
      </c>
      <c r="Y50" s="2"/>
      <c r="Z50" s="5">
        <f t="shared" si="11"/>
        <v>0</v>
      </c>
    </row>
    <row r="51" spans="1:26" s="70" customFormat="1" ht="15" hidden="1" customHeight="1" outlineLevel="2" x14ac:dyDescent="0.3">
      <c r="A51" s="21"/>
      <c r="B51" s="9" t="str">
        <f>CONCATENATE("          ","6362"," - ","ADVERTISING EXPENSE")</f>
        <v xml:space="preserve">          6362 - ADVERTISING EXPENSE</v>
      </c>
      <c r="C51" s="9"/>
      <c r="D51" s="6">
        <v>1272.93</v>
      </c>
      <c r="E51" s="3"/>
      <c r="F51" s="7">
        <f t="shared" si="4"/>
        <v>1.9232689816161334E-2</v>
      </c>
      <c r="G51" s="3"/>
      <c r="H51" s="6"/>
      <c r="I51" s="3"/>
      <c r="J51" s="7">
        <f t="shared" si="5"/>
        <v>0</v>
      </c>
      <c r="K51" s="3"/>
      <c r="L51" s="6">
        <f t="shared" si="6"/>
        <v>1272.93</v>
      </c>
      <c r="M51" s="3"/>
      <c r="N51" s="7">
        <f t="shared" si="7"/>
        <v>0</v>
      </c>
      <c r="O51" s="9"/>
      <c r="P51" s="6">
        <v>4089.69</v>
      </c>
      <c r="Q51" s="3"/>
      <c r="R51" s="7">
        <f t="shared" si="8"/>
        <v>1.9722368251682745E-3</v>
      </c>
      <c r="S51" s="3"/>
      <c r="T51" s="6">
        <v>0</v>
      </c>
      <c r="U51" s="3"/>
      <c r="V51" s="7">
        <f t="shared" si="9"/>
        <v>0</v>
      </c>
      <c r="W51" s="3"/>
      <c r="X51" s="6">
        <f t="shared" si="10"/>
        <v>4089.69</v>
      </c>
      <c r="Y51" s="3"/>
      <c r="Z51" s="7">
        <f t="shared" si="11"/>
        <v>0</v>
      </c>
    </row>
    <row r="52" spans="1:26" s="69" customFormat="1" ht="15" customHeight="1" outlineLevel="1" collapsed="1" x14ac:dyDescent="0.3">
      <c r="A52" s="20"/>
      <c r="B52" s="11" t="str">
        <f>CONCATENATE("     ","Bad Debts/Over/Short                              ")</f>
        <v xml:space="preserve">     Bad Debts/Over/Short                              </v>
      </c>
      <c r="C52" s="11"/>
      <c r="D52" s="2">
        <f>SUM(OSRRefD22_3x_0)</f>
        <v>-112.64</v>
      </c>
      <c r="E52" s="2"/>
      <c r="F52" s="5">
        <f t="shared" si="4"/>
        <v>-1.7018769145926427E-3</v>
      </c>
      <c r="G52" s="2"/>
      <c r="H52" s="2">
        <f>SUM(OSRRefH22_3x_0)</f>
        <v>10</v>
      </c>
      <c r="I52" s="2"/>
      <c r="J52" s="5">
        <f t="shared" si="5"/>
        <v>1.0245796661919448E-4</v>
      </c>
      <c r="K52" s="2"/>
      <c r="L52" s="2">
        <f t="shared" si="6"/>
        <v>-122.64</v>
      </c>
      <c r="M52" s="2"/>
      <c r="N52" s="5">
        <f t="shared" si="7"/>
        <v>-12.263999999999999</v>
      </c>
      <c r="O52" s="11"/>
      <c r="P52" s="2">
        <f>SUM(OSRRefP22_3x_0)</f>
        <v>-156.21</v>
      </c>
      <c r="Q52" s="2"/>
      <c r="R52" s="5">
        <f t="shared" si="8"/>
        <v>-7.5331654589843282E-5</v>
      </c>
      <c r="S52" s="2"/>
      <c r="T52" s="2">
        <f>SUM(OSRRefT22_3x_0)</f>
        <v>80</v>
      </c>
      <c r="U52" s="2"/>
      <c r="V52" s="5">
        <f t="shared" si="9"/>
        <v>3.0136537349529209E-5</v>
      </c>
      <c r="W52" s="2"/>
      <c r="X52" s="2">
        <f t="shared" si="10"/>
        <v>-236.21</v>
      </c>
      <c r="Y52" s="2"/>
      <c r="Z52" s="5">
        <f t="shared" si="11"/>
        <v>-2.9526250000000003</v>
      </c>
    </row>
    <row r="53" spans="1:26" s="70" customFormat="1" ht="15" hidden="1" customHeight="1" outlineLevel="2" x14ac:dyDescent="0.3">
      <c r="A53" s="21"/>
      <c r="B53" s="9" t="str">
        <f>CONCATENATE("          ","6272"," - ","CASH (OVER/SHORT)")</f>
        <v xml:space="preserve">          6272 - CASH (OVER/SHORT)</v>
      </c>
      <c r="C53" s="9"/>
      <c r="D53" s="6">
        <v>-112.64</v>
      </c>
      <c r="E53" s="3"/>
      <c r="F53" s="7">
        <f t="shared" si="4"/>
        <v>-1.7018769145926427E-3</v>
      </c>
      <c r="G53" s="3"/>
      <c r="H53" s="6">
        <v>10</v>
      </c>
      <c r="I53" s="3"/>
      <c r="J53" s="7">
        <f t="shared" si="5"/>
        <v>1.0245796661919448E-4</v>
      </c>
      <c r="K53" s="3"/>
      <c r="L53" s="6">
        <f t="shared" si="6"/>
        <v>-122.64</v>
      </c>
      <c r="M53" s="3"/>
      <c r="N53" s="7">
        <f t="shared" si="7"/>
        <v>-12.263999999999999</v>
      </c>
      <c r="O53" s="9"/>
      <c r="P53" s="6">
        <v>-156.21</v>
      </c>
      <c r="Q53" s="3"/>
      <c r="R53" s="7">
        <f t="shared" si="8"/>
        <v>-7.5331654589843282E-5</v>
      </c>
      <c r="S53" s="3"/>
      <c r="T53" s="6">
        <v>80</v>
      </c>
      <c r="U53" s="3"/>
      <c r="V53" s="7">
        <f t="shared" si="9"/>
        <v>3.0136537349529209E-5</v>
      </c>
      <c r="W53" s="3"/>
      <c r="X53" s="6">
        <f t="shared" si="10"/>
        <v>-236.21</v>
      </c>
      <c r="Y53" s="3"/>
      <c r="Z53" s="7">
        <f t="shared" si="11"/>
        <v>-2.9526250000000003</v>
      </c>
    </row>
    <row r="54" spans="1:26" s="69" customFormat="1" ht="15" customHeight="1" outlineLevel="1" collapsed="1" x14ac:dyDescent="0.3">
      <c r="A54" s="20"/>
      <c r="B54" s="11" t="str">
        <f>CONCATENATE("     ","Bank/card Fees                                    ")</f>
        <v xml:space="preserve">     Bank/card Fees                                    </v>
      </c>
      <c r="C54" s="11"/>
      <c r="D54" s="2">
        <f>SUM(OSRRefD22_4x_0)</f>
        <v>2141.69</v>
      </c>
      <c r="E54" s="2"/>
      <c r="F54" s="5">
        <f t="shared" si="4"/>
        <v>3.2358778135776964E-2</v>
      </c>
      <c r="G54" s="2"/>
      <c r="H54" s="2">
        <f>SUM(OSRRefH22_4x_0)</f>
        <v>5145.5</v>
      </c>
      <c r="I54" s="2"/>
      <c r="J54" s="5">
        <f t="shared" si="5"/>
        <v>5.2719746723906516E-2</v>
      </c>
      <c r="K54" s="2"/>
      <c r="L54" s="2">
        <f t="shared" si="6"/>
        <v>-3003.81</v>
      </c>
      <c r="M54" s="2"/>
      <c r="N54" s="5">
        <f t="shared" si="7"/>
        <v>-0.58377417160625789</v>
      </c>
      <c r="O54" s="11"/>
      <c r="P54" s="2">
        <f>SUM(OSRRefP22_4x_0)</f>
        <v>76935.81</v>
      </c>
      <c r="Q54" s="2"/>
      <c r="R54" s="5">
        <f t="shared" si="8"/>
        <v>3.7101990042313619E-2</v>
      </c>
      <c r="S54" s="2"/>
      <c r="T54" s="2">
        <f>SUM(OSRRefT22_4x_0)</f>
        <v>125912.25</v>
      </c>
      <c r="U54" s="2"/>
      <c r="V54" s="5">
        <f t="shared" si="9"/>
        <v>4.7431990311103241E-2</v>
      </c>
      <c r="W54" s="2"/>
      <c r="X54" s="2">
        <f t="shared" si="10"/>
        <v>-48976.44</v>
      </c>
      <c r="Y54" s="2"/>
      <c r="Z54" s="5">
        <f t="shared" si="11"/>
        <v>-0.38897279653091738</v>
      </c>
    </row>
    <row r="55" spans="1:26" s="70" customFormat="1" ht="15" hidden="1" customHeight="1" outlineLevel="2" x14ac:dyDescent="0.3">
      <c r="A55" s="21"/>
      <c r="B55" s="9" t="str">
        <f>CONCATENATE("          ","6381"," - ","BANK/CREDIT CARD FEES")</f>
        <v xml:space="preserve">          6381 - BANK/CREDIT CARD FEES</v>
      </c>
      <c r="C55" s="9"/>
      <c r="D55" s="6">
        <v>2141.69</v>
      </c>
      <c r="E55" s="3"/>
      <c r="F55" s="7">
        <f t="shared" si="4"/>
        <v>3.2358778135776964E-2</v>
      </c>
      <c r="G55" s="3"/>
      <c r="H55" s="6">
        <v>5145.5</v>
      </c>
      <c r="I55" s="3"/>
      <c r="J55" s="7">
        <f t="shared" si="5"/>
        <v>5.2719746723906516E-2</v>
      </c>
      <c r="K55" s="3"/>
      <c r="L55" s="6">
        <f t="shared" si="6"/>
        <v>-3003.81</v>
      </c>
      <c r="M55" s="3"/>
      <c r="N55" s="7">
        <f t="shared" si="7"/>
        <v>-0.58377417160625789</v>
      </c>
      <c r="O55" s="9"/>
      <c r="P55" s="6">
        <v>76935.81</v>
      </c>
      <c r="Q55" s="3"/>
      <c r="R55" s="7">
        <f t="shared" si="8"/>
        <v>3.7101990042313619E-2</v>
      </c>
      <c r="S55" s="3"/>
      <c r="T55" s="6">
        <v>125912.25</v>
      </c>
      <c r="U55" s="3"/>
      <c r="V55" s="7">
        <f t="shared" si="9"/>
        <v>4.7431990311103241E-2</v>
      </c>
      <c r="W55" s="3"/>
      <c r="X55" s="6">
        <f t="shared" si="10"/>
        <v>-48976.44</v>
      </c>
      <c r="Y55" s="3"/>
      <c r="Z55" s="7">
        <f t="shared" si="11"/>
        <v>-0.38897279653091738</v>
      </c>
    </row>
    <row r="56" spans="1:26" s="69" customFormat="1" ht="15" customHeight="1" outlineLevel="1" collapsed="1" x14ac:dyDescent="0.3">
      <c r="A56" s="20"/>
      <c r="B56" s="11" t="str">
        <f>CONCATENATE("     ","Depreciation                                      ")</f>
        <v xml:space="preserve">     Depreciation                                      </v>
      </c>
      <c r="C56" s="11"/>
      <c r="D56" s="2">
        <f>SUM(OSRRefD22_5x_0)</f>
        <v>42889.369999999995</v>
      </c>
      <c r="E56" s="2"/>
      <c r="F56" s="5">
        <f t="shared" si="4"/>
        <v>0.64801516942846449</v>
      </c>
      <c r="G56" s="2"/>
      <c r="H56" s="2">
        <f>SUM(OSRRefH22_5x_0)</f>
        <v>38374</v>
      </c>
      <c r="I56" s="2"/>
      <c r="J56" s="5">
        <f t="shared" si="5"/>
        <v>0.39317220110449685</v>
      </c>
      <c r="K56" s="2"/>
      <c r="L56" s="2">
        <f t="shared" si="6"/>
        <v>4515.3699999999953</v>
      </c>
      <c r="M56" s="2"/>
      <c r="N56" s="5">
        <f t="shared" si="7"/>
        <v>0.1176674310731223</v>
      </c>
      <c r="O56" s="11"/>
      <c r="P56" s="2">
        <f>SUM(OSRRefP22_5x_0)</f>
        <v>482246.18</v>
      </c>
      <c r="Q56" s="2"/>
      <c r="R56" s="5">
        <f t="shared" si="8"/>
        <v>0.23256131271385561</v>
      </c>
      <c r="S56" s="2"/>
      <c r="T56" s="2">
        <f>SUM(OSRRefT22_5x_0)</f>
        <v>469344</v>
      </c>
      <c r="U56" s="2"/>
      <c r="V56" s="5">
        <f t="shared" si="9"/>
        <v>0.17680503732221797</v>
      </c>
      <c r="W56" s="2"/>
      <c r="X56" s="2">
        <f t="shared" si="10"/>
        <v>12902.179999999993</v>
      </c>
      <c r="Y56" s="2"/>
      <c r="Z56" s="5">
        <f t="shared" si="11"/>
        <v>2.748981557237334E-2</v>
      </c>
    </row>
    <row r="57" spans="1:26" s="70" customFormat="1" ht="15" hidden="1" customHeight="1" outlineLevel="2" x14ac:dyDescent="0.3">
      <c r="A57" s="21"/>
      <c r="B57" s="9" t="str">
        <f>CONCATENATE("          ","6321"," - ","BUILDING DEPRECIATION")</f>
        <v xml:space="preserve">          6321 - BUILDING DEPRECIATION</v>
      </c>
      <c r="C57" s="9"/>
      <c r="D57" s="6">
        <v>28619.91</v>
      </c>
      <c r="E57" s="3"/>
      <c r="F57" s="7">
        <f t="shared" si="4"/>
        <v>0.43241800538635583</v>
      </c>
      <c r="G57" s="3"/>
      <c r="H57" s="6"/>
      <c r="I57" s="3"/>
      <c r="J57" s="7">
        <f t="shared" si="5"/>
        <v>0</v>
      </c>
      <c r="K57" s="3"/>
      <c r="L57" s="6">
        <f t="shared" si="6"/>
        <v>28619.91</v>
      </c>
      <c r="M57" s="3"/>
      <c r="N57" s="7">
        <f t="shared" si="7"/>
        <v>0</v>
      </c>
      <c r="O57" s="9"/>
      <c r="P57" s="6">
        <v>343527.06</v>
      </c>
      <c r="Q57" s="3"/>
      <c r="R57" s="7">
        <f t="shared" si="8"/>
        <v>0.16566456581642894</v>
      </c>
      <c r="S57" s="3"/>
      <c r="T57" s="6"/>
      <c r="U57" s="3"/>
      <c r="V57" s="7">
        <f t="shared" si="9"/>
        <v>0</v>
      </c>
      <c r="W57" s="3"/>
      <c r="X57" s="6">
        <f t="shared" si="10"/>
        <v>343527.06</v>
      </c>
      <c r="Y57" s="3"/>
      <c r="Z57" s="7">
        <f t="shared" si="11"/>
        <v>0</v>
      </c>
    </row>
    <row r="58" spans="1:26" s="70" customFormat="1" ht="15" hidden="1" customHeight="1" outlineLevel="2" x14ac:dyDescent="0.3">
      <c r="A58" s="21"/>
      <c r="B58" s="9" t="str">
        <f>CONCATENATE("          ","6322"," - ","EQUIPMENT DEPRECIATION EXPENSE")</f>
        <v xml:space="preserve">          6322 - EQUIPMENT DEPRECIATION EXPENSE</v>
      </c>
      <c r="C58" s="9"/>
      <c r="D58" s="6">
        <v>14269.46</v>
      </c>
      <c r="E58" s="3"/>
      <c r="F58" s="7">
        <f t="shared" si="4"/>
        <v>0.21559716404210874</v>
      </c>
      <c r="G58" s="3"/>
      <c r="H58" s="6">
        <v>38374</v>
      </c>
      <c r="I58" s="3"/>
      <c r="J58" s="7">
        <f t="shared" si="5"/>
        <v>0.39317220110449685</v>
      </c>
      <c r="K58" s="3"/>
      <c r="L58" s="6">
        <f t="shared" si="6"/>
        <v>-24104.54</v>
      </c>
      <c r="M58" s="3"/>
      <c r="N58" s="7">
        <f t="shared" si="7"/>
        <v>-0.62814770417470167</v>
      </c>
      <c r="O58" s="9"/>
      <c r="P58" s="6">
        <v>138719.12</v>
      </c>
      <c r="Q58" s="3"/>
      <c r="R58" s="7">
        <f t="shared" si="8"/>
        <v>6.6896746897426668E-2</v>
      </c>
      <c r="S58" s="3"/>
      <c r="T58" s="6">
        <v>469344</v>
      </c>
      <c r="U58" s="3"/>
      <c r="V58" s="7">
        <f t="shared" si="9"/>
        <v>0.17680503732221797</v>
      </c>
      <c r="W58" s="3"/>
      <c r="X58" s="6">
        <f t="shared" si="10"/>
        <v>-330624.88</v>
      </c>
      <c r="Y58" s="3"/>
      <c r="Z58" s="7">
        <f t="shared" si="11"/>
        <v>-0.70444041044521721</v>
      </c>
    </row>
    <row r="59" spans="1:26" s="69" customFormat="1" ht="15" customHeight="1" outlineLevel="1" collapsed="1" x14ac:dyDescent="0.3">
      <c r="A59" s="20"/>
      <c r="B59" s="11" t="str">
        <f>CONCATENATE("     ","Employees' Appreciation                           ")</f>
        <v xml:space="preserve">     Employees' Appreciation                           </v>
      </c>
      <c r="C59" s="11"/>
      <c r="D59" s="2">
        <f>SUM(OSRRefD22_6x_0)</f>
        <v>0</v>
      </c>
      <c r="E59" s="2"/>
      <c r="F59" s="5">
        <f t="shared" ref="F59:F90" si="12">IF(D$12=0,0,D59/D$12)</f>
        <v>0</v>
      </c>
      <c r="G59" s="2"/>
      <c r="H59" s="2">
        <f>SUM(OSRRefH22_6x_0)</f>
        <v>0</v>
      </c>
      <c r="I59" s="2"/>
      <c r="J59" s="5">
        <f t="shared" ref="J59:J90" si="13">IF(H$12=0,0,H59/H$12)</f>
        <v>0</v>
      </c>
      <c r="K59" s="2"/>
      <c r="L59" s="2">
        <f t="shared" ref="L59:L90" si="14">+D59-H59</f>
        <v>0</v>
      </c>
      <c r="M59" s="2"/>
      <c r="N59" s="5">
        <f t="shared" ref="N59:N90" si="15">IF(H59=0,0,L59/H59)</f>
        <v>0</v>
      </c>
      <c r="O59" s="11"/>
      <c r="P59" s="2">
        <f>SUM(OSRRefP22_6x_0)</f>
        <v>392.52</v>
      </c>
      <c r="Q59" s="2"/>
      <c r="R59" s="5">
        <f t="shared" ref="R59:R90" si="16">IF(P$12=0,0,P59/P$12)</f>
        <v>1.8929121733311108E-4</v>
      </c>
      <c r="S59" s="2"/>
      <c r="T59" s="2">
        <f>SUM(OSRRefT22_6x_0)</f>
        <v>480</v>
      </c>
      <c r="U59" s="2"/>
      <c r="V59" s="5">
        <f t="shared" ref="V59:V90" si="17">IF(T$12=0,0,T59/T$12)</f>
        <v>1.8081922409717526E-4</v>
      </c>
      <c r="W59" s="2"/>
      <c r="X59" s="2">
        <f t="shared" ref="X59:X90" si="18">+P59-T59</f>
        <v>-87.480000000000018</v>
      </c>
      <c r="Y59" s="2"/>
      <c r="Z59" s="5">
        <f t="shared" ref="Z59:Z90" si="19">IF(T59=0,0,X59/T59)</f>
        <v>-0.18225000000000005</v>
      </c>
    </row>
    <row r="60" spans="1:26" s="70" customFormat="1" ht="15" hidden="1" customHeight="1" outlineLevel="2" x14ac:dyDescent="0.3">
      <c r="A60" s="21"/>
      <c r="B60" s="9" t="str">
        <f>CONCATENATE("          ","6277"," - ","EMPLOYEE APPRECIATION")</f>
        <v xml:space="preserve">          6277 - EMPLOYEE APPRECIATION</v>
      </c>
      <c r="C60" s="9"/>
      <c r="D60" s="6"/>
      <c r="E60" s="3"/>
      <c r="F60" s="7">
        <f t="shared" si="12"/>
        <v>0</v>
      </c>
      <c r="G60" s="3"/>
      <c r="H60" s="6"/>
      <c r="I60" s="3"/>
      <c r="J60" s="7">
        <f t="shared" si="13"/>
        <v>0</v>
      </c>
      <c r="K60" s="3"/>
      <c r="L60" s="6">
        <f t="shared" si="14"/>
        <v>0</v>
      </c>
      <c r="M60" s="3"/>
      <c r="N60" s="7">
        <f t="shared" si="15"/>
        <v>0</v>
      </c>
      <c r="O60" s="9"/>
      <c r="P60" s="6">
        <v>392.52</v>
      </c>
      <c r="Q60" s="3"/>
      <c r="R60" s="7">
        <f t="shared" si="16"/>
        <v>1.8929121733311108E-4</v>
      </c>
      <c r="S60" s="3"/>
      <c r="T60" s="6">
        <v>480</v>
      </c>
      <c r="U60" s="3"/>
      <c r="V60" s="7">
        <f t="shared" si="17"/>
        <v>1.8081922409717526E-4</v>
      </c>
      <c r="W60" s="3"/>
      <c r="X60" s="6">
        <f t="shared" si="18"/>
        <v>-87.480000000000018</v>
      </c>
      <c r="Y60" s="3"/>
      <c r="Z60" s="7">
        <f t="shared" si="19"/>
        <v>-0.18225000000000005</v>
      </c>
    </row>
    <row r="61" spans="1:26" s="69" customFormat="1" ht="15" customHeight="1" outlineLevel="1" collapsed="1" x14ac:dyDescent="0.3">
      <c r="A61" s="20"/>
      <c r="B61" s="11" t="str">
        <f>CONCATENATE("     ","Equipment Rental                                  ")</f>
        <v xml:space="preserve">     Equipment Rental                                  </v>
      </c>
      <c r="C61" s="11"/>
      <c r="D61" s="2">
        <f>SUM(OSRRefD22_7x_0)</f>
        <v>989.52</v>
      </c>
      <c r="E61" s="2"/>
      <c r="F61" s="5">
        <f t="shared" si="12"/>
        <v>1.4950650253264487E-2</v>
      </c>
      <c r="G61" s="2"/>
      <c r="H61" s="2">
        <f>SUM(OSRRefH22_7x_0)</f>
        <v>951</v>
      </c>
      <c r="I61" s="2"/>
      <c r="J61" s="5">
        <f t="shared" si="13"/>
        <v>9.743752625485394E-3</v>
      </c>
      <c r="K61" s="2"/>
      <c r="L61" s="2">
        <f t="shared" si="14"/>
        <v>38.519999999999982</v>
      </c>
      <c r="M61" s="2"/>
      <c r="N61" s="5">
        <f t="shared" si="15"/>
        <v>4.0504731861198719E-2</v>
      </c>
      <c r="O61" s="11"/>
      <c r="P61" s="2">
        <f>SUM(OSRRefP22_7x_0)</f>
        <v>11967.82</v>
      </c>
      <c r="Q61" s="2"/>
      <c r="R61" s="5">
        <f t="shared" si="16"/>
        <v>5.7714338546406641E-3</v>
      </c>
      <c r="S61" s="2"/>
      <c r="T61" s="2">
        <f>SUM(OSRRefT22_7x_0)</f>
        <v>11412</v>
      </c>
      <c r="U61" s="2"/>
      <c r="V61" s="5">
        <f t="shared" si="17"/>
        <v>4.2989770529103417E-3</v>
      </c>
      <c r="W61" s="2"/>
      <c r="X61" s="2">
        <f t="shared" si="18"/>
        <v>555.81999999999971</v>
      </c>
      <c r="Y61" s="2"/>
      <c r="Z61" s="5">
        <f t="shared" si="19"/>
        <v>4.870487206449349E-2</v>
      </c>
    </row>
    <row r="62" spans="1:26" s="70" customFormat="1" ht="15" hidden="1" customHeight="1" outlineLevel="2" x14ac:dyDescent="0.3">
      <c r="A62" s="21"/>
      <c r="B62" s="9" t="str">
        <f>CONCATENATE("          ","6351"," - ","EQUIPMENT RENTAL")</f>
        <v xml:space="preserve">          6351 - EQUIPMENT RENTAL</v>
      </c>
      <c r="C62" s="9"/>
      <c r="D62" s="6">
        <v>989.52</v>
      </c>
      <c r="E62" s="3"/>
      <c r="F62" s="7">
        <f t="shared" si="12"/>
        <v>1.4950650253264487E-2</v>
      </c>
      <c r="G62" s="3"/>
      <c r="H62" s="6">
        <v>951</v>
      </c>
      <c r="I62" s="3"/>
      <c r="J62" s="7">
        <f t="shared" si="13"/>
        <v>9.743752625485394E-3</v>
      </c>
      <c r="K62" s="3"/>
      <c r="L62" s="6">
        <f t="shared" si="14"/>
        <v>38.519999999999982</v>
      </c>
      <c r="M62" s="3"/>
      <c r="N62" s="7">
        <f t="shared" si="15"/>
        <v>4.0504731861198719E-2</v>
      </c>
      <c r="O62" s="9"/>
      <c r="P62" s="6">
        <v>11967.82</v>
      </c>
      <c r="Q62" s="3"/>
      <c r="R62" s="7">
        <f t="shared" si="16"/>
        <v>5.7714338546406641E-3</v>
      </c>
      <c r="S62" s="3"/>
      <c r="T62" s="6">
        <v>11412</v>
      </c>
      <c r="U62" s="3"/>
      <c r="V62" s="7">
        <f t="shared" si="17"/>
        <v>4.2989770529103417E-3</v>
      </c>
      <c r="W62" s="3"/>
      <c r="X62" s="6">
        <f t="shared" si="18"/>
        <v>555.81999999999971</v>
      </c>
      <c r="Y62" s="3"/>
      <c r="Z62" s="7">
        <f t="shared" si="19"/>
        <v>4.870487206449349E-2</v>
      </c>
    </row>
    <row r="63" spans="1:26" s="69" customFormat="1" ht="15" customHeight="1" outlineLevel="1" collapsed="1" x14ac:dyDescent="0.3">
      <c r="A63" s="20"/>
      <c r="B63" s="11" t="str">
        <f>CONCATENATE("     ","General                                           ")</f>
        <v xml:space="preserve">     General                                           </v>
      </c>
      <c r="C63" s="11"/>
      <c r="D63" s="2">
        <f>SUM(OSRRefD22_8x_0)</f>
        <v>5629.56</v>
      </c>
      <c r="E63" s="2"/>
      <c r="F63" s="5">
        <f t="shared" si="12"/>
        <v>8.5056979787945297E-2</v>
      </c>
      <c r="G63" s="2"/>
      <c r="H63" s="2">
        <f>SUM(OSRRefH22_8x_0)</f>
        <v>0</v>
      </c>
      <c r="I63" s="2"/>
      <c r="J63" s="5">
        <f t="shared" si="13"/>
        <v>0</v>
      </c>
      <c r="K63" s="2"/>
      <c r="L63" s="2">
        <f t="shared" si="14"/>
        <v>5629.56</v>
      </c>
      <c r="M63" s="2"/>
      <c r="N63" s="5">
        <f t="shared" si="15"/>
        <v>0</v>
      </c>
      <c r="O63" s="11"/>
      <c r="P63" s="2">
        <f>SUM(OSRRefP22_8x_0)</f>
        <v>56602.34</v>
      </c>
      <c r="Q63" s="2"/>
      <c r="R63" s="5">
        <f t="shared" si="16"/>
        <v>2.7296254566653029E-2</v>
      </c>
      <c r="S63" s="2"/>
      <c r="T63" s="2">
        <f>SUM(OSRRefT22_8x_0)</f>
        <v>6900</v>
      </c>
      <c r="U63" s="2"/>
      <c r="V63" s="5">
        <f t="shared" si="17"/>
        <v>2.5992763463968944E-3</v>
      </c>
      <c r="W63" s="2"/>
      <c r="X63" s="2">
        <f t="shared" si="18"/>
        <v>49702.34</v>
      </c>
      <c r="Y63" s="2"/>
      <c r="Z63" s="5">
        <f t="shared" si="19"/>
        <v>7.2032376811594201</v>
      </c>
    </row>
    <row r="64" spans="1:26" s="70" customFormat="1" ht="15" hidden="1" customHeight="1" outlineLevel="2" x14ac:dyDescent="0.3">
      <c r="A64" s="21"/>
      <c r="B64" s="9" t="str">
        <f>CONCATENATE("          ","6269"," - ","ENTERTAINMENT")</f>
        <v xml:space="preserve">          6269 - ENTERTAINMENT</v>
      </c>
      <c r="C64" s="9"/>
      <c r="D64" s="6"/>
      <c r="E64" s="3"/>
      <c r="F64" s="7">
        <f t="shared" si="12"/>
        <v>0</v>
      </c>
      <c r="G64" s="3"/>
      <c r="H64" s="6"/>
      <c r="I64" s="3"/>
      <c r="J64" s="7">
        <f t="shared" si="13"/>
        <v>0</v>
      </c>
      <c r="K64" s="3"/>
      <c r="L64" s="6">
        <f t="shared" si="14"/>
        <v>0</v>
      </c>
      <c r="M64" s="3"/>
      <c r="N64" s="7">
        <f t="shared" si="15"/>
        <v>0</v>
      </c>
      <c r="O64" s="9"/>
      <c r="P64" s="6"/>
      <c r="Q64" s="3"/>
      <c r="R64" s="7">
        <f t="shared" si="16"/>
        <v>0</v>
      </c>
      <c r="S64" s="3"/>
      <c r="T64" s="6">
        <v>500</v>
      </c>
      <c r="U64" s="3"/>
      <c r="V64" s="7">
        <f t="shared" si="17"/>
        <v>1.8835335843455758E-4</v>
      </c>
      <c r="W64" s="3"/>
      <c r="X64" s="6">
        <f t="shared" si="18"/>
        <v>-500</v>
      </c>
      <c r="Y64" s="3"/>
      <c r="Z64" s="7">
        <f t="shared" si="19"/>
        <v>-1</v>
      </c>
    </row>
    <row r="65" spans="1:26" s="70" customFormat="1" ht="15" hidden="1" customHeight="1" outlineLevel="2" x14ac:dyDescent="0.3">
      <c r="A65" s="21"/>
      <c r="B65" s="9" t="str">
        <f>CONCATENATE("          ","6279"," - ","GENERAL EXPENSE")</f>
        <v xml:space="preserve">          6279 - GENERAL EXPENSE</v>
      </c>
      <c r="C65" s="9"/>
      <c r="D65" s="6">
        <v>5629.56</v>
      </c>
      <c r="E65" s="3"/>
      <c r="F65" s="7">
        <f t="shared" si="12"/>
        <v>8.5056979787945297E-2</v>
      </c>
      <c r="G65" s="3"/>
      <c r="H65" s="6"/>
      <c r="I65" s="3"/>
      <c r="J65" s="7">
        <f t="shared" si="13"/>
        <v>0</v>
      </c>
      <c r="K65" s="3"/>
      <c r="L65" s="6">
        <f t="shared" si="14"/>
        <v>5629.56</v>
      </c>
      <c r="M65" s="3"/>
      <c r="N65" s="7">
        <f t="shared" si="15"/>
        <v>0</v>
      </c>
      <c r="O65" s="9"/>
      <c r="P65" s="6">
        <v>56602.34</v>
      </c>
      <c r="Q65" s="3"/>
      <c r="R65" s="7">
        <f t="shared" si="16"/>
        <v>2.7296254566653029E-2</v>
      </c>
      <c r="S65" s="3"/>
      <c r="T65" s="6">
        <v>6400</v>
      </c>
      <c r="U65" s="3"/>
      <c r="V65" s="7">
        <f t="shared" si="17"/>
        <v>2.4109229879623367E-3</v>
      </c>
      <c r="W65" s="3"/>
      <c r="X65" s="6">
        <f t="shared" si="18"/>
        <v>50202.34</v>
      </c>
      <c r="Y65" s="3"/>
      <c r="Z65" s="7">
        <f t="shared" si="19"/>
        <v>7.8441156249999997</v>
      </c>
    </row>
    <row r="66" spans="1:26" s="69" customFormat="1" ht="15" customHeight="1" outlineLevel="1" collapsed="1" x14ac:dyDescent="0.3">
      <c r="A66" s="20"/>
      <c r="B66" s="11" t="str">
        <f>CONCATENATE("     ","Insurance                                         ")</f>
        <v xml:space="preserve">     Insurance                                         </v>
      </c>
      <c r="C66" s="11"/>
      <c r="D66" s="2">
        <f>SUM(OSRRefD22_9x_0)</f>
        <v>-1873.89</v>
      </c>
      <c r="E66" s="2"/>
      <c r="F66" s="5">
        <f t="shared" si="12"/>
        <v>-2.8312589945720945E-2</v>
      </c>
      <c r="G66" s="2"/>
      <c r="H66" s="2">
        <f>SUM(OSRRefH22_9x_0)</f>
        <v>6000</v>
      </c>
      <c r="I66" s="2"/>
      <c r="J66" s="5">
        <f t="shared" si="13"/>
        <v>6.1474779971516687E-2</v>
      </c>
      <c r="K66" s="2"/>
      <c r="L66" s="2">
        <f t="shared" si="14"/>
        <v>-7873.89</v>
      </c>
      <c r="M66" s="2"/>
      <c r="N66" s="5">
        <f t="shared" si="15"/>
        <v>-1.3123150000000001</v>
      </c>
      <c r="O66" s="11"/>
      <c r="P66" s="2">
        <f>SUM(OSRRefP22_9x_0)</f>
        <v>71968.53</v>
      </c>
      <c r="Q66" s="2"/>
      <c r="R66" s="5">
        <f t="shared" si="16"/>
        <v>3.4706538911073385E-2</v>
      </c>
      <c r="S66" s="2"/>
      <c r="T66" s="2">
        <f>SUM(OSRRefT22_9x_0)</f>
        <v>72000</v>
      </c>
      <c r="U66" s="2"/>
      <c r="V66" s="5">
        <f t="shared" si="17"/>
        <v>2.712288361457629E-2</v>
      </c>
      <c r="W66" s="2"/>
      <c r="X66" s="2">
        <f t="shared" si="18"/>
        <v>-31.470000000001164</v>
      </c>
      <c r="Y66" s="2"/>
      <c r="Z66" s="5">
        <f t="shared" si="19"/>
        <v>-4.3708333333334948E-4</v>
      </c>
    </row>
    <row r="67" spans="1:26" s="70" customFormat="1" ht="15" hidden="1" customHeight="1" outlineLevel="2" x14ac:dyDescent="0.3">
      <c r="A67" s="21"/>
      <c r="B67" s="9" t="str">
        <f>CONCATENATE("          ","6314"," - ","LIABILITY INSURANCE")</f>
        <v xml:space="preserve">          6314 - LIABILITY INSURANCE</v>
      </c>
      <c r="C67" s="9"/>
      <c r="D67" s="6">
        <v>-1873.89</v>
      </c>
      <c r="E67" s="3"/>
      <c r="F67" s="7">
        <f t="shared" si="12"/>
        <v>-2.8312589945720945E-2</v>
      </c>
      <c r="G67" s="3"/>
      <c r="H67" s="6">
        <v>6000</v>
      </c>
      <c r="I67" s="3"/>
      <c r="J67" s="7">
        <f t="shared" si="13"/>
        <v>6.1474779971516687E-2</v>
      </c>
      <c r="K67" s="3"/>
      <c r="L67" s="6">
        <f t="shared" si="14"/>
        <v>-7873.89</v>
      </c>
      <c r="M67" s="3"/>
      <c r="N67" s="7">
        <f t="shared" si="15"/>
        <v>-1.3123150000000001</v>
      </c>
      <c r="O67" s="9"/>
      <c r="P67" s="6">
        <v>71968.53</v>
      </c>
      <c r="Q67" s="3"/>
      <c r="R67" s="7">
        <f t="shared" si="16"/>
        <v>3.4706538911073385E-2</v>
      </c>
      <c r="S67" s="3"/>
      <c r="T67" s="6">
        <v>72000</v>
      </c>
      <c r="U67" s="3"/>
      <c r="V67" s="7">
        <f t="shared" si="17"/>
        <v>2.712288361457629E-2</v>
      </c>
      <c r="W67" s="3"/>
      <c r="X67" s="6">
        <f t="shared" si="18"/>
        <v>-31.470000000001164</v>
      </c>
      <c r="Y67" s="3"/>
      <c r="Z67" s="7">
        <f t="shared" si="19"/>
        <v>-4.3708333333334948E-4</v>
      </c>
    </row>
    <row r="68" spans="1:26" s="69" customFormat="1" ht="15" customHeight="1" outlineLevel="1" collapsed="1" x14ac:dyDescent="0.3">
      <c r="A68" s="20"/>
      <c r="B68" s="11" t="str">
        <f>CONCATENATE("     ","Interest                                          ")</f>
        <v xml:space="preserve">     Interest                                          </v>
      </c>
      <c r="C68" s="11"/>
      <c r="D68" s="2">
        <f>SUM(OSRRefD22_10x_0)</f>
        <v>11158</v>
      </c>
      <c r="E68" s="2"/>
      <c r="F68" s="5">
        <f t="shared" si="12"/>
        <v>0.16858613825483582</v>
      </c>
      <c r="G68" s="2"/>
      <c r="H68" s="2">
        <f>SUM(OSRRefH22_10x_0)</f>
        <v>10742</v>
      </c>
      <c r="I68" s="2"/>
      <c r="J68" s="5">
        <f t="shared" si="13"/>
        <v>0.11006034774233871</v>
      </c>
      <c r="K68" s="2"/>
      <c r="L68" s="2">
        <f t="shared" si="14"/>
        <v>416</v>
      </c>
      <c r="M68" s="2"/>
      <c r="N68" s="5">
        <f t="shared" si="15"/>
        <v>3.8726494135170361E-2</v>
      </c>
      <c r="O68" s="11"/>
      <c r="P68" s="2">
        <f>SUM(OSRRefP22_10x_0)</f>
        <v>130608</v>
      </c>
      <c r="Q68" s="2"/>
      <c r="R68" s="5">
        <f t="shared" si="16"/>
        <v>6.2985191362078294E-2</v>
      </c>
      <c r="S68" s="2"/>
      <c r="T68" s="2">
        <f>SUM(OSRRefT22_10x_0)</f>
        <v>133064</v>
      </c>
      <c r="U68" s="2"/>
      <c r="V68" s="5">
        <f t="shared" si="17"/>
        <v>5.0126102573471935E-2</v>
      </c>
      <c r="W68" s="2"/>
      <c r="X68" s="2">
        <f t="shared" si="18"/>
        <v>-2456</v>
      </c>
      <c r="Y68" s="2"/>
      <c r="Z68" s="5">
        <f t="shared" si="19"/>
        <v>-1.8457283713100462E-2</v>
      </c>
    </row>
    <row r="69" spans="1:26" s="70" customFormat="1" ht="15" hidden="1" customHeight="1" outlineLevel="2" x14ac:dyDescent="0.3">
      <c r="A69" s="21"/>
      <c r="B69" s="9" t="str">
        <f>CONCATENATE("          ","6401"," - ","INTEREST EXPENSE")</f>
        <v xml:space="preserve">          6401 - INTEREST EXPENSE</v>
      </c>
      <c r="C69" s="9"/>
      <c r="D69" s="6">
        <v>11158</v>
      </c>
      <c r="E69" s="3"/>
      <c r="F69" s="7">
        <f t="shared" si="12"/>
        <v>0.16858613825483582</v>
      </c>
      <c r="G69" s="3"/>
      <c r="H69" s="6">
        <v>10742</v>
      </c>
      <c r="I69" s="3"/>
      <c r="J69" s="7">
        <f t="shared" si="13"/>
        <v>0.11006034774233871</v>
      </c>
      <c r="K69" s="3"/>
      <c r="L69" s="6">
        <f t="shared" si="14"/>
        <v>416</v>
      </c>
      <c r="M69" s="3"/>
      <c r="N69" s="7">
        <f t="shared" si="15"/>
        <v>3.8726494135170361E-2</v>
      </c>
      <c r="O69" s="9"/>
      <c r="P69" s="6">
        <v>130608</v>
      </c>
      <c r="Q69" s="3"/>
      <c r="R69" s="7">
        <f t="shared" si="16"/>
        <v>6.2985191362078294E-2</v>
      </c>
      <c r="S69" s="3"/>
      <c r="T69" s="6">
        <v>133064</v>
      </c>
      <c r="U69" s="3"/>
      <c r="V69" s="7">
        <f t="shared" si="17"/>
        <v>5.0126102573471935E-2</v>
      </c>
      <c r="W69" s="3"/>
      <c r="X69" s="6">
        <f t="shared" si="18"/>
        <v>-2456</v>
      </c>
      <c r="Y69" s="3"/>
      <c r="Z69" s="7">
        <f t="shared" si="19"/>
        <v>-1.8457283713100462E-2</v>
      </c>
    </row>
    <row r="70" spans="1:26" s="69" customFormat="1" ht="15" customHeight="1" outlineLevel="1" collapsed="1" x14ac:dyDescent="0.3">
      <c r="A70" s="20"/>
      <c r="B70" s="11" t="str">
        <f>CONCATENATE("     ","Professional Services                             ")</f>
        <v xml:space="preserve">     Professional Services                             </v>
      </c>
      <c r="C70" s="11"/>
      <c r="D70" s="2">
        <f>SUM(OSRRefD22_11x_0)</f>
        <v>0</v>
      </c>
      <c r="E70" s="2"/>
      <c r="F70" s="5">
        <f t="shared" si="12"/>
        <v>0</v>
      </c>
      <c r="G70" s="2"/>
      <c r="H70" s="2">
        <f>SUM(OSRRefH22_11x_0)</f>
        <v>0</v>
      </c>
      <c r="I70" s="2"/>
      <c r="J70" s="5">
        <f t="shared" si="13"/>
        <v>0</v>
      </c>
      <c r="K70" s="2"/>
      <c r="L70" s="2">
        <f t="shared" si="14"/>
        <v>0</v>
      </c>
      <c r="M70" s="2"/>
      <c r="N70" s="5">
        <f t="shared" si="15"/>
        <v>0</v>
      </c>
      <c r="O70" s="11"/>
      <c r="P70" s="2">
        <f>SUM(OSRRefP22_11x_0)</f>
        <v>511.58</v>
      </c>
      <c r="Q70" s="2"/>
      <c r="R70" s="5">
        <f t="shared" si="16"/>
        <v>2.4670743137489293E-4</v>
      </c>
      <c r="S70" s="2"/>
      <c r="T70" s="2">
        <f>SUM(OSRRefT22_11x_0)</f>
        <v>0</v>
      </c>
      <c r="U70" s="2"/>
      <c r="V70" s="5">
        <f t="shared" si="17"/>
        <v>0</v>
      </c>
      <c r="W70" s="2"/>
      <c r="X70" s="2">
        <f t="shared" si="18"/>
        <v>511.58</v>
      </c>
      <c r="Y70" s="2"/>
      <c r="Z70" s="5">
        <f t="shared" si="19"/>
        <v>0</v>
      </c>
    </row>
    <row r="71" spans="1:26" s="70" customFormat="1" ht="15" hidden="1" customHeight="1" outlineLevel="2" x14ac:dyDescent="0.3">
      <c r="A71" s="21"/>
      <c r="B71" s="9" t="str">
        <f>CONCATENATE("          ","6336"," - ","PROFESSIONAL SERVICES")</f>
        <v xml:space="preserve">          6336 - PROFESSIONAL SERVICES</v>
      </c>
      <c r="C71" s="9"/>
      <c r="D71" s="6"/>
      <c r="E71" s="3"/>
      <c r="F71" s="7">
        <f t="shared" si="12"/>
        <v>0</v>
      </c>
      <c r="G71" s="3"/>
      <c r="H71" s="6"/>
      <c r="I71" s="3"/>
      <c r="J71" s="7">
        <f t="shared" si="13"/>
        <v>0</v>
      </c>
      <c r="K71" s="3"/>
      <c r="L71" s="6">
        <f t="shared" si="14"/>
        <v>0</v>
      </c>
      <c r="M71" s="3"/>
      <c r="N71" s="7">
        <f t="shared" si="15"/>
        <v>0</v>
      </c>
      <c r="O71" s="9"/>
      <c r="P71" s="6">
        <v>511.58</v>
      </c>
      <c r="Q71" s="3"/>
      <c r="R71" s="7">
        <f t="shared" si="16"/>
        <v>2.4670743137489293E-4</v>
      </c>
      <c r="S71" s="3"/>
      <c r="T71" s="6"/>
      <c r="U71" s="3"/>
      <c r="V71" s="7">
        <f t="shared" si="17"/>
        <v>0</v>
      </c>
      <c r="W71" s="3"/>
      <c r="X71" s="6">
        <f t="shared" si="18"/>
        <v>511.58</v>
      </c>
      <c r="Y71" s="3"/>
      <c r="Z71" s="7">
        <f t="shared" si="19"/>
        <v>0</v>
      </c>
    </row>
    <row r="72" spans="1:26" s="69" customFormat="1" ht="15" customHeight="1" outlineLevel="1" collapsed="1" x14ac:dyDescent="0.3">
      <c r="A72" s="20"/>
      <c r="B72" s="11" t="str">
        <f>CONCATENATE("     ","Rent                                              ")</f>
        <v xml:space="preserve">     Rent                                              </v>
      </c>
      <c r="C72" s="11"/>
      <c r="D72" s="2">
        <f>SUM(OSRRefD22_12x_0)</f>
        <v>1850</v>
      </c>
      <c r="E72" s="2"/>
      <c r="F72" s="5">
        <f t="shared" si="12"/>
        <v>2.7951636115024759E-2</v>
      </c>
      <c r="G72" s="2"/>
      <c r="H72" s="2">
        <f>SUM(OSRRefH22_12x_0)</f>
        <v>1850</v>
      </c>
      <c r="I72" s="2"/>
      <c r="J72" s="5">
        <f t="shared" si="13"/>
        <v>1.8954723824550979E-2</v>
      </c>
      <c r="K72" s="2"/>
      <c r="L72" s="2">
        <f t="shared" si="14"/>
        <v>0</v>
      </c>
      <c r="M72" s="2"/>
      <c r="N72" s="5">
        <f t="shared" si="15"/>
        <v>0</v>
      </c>
      <c r="O72" s="11"/>
      <c r="P72" s="2">
        <f>SUM(OSRRefP22_12x_0)</f>
        <v>22200</v>
      </c>
      <c r="Q72" s="2"/>
      <c r="R72" s="5">
        <f t="shared" si="16"/>
        <v>1.0705862184844253E-2</v>
      </c>
      <c r="S72" s="2"/>
      <c r="T72" s="2">
        <f>SUM(OSRRefT22_12x_0)</f>
        <v>22200</v>
      </c>
      <c r="U72" s="2"/>
      <c r="V72" s="5">
        <f t="shared" si="17"/>
        <v>8.3628891144943568E-3</v>
      </c>
      <c r="W72" s="2"/>
      <c r="X72" s="2">
        <f t="shared" si="18"/>
        <v>0</v>
      </c>
      <c r="Y72" s="2"/>
      <c r="Z72" s="5">
        <f t="shared" si="19"/>
        <v>0</v>
      </c>
    </row>
    <row r="73" spans="1:26" s="70" customFormat="1" ht="15" hidden="1" customHeight="1" outlineLevel="2" x14ac:dyDescent="0.3">
      <c r="A73" s="21"/>
      <c r="B73" s="9" t="str">
        <f>CONCATENATE("          ","6273"," - ","RENT")</f>
        <v xml:space="preserve">          6273 - RENT</v>
      </c>
      <c r="C73" s="9"/>
      <c r="D73" s="6">
        <v>1850</v>
      </c>
      <c r="E73" s="3"/>
      <c r="F73" s="7">
        <f t="shared" si="12"/>
        <v>2.7951636115024759E-2</v>
      </c>
      <c r="G73" s="3"/>
      <c r="H73" s="6">
        <v>1850</v>
      </c>
      <c r="I73" s="3"/>
      <c r="J73" s="7">
        <f t="shared" si="13"/>
        <v>1.8954723824550979E-2</v>
      </c>
      <c r="K73" s="3"/>
      <c r="L73" s="6">
        <f t="shared" si="14"/>
        <v>0</v>
      </c>
      <c r="M73" s="3"/>
      <c r="N73" s="7">
        <f t="shared" si="15"/>
        <v>0</v>
      </c>
      <c r="O73" s="9"/>
      <c r="P73" s="6">
        <v>22200</v>
      </c>
      <c r="Q73" s="3"/>
      <c r="R73" s="7">
        <f t="shared" si="16"/>
        <v>1.0705862184844253E-2</v>
      </c>
      <c r="S73" s="3"/>
      <c r="T73" s="6">
        <v>22200</v>
      </c>
      <c r="U73" s="3"/>
      <c r="V73" s="7">
        <f t="shared" si="17"/>
        <v>8.3628891144943568E-3</v>
      </c>
      <c r="W73" s="3"/>
      <c r="X73" s="6">
        <f t="shared" si="18"/>
        <v>0</v>
      </c>
      <c r="Y73" s="3"/>
      <c r="Z73" s="7">
        <f t="shared" si="19"/>
        <v>0</v>
      </c>
    </row>
    <row r="74" spans="1:26" s="69" customFormat="1" ht="15" customHeight="1" outlineLevel="1" collapsed="1" x14ac:dyDescent="0.3">
      <c r="A74" s="20"/>
      <c r="B74" s="11" t="str">
        <f>CONCATENATE("     ","Repair and Maintenance                            ")</f>
        <v xml:space="preserve">     Repair and Maintenance                            </v>
      </c>
      <c r="C74" s="11"/>
      <c r="D74" s="2">
        <f>SUM(OSRRefD22_13x_0)</f>
        <v>40629.61</v>
      </c>
      <c r="E74" s="2"/>
      <c r="F74" s="5">
        <f t="shared" si="12"/>
        <v>0.61387247254884925</v>
      </c>
      <c r="G74" s="2"/>
      <c r="H74" s="2">
        <f>SUM(OSRRefH22_13x_0)</f>
        <v>1870</v>
      </c>
      <c r="I74" s="2"/>
      <c r="J74" s="5">
        <f t="shared" si="13"/>
        <v>1.9159639757789369E-2</v>
      </c>
      <c r="K74" s="2"/>
      <c r="L74" s="2">
        <f t="shared" si="14"/>
        <v>38759.61</v>
      </c>
      <c r="M74" s="2"/>
      <c r="N74" s="5">
        <f t="shared" si="15"/>
        <v>20.727064171122993</v>
      </c>
      <c r="O74" s="11"/>
      <c r="P74" s="2">
        <f>SUM(OSRRefP22_13x_0)</f>
        <v>139903.26</v>
      </c>
      <c r="Q74" s="2"/>
      <c r="R74" s="5">
        <f t="shared" si="16"/>
        <v>6.746779372839791E-2</v>
      </c>
      <c r="S74" s="2"/>
      <c r="T74" s="2">
        <f>SUM(OSRRefT22_13x_0)</f>
        <v>60929</v>
      </c>
      <c r="U74" s="2"/>
      <c r="V74" s="5">
        <f t="shared" si="17"/>
        <v>2.2952363552118316E-2</v>
      </c>
      <c r="W74" s="2"/>
      <c r="X74" s="2">
        <f t="shared" si="18"/>
        <v>78974.260000000009</v>
      </c>
      <c r="Y74" s="2"/>
      <c r="Z74" s="5">
        <f t="shared" si="19"/>
        <v>1.2961686553201268</v>
      </c>
    </row>
    <row r="75" spans="1:26" s="70" customFormat="1" ht="15" hidden="1" customHeight="1" outlineLevel="2" x14ac:dyDescent="0.3">
      <c r="A75" s="21"/>
      <c r="B75" s="9" t="str">
        <f>CONCATENATE("          ","6371"," - ","COMPUTER SOFTWARE MAINTENANCE")</f>
        <v xml:space="preserve">          6371 - COMPUTER SOFTWARE MAINTENANCE</v>
      </c>
      <c r="C75" s="9"/>
      <c r="D75" s="6">
        <v>30321</v>
      </c>
      <c r="E75" s="3"/>
      <c r="F75" s="7">
        <f t="shared" si="12"/>
        <v>0.45811976142900851</v>
      </c>
      <c r="G75" s="3"/>
      <c r="H75" s="6"/>
      <c r="I75" s="3"/>
      <c r="J75" s="7">
        <f t="shared" si="13"/>
        <v>0</v>
      </c>
      <c r="K75" s="3"/>
      <c r="L75" s="6">
        <f t="shared" si="14"/>
        <v>30321</v>
      </c>
      <c r="M75" s="3"/>
      <c r="N75" s="7">
        <f t="shared" si="15"/>
        <v>0</v>
      </c>
      <c r="O75" s="9"/>
      <c r="P75" s="6">
        <v>46888.06</v>
      </c>
      <c r="Q75" s="3"/>
      <c r="R75" s="7">
        <f t="shared" si="16"/>
        <v>2.2611581462824701E-2</v>
      </c>
      <c r="S75" s="3"/>
      <c r="T75" s="6">
        <v>2623</v>
      </c>
      <c r="U75" s="3"/>
      <c r="V75" s="7">
        <f t="shared" si="17"/>
        <v>9.8810171834768897E-4</v>
      </c>
      <c r="W75" s="3"/>
      <c r="X75" s="6">
        <f t="shared" si="18"/>
        <v>44265.06</v>
      </c>
      <c r="Y75" s="3"/>
      <c r="Z75" s="7">
        <f t="shared" si="19"/>
        <v>16.875737704918031</v>
      </c>
    </row>
    <row r="76" spans="1:26" s="70" customFormat="1" ht="15" hidden="1" customHeight="1" outlineLevel="2" x14ac:dyDescent="0.3">
      <c r="A76" s="21"/>
      <c r="B76" s="9" t="str">
        <f>CONCATENATE("          ","6372"," - ","COMPUTER HARDWARE MAINTENANCE")</f>
        <v xml:space="preserve">          6372 - COMPUTER HARDWARE MAINTENANCE</v>
      </c>
      <c r="C76" s="9"/>
      <c r="D76" s="6"/>
      <c r="E76" s="3"/>
      <c r="F76" s="7">
        <f t="shared" si="12"/>
        <v>0</v>
      </c>
      <c r="G76" s="3"/>
      <c r="H76" s="6"/>
      <c r="I76" s="3"/>
      <c r="J76" s="7">
        <f t="shared" si="13"/>
        <v>0</v>
      </c>
      <c r="K76" s="3"/>
      <c r="L76" s="6">
        <f t="shared" si="14"/>
        <v>0</v>
      </c>
      <c r="M76" s="3"/>
      <c r="N76" s="7">
        <f t="shared" si="15"/>
        <v>0</v>
      </c>
      <c r="O76" s="9"/>
      <c r="P76" s="6"/>
      <c r="Q76" s="3"/>
      <c r="R76" s="7">
        <f t="shared" si="16"/>
        <v>0</v>
      </c>
      <c r="S76" s="3"/>
      <c r="T76" s="6">
        <v>8000</v>
      </c>
      <c r="U76" s="3"/>
      <c r="V76" s="7">
        <f t="shared" si="17"/>
        <v>3.0136537349529213E-3</v>
      </c>
      <c r="W76" s="3"/>
      <c r="X76" s="6">
        <f t="shared" si="18"/>
        <v>-8000</v>
      </c>
      <c r="Y76" s="3"/>
      <c r="Z76" s="7">
        <f t="shared" si="19"/>
        <v>-1</v>
      </c>
    </row>
    <row r="77" spans="1:26" s="70" customFormat="1" ht="15" hidden="1" customHeight="1" outlineLevel="2" x14ac:dyDescent="0.3">
      <c r="A77" s="21"/>
      <c r="B77" s="9" t="str">
        <f>CONCATENATE("          ","6373"," - ","MAINTENANCE CONTRACTS")</f>
        <v xml:space="preserve">          6373 - MAINTENANCE CONTRACTS</v>
      </c>
      <c r="C77" s="9"/>
      <c r="D77" s="6">
        <v>4730.9399999999996</v>
      </c>
      <c r="E77" s="3"/>
      <c r="F77" s="7">
        <f t="shared" si="12"/>
        <v>7.1479736952440656E-2</v>
      </c>
      <c r="G77" s="3"/>
      <c r="H77" s="6"/>
      <c r="I77" s="3"/>
      <c r="J77" s="7">
        <f t="shared" si="13"/>
        <v>0</v>
      </c>
      <c r="K77" s="3"/>
      <c r="L77" s="6">
        <f t="shared" si="14"/>
        <v>4730.9399999999996</v>
      </c>
      <c r="M77" s="3"/>
      <c r="N77" s="7">
        <f t="shared" si="15"/>
        <v>0</v>
      </c>
      <c r="O77" s="9"/>
      <c r="P77" s="6">
        <v>27250.400000000001</v>
      </c>
      <c r="Q77" s="3"/>
      <c r="R77" s="7">
        <f t="shared" si="16"/>
        <v>1.3141397607291884E-2</v>
      </c>
      <c r="S77" s="3"/>
      <c r="T77" s="6">
        <v>6919</v>
      </c>
      <c r="U77" s="3"/>
      <c r="V77" s="7">
        <f t="shared" si="17"/>
        <v>2.6064337740174075E-3</v>
      </c>
      <c r="W77" s="3"/>
      <c r="X77" s="6">
        <f t="shared" si="18"/>
        <v>20331.400000000001</v>
      </c>
      <c r="Y77" s="3"/>
      <c r="Z77" s="7">
        <f t="shared" si="19"/>
        <v>2.9384882208411622</v>
      </c>
    </row>
    <row r="78" spans="1:26" s="70" customFormat="1" ht="15" hidden="1" customHeight="1" outlineLevel="2" x14ac:dyDescent="0.3">
      <c r="A78" s="21"/>
      <c r="B78" s="9" t="str">
        <f>CONCATENATE("          ","6375"," - ","OUTSIDE REPAIRS &amp; MAINTENANCE")</f>
        <v xml:space="preserve">          6375 - OUTSIDE REPAIRS &amp; MAINTENANCE</v>
      </c>
      <c r="C78" s="9"/>
      <c r="D78" s="6">
        <v>5577.67</v>
      </c>
      <c r="E78" s="3"/>
      <c r="F78" s="7">
        <f t="shared" si="12"/>
        <v>8.427297416740008E-2</v>
      </c>
      <c r="G78" s="3"/>
      <c r="H78" s="6">
        <v>1870</v>
      </c>
      <c r="I78" s="3"/>
      <c r="J78" s="7">
        <f t="shared" si="13"/>
        <v>1.9159639757789369E-2</v>
      </c>
      <c r="K78" s="3"/>
      <c r="L78" s="6">
        <f t="shared" si="14"/>
        <v>3707.67</v>
      </c>
      <c r="M78" s="3"/>
      <c r="N78" s="7">
        <f t="shared" si="15"/>
        <v>1.9827112299465242</v>
      </c>
      <c r="O78" s="9"/>
      <c r="P78" s="6">
        <v>65764.800000000003</v>
      </c>
      <c r="Q78" s="3"/>
      <c r="R78" s="7">
        <f t="shared" si="16"/>
        <v>3.1714814658281319E-2</v>
      </c>
      <c r="S78" s="3"/>
      <c r="T78" s="6">
        <v>43387</v>
      </c>
      <c r="U78" s="3"/>
      <c r="V78" s="7">
        <f t="shared" si="17"/>
        <v>1.6344174324800297E-2</v>
      </c>
      <c r="W78" s="3"/>
      <c r="X78" s="6">
        <f t="shared" si="18"/>
        <v>22377.800000000003</v>
      </c>
      <c r="Y78" s="3"/>
      <c r="Z78" s="7">
        <f t="shared" si="19"/>
        <v>0.51577200543941737</v>
      </c>
    </row>
    <row r="79" spans="1:26" s="69" customFormat="1" ht="15" customHeight="1" outlineLevel="1" collapsed="1" x14ac:dyDescent="0.3">
      <c r="A79" s="20"/>
      <c r="B79" s="11" t="str">
        <f>CONCATENATE("     ","Royalty &amp; Commissions                             ")</f>
        <v xml:space="preserve">     Royalty &amp; Commissions                             </v>
      </c>
      <c r="C79" s="11"/>
      <c r="D79" s="2">
        <f>SUM(OSRRefD22_14x_0)</f>
        <v>2013.15</v>
      </c>
      <c r="E79" s="2"/>
      <c r="F79" s="5">
        <f t="shared" si="12"/>
        <v>3.0416668240520053E-2</v>
      </c>
      <c r="G79" s="2"/>
      <c r="H79" s="2">
        <f>SUM(OSRRefH22_14x_0)</f>
        <v>336</v>
      </c>
      <c r="I79" s="2"/>
      <c r="J79" s="5">
        <f t="shared" si="13"/>
        <v>3.4425876784049342E-3</v>
      </c>
      <c r="K79" s="2"/>
      <c r="L79" s="2">
        <f t="shared" si="14"/>
        <v>1677.15</v>
      </c>
      <c r="M79" s="2"/>
      <c r="N79" s="5">
        <f t="shared" si="15"/>
        <v>4.9915178571428571</v>
      </c>
      <c r="O79" s="11"/>
      <c r="P79" s="2">
        <f>SUM(OSRRefP22_14x_0)</f>
        <v>12567.08</v>
      </c>
      <c r="Q79" s="2"/>
      <c r="R79" s="5">
        <f t="shared" si="16"/>
        <v>6.0604246191852482E-3</v>
      </c>
      <c r="S79" s="2"/>
      <c r="T79" s="2">
        <f>SUM(OSRRefT22_14x_0)</f>
        <v>14170</v>
      </c>
      <c r="U79" s="2"/>
      <c r="V79" s="5">
        <f t="shared" si="17"/>
        <v>5.3379341780353615E-3</v>
      </c>
      <c r="W79" s="2"/>
      <c r="X79" s="2">
        <f t="shared" si="18"/>
        <v>-1602.92</v>
      </c>
      <c r="Y79" s="2"/>
      <c r="Z79" s="5">
        <f t="shared" si="19"/>
        <v>-0.11312067748764996</v>
      </c>
    </row>
    <row r="80" spans="1:26" s="70" customFormat="1" ht="15" hidden="1" customHeight="1" outlineLevel="2" x14ac:dyDescent="0.3">
      <c r="A80" s="21"/>
      <c r="B80" s="9" t="str">
        <f>CONCATENATE("          ","6254"," - ","ROYALTY &amp; COMMISSIONS")</f>
        <v xml:space="preserve">          6254 - ROYALTY &amp; COMMISSIONS</v>
      </c>
      <c r="C80" s="9"/>
      <c r="D80" s="6">
        <v>2013.15</v>
      </c>
      <c r="E80" s="3"/>
      <c r="F80" s="7">
        <f t="shared" si="12"/>
        <v>3.0416668240520053E-2</v>
      </c>
      <c r="G80" s="3"/>
      <c r="H80" s="6"/>
      <c r="I80" s="3"/>
      <c r="J80" s="7">
        <f t="shared" si="13"/>
        <v>0</v>
      </c>
      <c r="K80" s="3"/>
      <c r="L80" s="6">
        <f t="shared" si="14"/>
        <v>2013.15</v>
      </c>
      <c r="M80" s="3"/>
      <c r="N80" s="7">
        <f t="shared" si="15"/>
        <v>0</v>
      </c>
      <c r="O80" s="9"/>
      <c r="P80" s="6">
        <v>12567.08</v>
      </c>
      <c r="Q80" s="3"/>
      <c r="R80" s="7">
        <f t="shared" si="16"/>
        <v>6.0604246191852482E-3</v>
      </c>
      <c r="S80" s="3"/>
      <c r="T80" s="6"/>
      <c r="U80" s="3"/>
      <c r="V80" s="7">
        <f t="shared" si="17"/>
        <v>0</v>
      </c>
      <c r="W80" s="3"/>
      <c r="X80" s="6">
        <f t="shared" si="18"/>
        <v>12567.08</v>
      </c>
      <c r="Y80" s="3"/>
      <c r="Z80" s="7">
        <f t="shared" si="19"/>
        <v>0</v>
      </c>
    </row>
    <row r="81" spans="1:26" s="70" customFormat="1" ht="15" hidden="1" customHeight="1" outlineLevel="2" x14ac:dyDescent="0.3">
      <c r="A81" s="21"/>
      <c r="B81" s="9" t="str">
        <f>CONCATENATE("          ","6259"," - ","ROYALTY &amp; COMMISSIONS")</f>
        <v xml:space="preserve">          6259 - ROYALTY &amp; COMMISSIONS</v>
      </c>
      <c r="C81" s="9"/>
      <c r="D81" s="6"/>
      <c r="E81" s="3"/>
      <c r="F81" s="7">
        <f t="shared" si="12"/>
        <v>0</v>
      </c>
      <c r="G81" s="3"/>
      <c r="H81" s="6">
        <v>336</v>
      </c>
      <c r="I81" s="3"/>
      <c r="J81" s="7">
        <f t="shared" si="13"/>
        <v>3.4425876784049342E-3</v>
      </c>
      <c r="K81" s="3"/>
      <c r="L81" s="6">
        <f t="shared" si="14"/>
        <v>-336</v>
      </c>
      <c r="M81" s="3"/>
      <c r="N81" s="7">
        <f t="shared" si="15"/>
        <v>-1</v>
      </c>
      <c r="O81" s="9"/>
      <c r="P81" s="6"/>
      <c r="Q81" s="3"/>
      <c r="R81" s="7">
        <f t="shared" si="16"/>
        <v>0</v>
      </c>
      <c r="S81" s="3"/>
      <c r="T81" s="6">
        <v>14170</v>
      </c>
      <c r="U81" s="3"/>
      <c r="V81" s="7">
        <f t="shared" si="17"/>
        <v>5.3379341780353615E-3</v>
      </c>
      <c r="W81" s="3"/>
      <c r="X81" s="6">
        <f t="shared" si="18"/>
        <v>-14170</v>
      </c>
      <c r="Y81" s="3"/>
      <c r="Z81" s="7">
        <f t="shared" si="19"/>
        <v>-1</v>
      </c>
    </row>
    <row r="82" spans="1:26" s="69" customFormat="1" ht="15" customHeight="1" outlineLevel="1" collapsed="1" x14ac:dyDescent="0.3">
      <c r="A82" s="20"/>
      <c r="B82" s="11" t="str">
        <f>CONCATENATE("     ","Services                                          ")</f>
        <v xml:space="preserve">     Services                                          </v>
      </c>
      <c r="C82" s="11"/>
      <c r="D82" s="2">
        <f>SUM(OSRRefD22_15x_0)</f>
        <v>44860.479999999996</v>
      </c>
      <c r="E82" s="2"/>
      <c r="F82" s="5">
        <f t="shared" si="12"/>
        <v>0.6777966556245113</v>
      </c>
      <c r="G82" s="2"/>
      <c r="H82" s="2">
        <f>SUM(OSRRefH22_15x_0)</f>
        <v>11384</v>
      </c>
      <c r="I82" s="2"/>
      <c r="J82" s="5">
        <f t="shared" si="13"/>
        <v>0.116638149199291</v>
      </c>
      <c r="K82" s="2"/>
      <c r="L82" s="2">
        <f t="shared" si="14"/>
        <v>33476.479999999996</v>
      </c>
      <c r="M82" s="2"/>
      <c r="N82" s="5">
        <f t="shared" si="15"/>
        <v>2.9406605762473643</v>
      </c>
      <c r="O82" s="11"/>
      <c r="P82" s="2">
        <f>SUM(OSRRefP22_15x_0)</f>
        <v>131145.63999999998</v>
      </c>
      <c r="Q82" s="2"/>
      <c r="R82" s="5">
        <f t="shared" si="16"/>
        <v>6.324446612536927E-2</v>
      </c>
      <c r="S82" s="2"/>
      <c r="T82" s="2">
        <f>SUM(OSRRefT22_15x_0)</f>
        <v>132468</v>
      </c>
      <c r="U82" s="2"/>
      <c r="V82" s="5">
        <f t="shared" si="17"/>
        <v>4.9901585370217945E-2</v>
      </c>
      <c r="W82" s="2"/>
      <c r="X82" s="2">
        <f t="shared" si="18"/>
        <v>-1322.3600000000151</v>
      </c>
      <c r="Y82" s="2"/>
      <c r="Z82" s="5">
        <f t="shared" si="19"/>
        <v>-9.9824863363228485E-3</v>
      </c>
    </row>
    <row r="83" spans="1:26" s="70" customFormat="1" ht="15" hidden="1" customHeight="1" outlineLevel="2" x14ac:dyDescent="0.3">
      <c r="A83" s="21"/>
      <c r="B83" s="9" t="str">
        <f>CONCATENATE("          ","6282"," - ","JANITORIAL/EXTERMINATOR EXPENS")</f>
        <v xml:space="preserve">          6282 - JANITORIAL/EXTERMINATOR EXPENS</v>
      </c>
      <c r="C83" s="9"/>
      <c r="D83" s="6">
        <v>2272.1999999999998</v>
      </c>
      <c r="E83" s="3"/>
      <c r="F83" s="7">
        <f t="shared" si="12"/>
        <v>3.4330652746248247E-2</v>
      </c>
      <c r="G83" s="3"/>
      <c r="H83" s="6">
        <v>1386</v>
      </c>
      <c r="I83" s="3"/>
      <c r="J83" s="7">
        <f t="shared" si="13"/>
        <v>1.4200674173420354E-2</v>
      </c>
      <c r="K83" s="3"/>
      <c r="L83" s="6">
        <f t="shared" si="14"/>
        <v>886.19999999999982</v>
      </c>
      <c r="M83" s="3"/>
      <c r="N83" s="7">
        <f t="shared" si="15"/>
        <v>0.63939393939393929</v>
      </c>
      <c r="O83" s="9"/>
      <c r="P83" s="6">
        <v>17880.310000000001</v>
      </c>
      <c r="Q83" s="3"/>
      <c r="R83" s="7">
        <f t="shared" si="16"/>
        <v>8.6227087694726381E-3</v>
      </c>
      <c r="S83" s="3"/>
      <c r="T83" s="6">
        <v>16274</v>
      </c>
      <c r="U83" s="3"/>
      <c r="V83" s="7">
        <f t="shared" si="17"/>
        <v>6.1305251103279798E-3</v>
      </c>
      <c r="W83" s="3"/>
      <c r="X83" s="6">
        <f t="shared" si="18"/>
        <v>1606.3100000000013</v>
      </c>
      <c r="Y83" s="3"/>
      <c r="Z83" s="7">
        <f t="shared" si="19"/>
        <v>9.870406783826971E-2</v>
      </c>
    </row>
    <row r="84" spans="1:26" s="70" customFormat="1" ht="15" hidden="1" customHeight="1" outlineLevel="2" x14ac:dyDescent="0.3">
      <c r="A84" s="21"/>
      <c r="B84" s="9" t="str">
        <f>CONCATENATE("          ","6283"," - ","PLANT SERVICE")</f>
        <v xml:space="preserve">          6283 - PLANT SERVICE</v>
      </c>
      <c r="C84" s="9"/>
      <c r="D84" s="6"/>
      <c r="E84" s="3"/>
      <c r="F84" s="7">
        <f t="shared" si="12"/>
        <v>0</v>
      </c>
      <c r="G84" s="3"/>
      <c r="H84" s="6">
        <v>100</v>
      </c>
      <c r="I84" s="3"/>
      <c r="J84" s="7">
        <f t="shared" si="13"/>
        <v>1.0245796661919448E-3</v>
      </c>
      <c r="K84" s="3"/>
      <c r="L84" s="6">
        <f t="shared" si="14"/>
        <v>-100</v>
      </c>
      <c r="M84" s="3"/>
      <c r="N84" s="7">
        <f t="shared" si="15"/>
        <v>-1</v>
      </c>
      <c r="O84" s="9"/>
      <c r="P84" s="6"/>
      <c r="Q84" s="3"/>
      <c r="R84" s="7">
        <f t="shared" si="16"/>
        <v>0</v>
      </c>
      <c r="S84" s="3"/>
      <c r="T84" s="6">
        <v>1200</v>
      </c>
      <c r="U84" s="3"/>
      <c r="V84" s="7">
        <f t="shared" si="17"/>
        <v>4.5204806024293817E-4</v>
      </c>
      <c r="W84" s="3"/>
      <c r="X84" s="6">
        <f t="shared" si="18"/>
        <v>-1200</v>
      </c>
      <c r="Y84" s="3"/>
      <c r="Z84" s="7">
        <f t="shared" si="19"/>
        <v>-1</v>
      </c>
    </row>
    <row r="85" spans="1:26" s="70" customFormat="1" ht="15" hidden="1" customHeight="1" outlineLevel="2" x14ac:dyDescent="0.3">
      <c r="A85" s="21"/>
      <c r="B85" s="9" t="str">
        <f>CONCATENATE("          ","6284"," - ","TRASH REMOVAL EXPENSE")</f>
        <v xml:space="preserve">          6284 - TRASH REMOVAL EXPENSE</v>
      </c>
      <c r="C85" s="9"/>
      <c r="D85" s="6"/>
      <c r="E85" s="3"/>
      <c r="F85" s="7">
        <f t="shared" si="12"/>
        <v>0</v>
      </c>
      <c r="G85" s="3"/>
      <c r="H85" s="6">
        <v>1000</v>
      </c>
      <c r="I85" s="3"/>
      <c r="J85" s="7">
        <f t="shared" si="13"/>
        <v>1.0245796661919448E-2</v>
      </c>
      <c r="K85" s="3"/>
      <c r="L85" s="6">
        <f t="shared" si="14"/>
        <v>-1000</v>
      </c>
      <c r="M85" s="3"/>
      <c r="N85" s="7">
        <f t="shared" si="15"/>
        <v>-1</v>
      </c>
      <c r="O85" s="9"/>
      <c r="P85" s="6"/>
      <c r="Q85" s="3"/>
      <c r="R85" s="7">
        <f t="shared" si="16"/>
        <v>0</v>
      </c>
      <c r="S85" s="3"/>
      <c r="T85" s="6">
        <v>12000</v>
      </c>
      <c r="U85" s="3"/>
      <c r="V85" s="7">
        <f t="shared" si="17"/>
        <v>4.5204806024293819E-3</v>
      </c>
      <c r="W85" s="3"/>
      <c r="X85" s="6">
        <f t="shared" si="18"/>
        <v>-12000</v>
      </c>
      <c r="Y85" s="3"/>
      <c r="Z85" s="7">
        <f t="shared" si="19"/>
        <v>-1</v>
      </c>
    </row>
    <row r="86" spans="1:26" s="70" customFormat="1" ht="15" hidden="1" customHeight="1" outlineLevel="2" x14ac:dyDescent="0.3">
      <c r="A86" s="21"/>
      <c r="B86" s="9" t="str">
        <f>CONCATENATE("          ","6285"," - ","JANITORIAL SERVICES")</f>
        <v xml:space="preserve">          6285 - JANITORIAL SERVICES</v>
      </c>
      <c r="C86" s="9"/>
      <c r="D86" s="6">
        <v>40947.49</v>
      </c>
      <c r="E86" s="3"/>
      <c r="F86" s="7">
        <f t="shared" si="12"/>
        <v>0.61867531908303519</v>
      </c>
      <c r="G86" s="3"/>
      <c r="H86" s="6">
        <v>8224</v>
      </c>
      <c r="I86" s="3"/>
      <c r="J86" s="7">
        <f t="shared" si="13"/>
        <v>8.4261431747625543E-2</v>
      </c>
      <c r="K86" s="3"/>
      <c r="L86" s="6">
        <f t="shared" si="14"/>
        <v>32723.489999999998</v>
      </c>
      <c r="M86" s="3"/>
      <c r="N86" s="7">
        <f t="shared" si="15"/>
        <v>3.979023589494163</v>
      </c>
      <c r="O86" s="9"/>
      <c r="P86" s="6">
        <v>103981.23</v>
      </c>
      <c r="Q86" s="3"/>
      <c r="R86" s="7">
        <f t="shared" si="16"/>
        <v>5.0144536855432104E-2</v>
      </c>
      <c r="S86" s="3"/>
      <c r="T86" s="6">
        <v>95255</v>
      </c>
      <c r="U86" s="3"/>
      <c r="V86" s="7">
        <f t="shared" si="17"/>
        <v>3.5883198315367563E-2</v>
      </c>
      <c r="W86" s="3"/>
      <c r="X86" s="6">
        <f t="shared" si="18"/>
        <v>8726.2299999999959</v>
      </c>
      <c r="Y86" s="3"/>
      <c r="Z86" s="7">
        <f t="shared" si="19"/>
        <v>9.1609154375098381E-2</v>
      </c>
    </row>
    <row r="87" spans="1:26" s="70" customFormat="1" ht="15" hidden="1" customHeight="1" outlineLevel="2" x14ac:dyDescent="0.3">
      <c r="A87" s="21"/>
      <c r="B87" s="9" t="str">
        <f>CONCATENATE("          ","6286"," - ","LAUNDRY EXPENSE")</f>
        <v xml:space="preserve">          6286 - LAUNDRY EXPENSE</v>
      </c>
      <c r="C87" s="9"/>
      <c r="D87" s="6">
        <v>1640.79</v>
      </c>
      <c r="E87" s="3"/>
      <c r="F87" s="7">
        <f t="shared" si="12"/>
        <v>2.4790683795227825E-2</v>
      </c>
      <c r="G87" s="3"/>
      <c r="H87" s="6">
        <v>674</v>
      </c>
      <c r="I87" s="3"/>
      <c r="J87" s="7">
        <f t="shared" si="13"/>
        <v>6.9056669501337074E-3</v>
      </c>
      <c r="K87" s="3"/>
      <c r="L87" s="6">
        <f t="shared" si="14"/>
        <v>966.79</v>
      </c>
      <c r="M87" s="3"/>
      <c r="N87" s="7">
        <f t="shared" si="15"/>
        <v>1.434406528189911</v>
      </c>
      <c r="O87" s="9"/>
      <c r="P87" s="6">
        <v>9284.1</v>
      </c>
      <c r="Q87" s="3"/>
      <c r="R87" s="7">
        <f t="shared" si="16"/>
        <v>4.4772205004645288E-3</v>
      </c>
      <c r="S87" s="3"/>
      <c r="T87" s="6">
        <v>7739</v>
      </c>
      <c r="U87" s="3"/>
      <c r="V87" s="7">
        <f t="shared" si="17"/>
        <v>2.9153332818500819E-3</v>
      </c>
      <c r="W87" s="3"/>
      <c r="X87" s="6">
        <f t="shared" si="18"/>
        <v>1545.1000000000004</v>
      </c>
      <c r="Y87" s="3"/>
      <c r="Z87" s="7">
        <f t="shared" si="19"/>
        <v>0.19965111771546717</v>
      </c>
    </row>
    <row r="88" spans="1:26" s="69" customFormat="1" ht="15" customHeight="1" outlineLevel="1" collapsed="1" x14ac:dyDescent="0.3">
      <c r="A88" s="20"/>
      <c r="B88" s="11" t="str">
        <f>CONCATENATE("     ","Subscriptions &amp; Dues                              ")</f>
        <v xml:space="preserve">     Subscriptions &amp; Dues                              </v>
      </c>
      <c r="C88" s="11"/>
      <c r="D88" s="2">
        <f>SUM(OSRRefD22_16x_0)</f>
        <v>560.5</v>
      </c>
      <c r="E88" s="2"/>
      <c r="F88" s="5">
        <f t="shared" si="12"/>
        <v>8.4685902932277717E-3</v>
      </c>
      <c r="G88" s="2"/>
      <c r="H88" s="2">
        <f>SUM(OSRRefH22_16x_0)</f>
        <v>610</v>
      </c>
      <c r="I88" s="2"/>
      <c r="J88" s="5">
        <f t="shared" si="13"/>
        <v>6.2499359637708633E-3</v>
      </c>
      <c r="K88" s="2"/>
      <c r="L88" s="2">
        <f t="shared" si="14"/>
        <v>-49.5</v>
      </c>
      <c r="M88" s="2"/>
      <c r="N88" s="5">
        <f t="shared" si="15"/>
        <v>-8.1147540983606561E-2</v>
      </c>
      <c r="O88" s="11"/>
      <c r="P88" s="2">
        <f>SUM(OSRRefP22_16x_0)</f>
        <v>7528.4</v>
      </c>
      <c r="Q88" s="2"/>
      <c r="R88" s="5">
        <f t="shared" si="16"/>
        <v>3.6305411203775436E-3</v>
      </c>
      <c r="S88" s="2"/>
      <c r="T88" s="2">
        <f>SUM(OSRRefT22_16x_0)</f>
        <v>7090</v>
      </c>
      <c r="U88" s="2"/>
      <c r="V88" s="5">
        <f t="shared" si="17"/>
        <v>2.6708506226020261E-3</v>
      </c>
      <c r="W88" s="2"/>
      <c r="X88" s="2">
        <f t="shared" si="18"/>
        <v>438.39999999999964</v>
      </c>
      <c r="Y88" s="2"/>
      <c r="Z88" s="5">
        <f t="shared" si="19"/>
        <v>6.1833568406205873E-2</v>
      </c>
    </row>
    <row r="89" spans="1:26" s="70" customFormat="1" ht="15" hidden="1" customHeight="1" outlineLevel="2" x14ac:dyDescent="0.3">
      <c r="A89" s="21"/>
      <c r="B89" s="9" t="str">
        <f>CONCATENATE("          ","6275"," - ","SUBSCRIPTIONS")</f>
        <v xml:space="preserve">          6275 - SUBSCRIPTIONS</v>
      </c>
      <c r="C89" s="9"/>
      <c r="D89" s="6">
        <v>560.5</v>
      </c>
      <c r="E89" s="3"/>
      <c r="F89" s="7">
        <f t="shared" si="12"/>
        <v>8.4685902932277717E-3</v>
      </c>
      <c r="G89" s="3"/>
      <c r="H89" s="6">
        <v>610</v>
      </c>
      <c r="I89" s="3"/>
      <c r="J89" s="7">
        <f t="shared" si="13"/>
        <v>6.2499359637708633E-3</v>
      </c>
      <c r="K89" s="3"/>
      <c r="L89" s="6">
        <f t="shared" si="14"/>
        <v>-49.5</v>
      </c>
      <c r="M89" s="3"/>
      <c r="N89" s="7">
        <f t="shared" si="15"/>
        <v>-8.1147540983606561E-2</v>
      </c>
      <c r="O89" s="9"/>
      <c r="P89" s="6">
        <v>7528.4</v>
      </c>
      <c r="Q89" s="3"/>
      <c r="R89" s="7">
        <f t="shared" si="16"/>
        <v>3.6305411203775436E-3</v>
      </c>
      <c r="S89" s="3"/>
      <c r="T89" s="6">
        <v>7090</v>
      </c>
      <c r="U89" s="3"/>
      <c r="V89" s="7">
        <f t="shared" si="17"/>
        <v>2.6708506226020261E-3</v>
      </c>
      <c r="W89" s="3"/>
      <c r="X89" s="6">
        <f t="shared" si="18"/>
        <v>438.39999999999964</v>
      </c>
      <c r="Y89" s="3"/>
      <c r="Z89" s="7">
        <f t="shared" si="19"/>
        <v>6.1833568406205873E-2</v>
      </c>
    </row>
    <row r="90" spans="1:26" s="69" customFormat="1" ht="15" customHeight="1" outlineLevel="1" collapsed="1" x14ac:dyDescent="0.3">
      <c r="A90" s="20"/>
      <c r="B90" s="11" t="str">
        <f>CONCATENATE("     ","Supplies                                          ")</f>
        <v xml:space="preserve">     Supplies                                          </v>
      </c>
      <c r="C90" s="11"/>
      <c r="D90" s="2">
        <f>SUM(OSRRefD22_17x_0)</f>
        <v>2397.73</v>
      </c>
      <c r="E90" s="2"/>
      <c r="F90" s="5">
        <f t="shared" si="12"/>
        <v>3.6227284574096387E-2</v>
      </c>
      <c r="G90" s="2"/>
      <c r="H90" s="2">
        <f>SUM(OSRRefH22_17x_0)</f>
        <v>1500</v>
      </c>
      <c r="I90" s="2"/>
      <c r="J90" s="5">
        <f t="shared" si="13"/>
        <v>1.5368694992879172E-2</v>
      </c>
      <c r="K90" s="2"/>
      <c r="L90" s="2">
        <f t="shared" si="14"/>
        <v>897.73</v>
      </c>
      <c r="M90" s="2"/>
      <c r="N90" s="5">
        <f t="shared" si="15"/>
        <v>0.59848666666666672</v>
      </c>
      <c r="O90" s="11"/>
      <c r="P90" s="2">
        <f>SUM(OSRRefP22_17x_0)</f>
        <v>45056.63</v>
      </c>
      <c r="Q90" s="2"/>
      <c r="R90" s="5">
        <f t="shared" si="16"/>
        <v>2.1728381589798156E-2</v>
      </c>
      <c r="S90" s="2"/>
      <c r="T90" s="2">
        <f>SUM(OSRRefT22_17x_0)</f>
        <v>51723</v>
      </c>
      <c r="U90" s="2"/>
      <c r="V90" s="5">
        <f t="shared" si="17"/>
        <v>1.9484401516621241E-2</v>
      </c>
      <c r="W90" s="2"/>
      <c r="X90" s="2">
        <f t="shared" si="18"/>
        <v>-6666.3700000000026</v>
      </c>
      <c r="Y90" s="2"/>
      <c r="Z90" s="5">
        <f t="shared" si="19"/>
        <v>-0.12888598882508753</v>
      </c>
    </row>
    <row r="91" spans="1:26" s="70" customFormat="1" ht="15" hidden="1" customHeight="1" outlineLevel="2" x14ac:dyDescent="0.3">
      <c r="A91" s="21"/>
      <c r="B91" s="9" t="str">
        <f>CONCATENATE("          ","6234"," - ","EXPENDABLE SUPPLIES &amp; EQUIPMEN")</f>
        <v xml:space="preserve">          6234 - EXPENDABLE SUPPLIES &amp; EQUIPMEN</v>
      </c>
      <c r="C91" s="9"/>
      <c r="D91" s="6"/>
      <c r="E91" s="3"/>
      <c r="F91" s="7">
        <f t="shared" ref="F91:F110" si="20">IF(D$12=0,0,D91/D$12)</f>
        <v>0</v>
      </c>
      <c r="G91" s="3"/>
      <c r="H91" s="6">
        <v>50</v>
      </c>
      <c r="I91" s="3"/>
      <c r="J91" s="7">
        <f t="shared" ref="J91:J110" si="21">IF(H$12=0,0,H91/H$12)</f>
        <v>5.1228983309597239E-4</v>
      </c>
      <c r="K91" s="3"/>
      <c r="L91" s="6">
        <f t="shared" ref="L91:L110" si="22">+D91-H91</f>
        <v>-50</v>
      </c>
      <c r="M91" s="3"/>
      <c r="N91" s="7">
        <f t="shared" ref="N91:N110" si="23">IF(H91=0,0,L91/H91)</f>
        <v>-1</v>
      </c>
      <c r="O91" s="9"/>
      <c r="P91" s="6">
        <v>1536.73</v>
      </c>
      <c r="Q91" s="3"/>
      <c r="R91" s="7">
        <f t="shared" ref="R91:R110" si="24">IF(P$12=0,0,P91/P$12)</f>
        <v>7.410819637529598E-4</v>
      </c>
      <c r="S91" s="3"/>
      <c r="T91" s="6">
        <v>850</v>
      </c>
      <c r="U91" s="3"/>
      <c r="V91" s="7">
        <f t="shared" ref="V91:V110" si="25">IF(T$12=0,0,T91/T$12)</f>
        <v>3.2020070933874787E-4</v>
      </c>
      <c r="W91" s="3"/>
      <c r="X91" s="6">
        <f t="shared" ref="X91:X110" si="26">+P91-T91</f>
        <v>686.73</v>
      </c>
      <c r="Y91" s="3"/>
      <c r="Z91" s="7">
        <f t="shared" ref="Z91:Z110" si="27">IF(T91=0,0,X91/T91)</f>
        <v>0.80791764705882352</v>
      </c>
    </row>
    <row r="92" spans="1:26" s="70" customFormat="1" ht="15" hidden="1" customHeight="1" outlineLevel="2" x14ac:dyDescent="0.3">
      <c r="A92" s="21"/>
      <c r="B92" s="9" t="str">
        <f>CONCATENATE("          ","6235"," - ","COVID-19 EXPENSES")</f>
        <v xml:space="preserve">          6235 - COVID-19 EXPENSES</v>
      </c>
      <c r="C92" s="9"/>
      <c r="D92" s="6"/>
      <c r="E92" s="3"/>
      <c r="F92" s="7">
        <f t="shared" si="20"/>
        <v>0</v>
      </c>
      <c r="G92" s="3"/>
      <c r="H92" s="6">
        <v>225</v>
      </c>
      <c r="I92" s="3"/>
      <c r="J92" s="7">
        <f t="shared" si="21"/>
        <v>2.3053042489318758E-3</v>
      </c>
      <c r="K92" s="3"/>
      <c r="L92" s="6">
        <f t="shared" si="22"/>
        <v>-225</v>
      </c>
      <c r="M92" s="3"/>
      <c r="N92" s="7">
        <f t="shared" si="23"/>
        <v>-1</v>
      </c>
      <c r="O92" s="9"/>
      <c r="P92" s="6">
        <v>690.53</v>
      </c>
      <c r="Q92" s="3"/>
      <c r="R92" s="7">
        <f t="shared" si="24"/>
        <v>3.3300536101353611E-4</v>
      </c>
      <c r="S92" s="3"/>
      <c r="T92" s="6">
        <v>3225</v>
      </c>
      <c r="U92" s="3"/>
      <c r="V92" s="7">
        <f t="shared" si="25"/>
        <v>1.2148791619028963E-3</v>
      </c>
      <c r="W92" s="3"/>
      <c r="X92" s="6">
        <f t="shared" si="26"/>
        <v>-2534.4700000000003</v>
      </c>
      <c r="Y92" s="3"/>
      <c r="Z92" s="7">
        <f t="shared" si="27"/>
        <v>-0.78588217054263576</v>
      </c>
    </row>
    <row r="93" spans="1:26" s="70" customFormat="1" ht="15" hidden="1" customHeight="1" outlineLevel="2" x14ac:dyDescent="0.3">
      <c r="A93" s="21"/>
      <c r="B93" s="9" t="str">
        <f>CONCATENATE("          ","6237"," - ","JANITORIAL SUPPLIES")</f>
        <v xml:space="preserve">          6237 - JANITORIAL SUPPLIES</v>
      </c>
      <c r="C93" s="9"/>
      <c r="D93" s="6">
        <v>877.49</v>
      </c>
      <c r="E93" s="3"/>
      <c r="F93" s="7">
        <f t="shared" si="20"/>
        <v>1.3257989824093555E-2</v>
      </c>
      <c r="G93" s="3"/>
      <c r="H93" s="6">
        <v>175</v>
      </c>
      <c r="I93" s="3"/>
      <c r="J93" s="7">
        <f t="shared" si="21"/>
        <v>1.7930144158359034E-3</v>
      </c>
      <c r="K93" s="3"/>
      <c r="L93" s="6">
        <f t="shared" si="22"/>
        <v>702.49</v>
      </c>
      <c r="M93" s="3"/>
      <c r="N93" s="7">
        <f t="shared" si="23"/>
        <v>4.0142285714285713</v>
      </c>
      <c r="O93" s="9"/>
      <c r="P93" s="6">
        <v>10796.29</v>
      </c>
      <c r="Q93" s="3"/>
      <c r="R93" s="7">
        <f t="shared" si="24"/>
        <v>5.2064681462888366E-3</v>
      </c>
      <c r="S93" s="3"/>
      <c r="T93" s="6">
        <v>4378</v>
      </c>
      <c r="U93" s="3"/>
      <c r="V93" s="7">
        <f t="shared" si="25"/>
        <v>1.649222006452986E-3</v>
      </c>
      <c r="W93" s="3"/>
      <c r="X93" s="6">
        <f t="shared" si="26"/>
        <v>6418.2900000000009</v>
      </c>
      <c r="Y93" s="3"/>
      <c r="Z93" s="7">
        <f t="shared" si="27"/>
        <v>1.4660324349017819</v>
      </c>
    </row>
    <row r="94" spans="1:26" s="70" customFormat="1" ht="15" hidden="1" customHeight="1" outlineLevel="2" x14ac:dyDescent="0.3">
      <c r="A94" s="21"/>
      <c r="B94" s="9" t="str">
        <f>CONCATENATE("          ","6239"," - ","KITCHEN SUPPLIES")</f>
        <v xml:space="preserve">          6239 - KITCHEN SUPPLIES</v>
      </c>
      <c r="C94" s="9"/>
      <c r="D94" s="6">
        <v>434.43</v>
      </c>
      <c r="E94" s="3"/>
      <c r="F94" s="7">
        <f t="shared" si="20"/>
        <v>6.5637996094325439E-3</v>
      </c>
      <c r="G94" s="3"/>
      <c r="H94" s="6"/>
      <c r="I94" s="3"/>
      <c r="J94" s="7">
        <f t="shared" si="21"/>
        <v>0</v>
      </c>
      <c r="K94" s="3"/>
      <c r="L94" s="6">
        <f t="shared" si="22"/>
        <v>434.43</v>
      </c>
      <c r="M94" s="3"/>
      <c r="N94" s="7">
        <f t="shared" si="23"/>
        <v>0</v>
      </c>
      <c r="O94" s="9"/>
      <c r="P94" s="6">
        <v>9860.92</v>
      </c>
      <c r="Q94" s="3"/>
      <c r="R94" s="7">
        <f t="shared" si="24"/>
        <v>4.7553896637736208E-3</v>
      </c>
      <c r="S94" s="3"/>
      <c r="T94" s="6">
        <v>5349</v>
      </c>
      <c r="U94" s="3"/>
      <c r="V94" s="7">
        <f t="shared" si="25"/>
        <v>2.015004228532897E-3</v>
      </c>
      <c r="W94" s="3"/>
      <c r="X94" s="6">
        <f t="shared" si="26"/>
        <v>4511.92</v>
      </c>
      <c r="Y94" s="3"/>
      <c r="Z94" s="7">
        <f t="shared" si="27"/>
        <v>0.84350719760702941</v>
      </c>
    </row>
    <row r="95" spans="1:26" s="70" customFormat="1" ht="15" hidden="1" customHeight="1" outlineLevel="2" x14ac:dyDescent="0.3">
      <c r="A95" s="21"/>
      <c r="B95" s="9" t="str">
        <f>CONCATENATE("          ","6241"," - ","OFFICE EXPENSE")</f>
        <v xml:space="preserve">          6241 - OFFICE EXPENSE</v>
      </c>
      <c r="C95" s="9"/>
      <c r="D95" s="6">
        <v>96.56</v>
      </c>
      <c r="E95" s="3"/>
      <c r="F95" s="7">
        <f t="shared" si="20"/>
        <v>1.4589243152793464E-3</v>
      </c>
      <c r="G95" s="3"/>
      <c r="H95" s="6"/>
      <c r="I95" s="3"/>
      <c r="J95" s="7">
        <f t="shared" si="21"/>
        <v>0</v>
      </c>
      <c r="K95" s="3"/>
      <c r="L95" s="6">
        <f t="shared" si="22"/>
        <v>96.56</v>
      </c>
      <c r="M95" s="3"/>
      <c r="N95" s="7">
        <f t="shared" si="23"/>
        <v>0</v>
      </c>
      <c r="O95" s="9"/>
      <c r="P95" s="6">
        <v>8186.52</v>
      </c>
      <c r="Q95" s="3"/>
      <c r="R95" s="7">
        <f t="shared" si="24"/>
        <v>3.9479168870932965E-3</v>
      </c>
      <c r="S95" s="3"/>
      <c r="T95" s="6">
        <v>3227</v>
      </c>
      <c r="U95" s="3"/>
      <c r="V95" s="7">
        <f t="shared" si="25"/>
        <v>1.2156325753366346E-3</v>
      </c>
      <c r="W95" s="3"/>
      <c r="X95" s="6">
        <f t="shared" si="26"/>
        <v>4959.5200000000004</v>
      </c>
      <c r="Y95" s="3"/>
      <c r="Z95" s="7">
        <f t="shared" si="27"/>
        <v>1.5368825534552217</v>
      </c>
    </row>
    <row r="96" spans="1:26" s="70" customFormat="1" ht="15" hidden="1" customHeight="1" outlineLevel="2" x14ac:dyDescent="0.3">
      <c r="A96" s="21"/>
      <c r="B96" s="9" t="str">
        <f>CONCATENATE("          ","6243"," - ","PAPER SUPPLIES")</f>
        <v xml:space="preserve">          6243 - PAPER SUPPLIES</v>
      </c>
      <c r="C96" s="9"/>
      <c r="D96" s="6">
        <v>430.91</v>
      </c>
      <c r="E96" s="3"/>
      <c r="F96" s="7">
        <f t="shared" si="20"/>
        <v>6.5106159558515246E-3</v>
      </c>
      <c r="G96" s="3"/>
      <c r="H96" s="6">
        <v>700</v>
      </c>
      <c r="I96" s="3"/>
      <c r="J96" s="7">
        <f t="shared" si="21"/>
        <v>7.1720576633436135E-3</v>
      </c>
      <c r="K96" s="3"/>
      <c r="L96" s="6">
        <f t="shared" si="22"/>
        <v>-269.08999999999997</v>
      </c>
      <c r="M96" s="3"/>
      <c r="N96" s="7">
        <f t="shared" si="23"/>
        <v>-0.38441428571428565</v>
      </c>
      <c r="O96" s="9"/>
      <c r="P96" s="6">
        <v>4634.63</v>
      </c>
      <c r="Q96" s="3"/>
      <c r="R96" s="7">
        <f t="shared" si="24"/>
        <v>2.2350319845830953E-3</v>
      </c>
      <c r="S96" s="3"/>
      <c r="T96" s="6">
        <v>10733</v>
      </c>
      <c r="U96" s="3"/>
      <c r="V96" s="7">
        <f t="shared" si="25"/>
        <v>4.0431931921562124E-3</v>
      </c>
      <c r="W96" s="3"/>
      <c r="X96" s="6">
        <f t="shared" si="26"/>
        <v>-6098.37</v>
      </c>
      <c r="Y96" s="3"/>
      <c r="Z96" s="7">
        <f t="shared" si="27"/>
        <v>-0.56818876362619952</v>
      </c>
    </row>
    <row r="97" spans="1:26" s="70" customFormat="1" ht="15" hidden="1" customHeight="1" outlineLevel="2" x14ac:dyDescent="0.3">
      <c r="A97" s="21"/>
      <c r="B97" s="9" t="str">
        <f>CONCATENATE("          ","6244"," - ","SAFETY SUPPLY EXPENSE")</f>
        <v xml:space="preserve">          6244 - SAFETY SUPPLY EXPENSE</v>
      </c>
      <c r="C97" s="9"/>
      <c r="D97" s="6"/>
      <c r="E97" s="3"/>
      <c r="F97" s="7">
        <f t="shared" si="20"/>
        <v>0</v>
      </c>
      <c r="G97" s="3"/>
      <c r="H97" s="6"/>
      <c r="I97" s="3"/>
      <c r="J97" s="7">
        <f t="shared" si="21"/>
        <v>0</v>
      </c>
      <c r="K97" s="3"/>
      <c r="L97" s="6">
        <f t="shared" si="22"/>
        <v>0</v>
      </c>
      <c r="M97" s="3"/>
      <c r="N97" s="7">
        <f t="shared" si="23"/>
        <v>0</v>
      </c>
      <c r="O97" s="9"/>
      <c r="P97" s="6"/>
      <c r="Q97" s="3"/>
      <c r="R97" s="7">
        <f t="shared" si="24"/>
        <v>0</v>
      </c>
      <c r="S97" s="3"/>
      <c r="T97" s="6">
        <v>150</v>
      </c>
      <c r="U97" s="3"/>
      <c r="V97" s="7">
        <f t="shared" si="25"/>
        <v>5.6506007530367271E-5</v>
      </c>
      <c r="W97" s="3"/>
      <c r="X97" s="6">
        <f t="shared" si="26"/>
        <v>-150</v>
      </c>
      <c r="Y97" s="3"/>
      <c r="Z97" s="7">
        <f t="shared" si="27"/>
        <v>-1</v>
      </c>
    </row>
    <row r="98" spans="1:26" s="70" customFormat="1" ht="15" hidden="1" customHeight="1" outlineLevel="2" x14ac:dyDescent="0.3">
      <c r="A98" s="21"/>
      <c r="B98" s="9" t="str">
        <f>CONCATENATE("          ","6245"," - ","PRINTING")</f>
        <v xml:space="preserve">          6245 - PRINTING</v>
      </c>
      <c r="C98" s="9"/>
      <c r="D98" s="6">
        <v>598.64</v>
      </c>
      <c r="E98" s="3"/>
      <c r="F98" s="7">
        <f t="shared" si="20"/>
        <v>9.0448472669721197E-3</v>
      </c>
      <c r="G98" s="3"/>
      <c r="H98" s="6">
        <v>100</v>
      </c>
      <c r="I98" s="3"/>
      <c r="J98" s="7">
        <f t="shared" si="21"/>
        <v>1.0245796661919448E-3</v>
      </c>
      <c r="K98" s="3"/>
      <c r="L98" s="6">
        <f t="shared" si="22"/>
        <v>498.64</v>
      </c>
      <c r="M98" s="3"/>
      <c r="N98" s="7">
        <f t="shared" si="23"/>
        <v>4.9863999999999997</v>
      </c>
      <c r="O98" s="9"/>
      <c r="P98" s="6">
        <v>1669.64</v>
      </c>
      <c r="Q98" s="3"/>
      <c r="R98" s="7">
        <f t="shared" si="24"/>
        <v>8.0517728550916028E-4</v>
      </c>
      <c r="S98" s="3"/>
      <c r="T98" s="6">
        <v>2000</v>
      </c>
      <c r="U98" s="3"/>
      <c r="V98" s="7">
        <f t="shared" si="25"/>
        <v>7.5341343373823031E-4</v>
      </c>
      <c r="W98" s="3"/>
      <c r="X98" s="6">
        <f t="shared" si="26"/>
        <v>-330.3599999999999</v>
      </c>
      <c r="Y98" s="3"/>
      <c r="Z98" s="7">
        <f t="shared" si="27"/>
        <v>-0.16517999999999994</v>
      </c>
    </row>
    <row r="99" spans="1:26" s="70" customFormat="1" ht="15" hidden="1" customHeight="1" outlineLevel="2" x14ac:dyDescent="0.3">
      <c r="A99" s="21"/>
      <c r="B99" s="9" t="str">
        <f>CONCATENATE("          ","6247"," - ","STORE SUPPLIES")</f>
        <v xml:space="preserve">          6247 - STORE SUPPLIES</v>
      </c>
      <c r="C99" s="9"/>
      <c r="D99" s="6">
        <v>-40.299999999999997</v>
      </c>
      <c r="E99" s="3"/>
      <c r="F99" s="7">
        <f t="shared" si="20"/>
        <v>-6.0889239753270151E-4</v>
      </c>
      <c r="G99" s="3"/>
      <c r="H99" s="6">
        <v>250</v>
      </c>
      <c r="I99" s="3"/>
      <c r="J99" s="7">
        <f t="shared" si="21"/>
        <v>2.5614491654798619E-3</v>
      </c>
      <c r="K99" s="3"/>
      <c r="L99" s="6">
        <f t="shared" si="22"/>
        <v>-290.3</v>
      </c>
      <c r="M99" s="3"/>
      <c r="N99" s="7">
        <f t="shared" si="23"/>
        <v>-1.1612</v>
      </c>
      <c r="O99" s="9"/>
      <c r="P99" s="6">
        <v>4692.92</v>
      </c>
      <c r="Q99" s="3"/>
      <c r="R99" s="7">
        <f t="shared" si="24"/>
        <v>2.2631421065089771E-3</v>
      </c>
      <c r="S99" s="3"/>
      <c r="T99" s="6">
        <v>17961</v>
      </c>
      <c r="U99" s="3"/>
      <c r="V99" s="7">
        <f t="shared" si="25"/>
        <v>6.7660293416861765E-3</v>
      </c>
      <c r="W99" s="3"/>
      <c r="X99" s="6">
        <f t="shared" si="26"/>
        <v>-13268.08</v>
      </c>
      <c r="Y99" s="3"/>
      <c r="Z99" s="7">
        <f t="shared" si="27"/>
        <v>-0.73871610712098434</v>
      </c>
    </row>
    <row r="100" spans="1:26" s="70" customFormat="1" ht="15" hidden="1" customHeight="1" outlineLevel="2" x14ac:dyDescent="0.3">
      <c r="A100" s="21"/>
      <c r="B100" s="9" t="str">
        <f>CONCATENATE("          ","6248"," - ","UNIFORMS")</f>
        <v xml:space="preserve">          6248 - UNIFORMS</v>
      </c>
      <c r="C100" s="9"/>
      <c r="D100" s="6"/>
      <c r="E100" s="3"/>
      <c r="F100" s="7">
        <f t="shared" si="20"/>
        <v>0</v>
      </c>
      <c r="G100" s="3"/>
      <c r="H100" s="6"/>
      <c r="I100" s="3"/>
      <c r="J100" s="7">
        <f t="shared" si="21"/>
        <v>0</v>
      </c>
      <c r="K100" s="3"/>
      <c r="L100" s="6">
        <f t="shared" si="22"/>
        <v>0</v>
      </c>
      <c r="M100" s="3"/>
      <c r="N100" s="7">
        <f t="shared" si="23"/>
        <v>0</v>
      </c>
      <c r="O100" s="9"/>
      <c r="P100" s="6">
        <v>2988.45</v>
      </c>
      <c r="Q100" s="3"/>
      <c r="R100" s="7">
        <f t="shared" si="24"/>
        <v>1.4411681912746758E-3</v>
      </c>
      <c r="S100" s="3"/>
      <c r="T100" s="6">
        <v>3850</v>
      </c>
      <c r="U100" s="3"/>
      <c r="V100" s="7">
        <f t="shared" si="25"/>
        <v>1.4503208599460932E-3</v>
      </c>
      <c r="W100" s="3"/>
      <c r="X100" s="6">
        <f t="shared" si="26"/>
        <v>-861.55000000000018</v>
      </c>
      <c r="Y100" s="3"/>
      <c r="Z100" s="7">
        <f t="shared" si="27"/>
        <v>-0.22377922077922083</v>
      </c>
    </row>
    <row r="101" spans="1:26" s="69" customFormat="1" ht="15" customHeight="1" outlineLevel="1" collapsed="1" x14ac:dyDescent="0.3">
      <c r="A101" s="20"/>
      <c r="B101" s="11" t="str">
        <f>CONCATENATE("     ","Telephone/Data Lines                              ")</f>
        <v xml:space="preserve">     Telephone/Data Lines                              </v>
      </c>
      <c r="C101" s="11"/>
      <c r="D101" s="2">
        <f>SUM(OSRRefD22_18x_0)</f>
        <v>390.85</v>
      </c>
      <c r="E101" s="2"/>
      <c r="F101" s="5">
        <f t="shared" si="20"/>
        <v>5.9053497165175283E-3</v>
      </c>
      <c r="G101" s="2"/>
      <c r="H101" s="2">
        <f>SUM(OSRRefH22_18x_0)</f>
        <v>538</v>
      </c>
      <c r="I101" s="2"/>
      <c r="J101" s="5">
        <f t="shared" si="21"/>
        <v>5.5122386041126627E-3</v>
      </c>
      <c r="K101" s="2"/>
      <c r="L101" s="2">
        <f t="shared" si="22"/>
        <v>-147.14999999999998</v>
      </c>
      <c r="M101" s="2"/>
      <c r="N101" s="5">
        <f t="shared" si="23"/>
        <v>-0.27351301115241633</v>
      </c>
      <c r="O101" s="11"/>
      <c r="P101" s="2">
        <f>SUM(OSRRefP22_18x_0)</f>
        <v>9879.24</v>
      </c>
      <c r="Q101" s="2"/>
      <c r="R101" s="5">
        <f t="shared" si="24"/>
        <v>4.7642244113063397E-3</v>
      </c>
      <c r="S101" s="2"/>
      <c r="T101" s="2">
        <f>SUM(OSRRefT22_18x_0)</f>
        <v>7056</v>
      </c>
      <c r="U101" s="2"/>
      <c r="V101" s="5">
        <f t="shared" si="25"/>
        <v>2.6580425942284765E-3</v>
      </c>
      <c r="W101" s="2"/>
      <c r="X101" s="2">
        <f t="shared" si="26"/>
        <v>2823.24</v>
      </c>
      <c r="Y101" s="2"/>
      <c r="Z101" s="5">
        <f t="shared" si="27"/>
        <v>0.4001190476190476</v>
      </c>
    </row>
    <row r="102" spans="1:26" s="70" customFormat="1" ht="15" hidden="1" customHeight="1" outlineLevel="2" x14ac:dyDescent="0.3">
      <c r="A102" s="21"/>
      <c r="B102" s="9" t="str">
        <f>CONCATENATE("          ","6303"," - ","DATA PHONE LINES")</f>
        <v xml:space="preserve">          6303 - DATA PHONE LINES</v>
      </c>
      <c r="C102" s="9"/>
      <c r="D102" s="6"/>
      <c r="E102" s="3"/>
      <c r="F102" s="7">
        <f t="shared" si="20"/>
        <v>0</v>
      </c>
      <c r="G102" s="3"/>
      <c r="H102" s="6">
        <v>185</v>
      </c>
      <c r="I102" s="3"/>
      <c r="J102" s="7">
        <f t="shared" si="21"/>
        <v>1.8954723824550978E-3</v>
      </c>
      <c r="K102" s="3"/>
      <c r="L102" s="6">
        <f t="shared" si="22"/>
        <v>-185</v>
      </c>
      <c r="M102" s="3"/>
      <c r="N102" s="7">
        <f t="shared" si="23"/>
        <v>-1</v>
      </c>
      <c r="O102" s="9"/>
      <c r="P102" s="6"/>
      <c r="Q102" s="3"/>
      <c r="R102" s="7">
        <f t="shared" si="24"/>
        <v>0</v>
      </c>
      <c r="S102" s="3"/>
      <c r="T102" s="6">
        <v>2220</v>
      </c>
      <c r="U102" s="3"/>
      <c r="V102" s="7">
        <f t="shared" si="25"/>
        <v>8.3628891144943559E-4</v>
      </c>
      <c r="W102" s="3"/>
      <c r="X102" s="6">
        <f t="shared" si="26"/>
        <v>-2220</v>
      </c>
      <c r="Y102" s="3"/>
      <c r="Z102" s="7">
        <f t="shared" si="27"/>
        <v>-1</v>
      </c>
    </row>
    <row r="103" spans="1:26" s="70" customFormat="1" ht="15" hidden="1" customHeight="1" outlineLevel="2" x14ac:dyDescent="0.3">
      <c r="A103" s="21"/>
      <c r="B103" s="9" t="str">
        <f>CONCATENATE("          ","6309"," - ","TELEPHONE")</f>
        <v xml:space="preserve">          6309 - TELEPHONE</v>
      </c>
      <c r="C103" s="9"/>
      <c r="D103" s="6">
        <v>390.85</v>
      </c>
      <c r="E103" s="3"/>
      <c r="F103" s="7">
        <f t="shared" si="20"/>
        <v>5.9053497165175283E-3</v>
      </c>
      <c r="G103" s="3"/>
      <c r="H103" s="6">
        <v>353</v>
      </c>
      <c r="I103" s="3"/>
      <c r="J103" s="7">
        <f t="shared" si="21"/>
        <v>3.6167662216575651E-3</v>
      </c>
      <c r="K103" s="3"/>
      <c r="L103" s="6">
        <f t="shared" si="22"/>
        <v>37.850000000000023</v>
      </c>
      <c r="M103" s="3"/>
      <c r="N103" s="7">
        <f t="shared" si="23"/>
        <v>0.1072237960339944</v>
      </c>
      <c r="O103" s="9"/>
      <c r="P103" s="6">
        <v>9879.24</v>
      </c>
      <c r="Q103" s="3"/>
      <c r="R103" s="7">
        <f t="shared" si="24"/>
        <v>4.7642244113063397E-3</v>
      </c>
      <c r="S103" s="3"/>
      <c r="T103" s="6">
        <v>4836</v>
      </c>
      <c r="U103" s="3"/>
      <c r="V103" s="7">
        <f t="shared" si="25"/>
        <v>1.8217536827790407E-3</v>
      </c>
      <c r="W103" s="3"/>
      <c r="X103" s="6">
        <f t="shared" si="26"/>
        <v>5043.24</v>
      </c>
      <c r="Y103" s="3"/>
      <c r="Z103" s="7">
        <f t="shared" si="27"/>
        <v>1.0428535980148883</v>
      </c>
    </row>
    <row r="104" spans="1:26" s="69" customFormat="1" ht="15" customHeight="1" outlineLevel="1" collapsed="1" x14ac:dyDescent="0.3">
      <c r="A104" s="20"/>
      <c r="B104" s="11" t="str">
        <f>CONCATENATE("     ","Training                                          ")</f>
        <v xml:space="preserve">     Training                                          </v>
      </c>
      <c r="C104" s="11"/>
      <c r="D104" s="2">
        <f>SUM(OSRRefD22_19x_0)</f>
        <v>14.95</v>
      </c>
      <c r="E104" s="2"/>
      <c r="F104" s="5">
        <f t="shared" si="20"/>
        <v>2.2587943779438927E-4</v>
      </c>
      <c r="G104" s="2"/>
      <c r="H104" s="2">
        <f>SUM(OSRRefH22_19x_0)</f>
        <v>0</v>
      </c>
      <c r="I104" s="2"/>
      <c r="J104" s="5">
        <f t="shared" si="21"/>
        <v>0</v>
      </c>
      <c r="K104" s="2"/>
      <c r="L104" s="2">
        <f t="shared" si="22"/>
        <v>14.95</v>
      </c>
      <c r="M104" s="2"/>
      <c r="N104" s="5">
        <f t="shared" si="23"/>
        <v>0</v>
      </c>
      <c r="O104" s="11"/>
      <c r="P104" s="2">
        <f>SUM(OSRRefP22_19x_0)</f>
        <v>830.9</v>
      </c>
      <c r="Q104" s="2"/>
      <c r="R104" s="5">
        <f t="shared" si="24"/>
        <v>4.0069823826067969E-4</v>
      </c>
      <c r="S104" s="2"/>
      <c r="T104" s="2">
        <f>SUM(OSRRefT22_19x_0)</f>
        <v>5310</v>
      </c>
      <c r="U104" s="2"/>
      <c r="V104" s="5">
        <f t="shared" si="25"/>
        <v>2.0003126665750015E-3</v>
      </c>
      <c r="W104" s="2"/>
      <c r="X104" s="2">
        <f t="shared" si="26"/>
        <v>-4479.1000000000004</v>
      </c>
      <c r="Y104" s="2"/>
      <c r="Z104" s="5">
        <f t="shared" si="27"/>
        <v>-0.8435216572504709</v>
      </c>
    </row>
    <row r="105" spans="1:26" s="70" customFormat="1" ht="15" hidden="1" customHeight="1" outlineLevel="2" x14ac:dyDescent="0.3">
      <c r="A105" s="21"/>
      <c r="B105" s="9" t="str">
        <f>CONCATENATE("          ","6376"," - ","TRAINING")</f>
        <v xml:space="preserve">          6376 - TRAINING</v>
      </c>
      <c r="C105" s="9"/>
      <c r="D105" s="6">
        <v>14.95</v>
      </c>
      <c r="E105" s="3"/>
      <c r="F105" s="7">
        <f t="shared" si="20"/>
        <v>2.2587943779438927E-4</v>
      </c>
      <c r="G105" s="3"/>
      <c r="H105" s="6"/>
      <c r="I105" s="3"/>
      <c r="J105" s="7">
        <f t="shared" si="21"/>
        <v>0</v>
      </c>
      <c r="K105" s="3"/>
      <c r="L105" s="6">
        <f t="shared" si="22"/>
        <v>14.95</v>
      </c>
      <c r="M105" s="3"/>
      <c r="N105" s="7">
        <f t="shared" si="23"/>
        <v>0</v>
      </c>
      <c r="O105" s="9"/>
      <c r="P105" s="6">
        <v>830.9</v>
      </c>
      <c r="Q105" s="3"/>
      <c r="R105" s="7">
        <f t="shared" si="24"/>
        <v>4.0069823826067969E-4</v>
      </c>
      <c r="S105" s="3"/>
      <c r="T105" s="6">
        <v>5310</v>
      </c>
      <c r="U105" s="3"/>
      <c r="V105" s="7">
        <f t="shared" si="25"/>
        <v>2.0003126665750015E-3</v>
      </c>
      <c r="W105" s="3"/>
      <c r="X105" s="6">
        <f t="shared" si="26"/>
        <v>-4479.1000000000004</v>
      </c>
      <c r="Y105" s="3"/>
      <c r="Z105" s="7">
        <f t="shared" si="27"/>
        <v>-0.8435216572504709</v>
      </c>
    </row>
    <row r="106" spans="1:26" s="69" customFormat="1" ht="15" customHeight="1" outlineLevel="1" collapsed="1" x14ac:dyDescent="0.3">
      <c r="A106" s="20"/>
      <c r="B106" s="11" t="str">
        <f>CONCATENATE("     ","Travel                                            ")</f>
        <v xml:space="preserve">     Travel                                            </v>
      </c>
      <c r="C106" s="11"/>
      <c r="D106" s="2">
        <f>SUM(OSRRefD22_20x_0)</f>
        <v>0</v>
      </c>
      <c r="E106" s="2"/>
      <c r="F106" s="5">
        <f t="shared" si="20"/>
        <v>0</v>
      </c>
      <c r="G106" s="2"/>
      <c r="H106" s="2">
        <f>SUM(OSRRefH22_20x_0)</f>
        <v>0</v>
      </c>
      <c r="I106" s="2"/>
      <c r="J106" s="5">
        <f t="shared" si="21"/>
        <v>0</v>
      </c>
      <c r="K106" s="2"/>
      <c r="L106" s="2">
        <f t="shared" si="22"/>
        <v>0</v>
      </c>
      <c r="M106" s="2"/>
      <c r="N106" s="5">
        <f t="shared" si="23"/>
        <v>0</v>
      </c>
      <c r="O106" s="11"/>
      <c r="P106" s="2">
        <f>SUM(OSRRefP22_20x_0)</f>
        <v>141.24</v>
      </c>
      <c r="Q106" s="2"/>
      <c r="R106" s="5">
        <f t="shared" si="24"/>
        <v>6.8112431305738846E-5</v>
      </c>
      <c r="S106" s="2"/>
      <c r="T106" s="2">
        <f>SUM(OSRRefT22_20x_0)</f>
        <v>1200</v>
      </c>
      <c r="U106" s="2"/>
      <c r="V106" s="5">
        <f t="shared" si="25"/>
        <v>4.5204806024293817E-4</v>
      </c>
      <c r="W106" s="2"/>
      <c r="X106" s="2">
        <f t="shared" si="26"/>
        <v>-1058.76</v>
      </c>
      <c r="Y106" s="2"/>
      <c r="Z106" s="5">
        <f t="shared" si="27"/>
        <v>-0.88229999999999997</v>
      </c>
    </row>
    <row r="107" spans="1:26" s="70" customFormat="1" ht="15" hidden="1" customHeight="1" outlineLevel="2" x14ac:dyDescent="0.3">
      <c r="A107" s="21"/>
      <c r="B107" s="9" t="str">
        <f>CONCATENATE("          ","6292"," - ","TRAVEL/CONFERENCE")</f>
        <v xml:space="preserve">          6292 - TRAVEL/CONFERENCE</v>
      </c>
      <c r="C107" s="9"/>
      <c r="D107" s="6"/>
      <c r="E107" s="3"/>
      <c r="F107" s="7">
        <f t="shared" si="20"/>
        <v>0</v>
      </c>
      <c r="G107" s="3"/>
      <c r="H107" s="6"/>
      <c r="I107" s="3"/>
      <c r="J107" s="7">
        <f t="shared" si="21"/>
        <v>0</v>
      </c>
      <c r="K107" s="3"/>
      <c r="L107" s="6">
        <f t="shared" si="22"/>
        <v>0</v>
      </c>
      <c r="M107" s="3"/>
      <c r="N107" s="7">
        <f t="shared" si="23"/>
        <v>0</v>
      </c>
      <c r="O107" s="9"/>
      <c r="P107" s="6">
        <v>18.59</v>
      </c>
      <c r="Q107" s="3"/>
      <c r="R107" s="7">
        <f t="shared" si="24"/>
        <v>8.9649539646961552E-6</v>
      </c>
      <c r="S107" s="3"/>
      <c r="T107" s="6">
        <v>1200</v>
      </c>
      <c r="U107" s="3"/>
      <c r="V107" s="7">
        <f t="shared" si="25"/>
        <v>4.5204806024293817E-4</v>
      </c>
      <c r="W107" s="3"/>
      <c r="X107" s="6">
        <f t="shared" si="26"/>
        <v>-1181.4100000000001</v>
      </c>
      <c r="Y107" s="3"/>
      <c r="Z107" s="7">
        <f t="shared" si="27"/>
        <v>-0.98450833333333343</v>
      </c>
    </row>
    <row r="108" spans="1:26" s="70" customFormat="1" ht="15" hidden="1" customHeight="1" outlineLevel="2" x14ac:dyDescent="0.3">
      <c r="A108" s="21"/>
      <c r="B108" s="9" t="str">
        <f>CONCATENATE("          ","6298"," - ","VEHICLE MILEAGE")</f>
        <v xml:space="preserve">          6298 - VEHICLE MILEAGE</v>
      </c>
      <c r="C108" s="9"/>
      <c r="D108" s="6"/>
      <c r="E108" s="3"/>
      <c r="F108" s="7">
        <f t="shared" si="20"/>
        <v>0</v>
      </c>
      <c r="G108" s="3"/>
      <c r="H108" s="6"/>
      <c r="I108" s="3"/>
      <c r="J108" s="7">
        <f t="shared" si="21"/>
        <v>0</v>
      </c>
      <c r="K108" s="3"/>
      <c r="L108" s="6">
        <f t="shared" si="22"/>
        <v>0</v>
      </c>
      <c r="M108" s="3"/>
      <c r="N108" s="7">
        <f t="shared" si="23"/>
        <v>0</v>
      </c>
      <c r="O108" s="9"/>
      <c r="P108" s="6">
        <v>122.65</v>
      </c>
      <c r="Q108" s="3"/>
      <c r="R108" s="7">
        <f t="shared" si="24"/>
        <v>5.9147477341042691E-5</v>
      </c>
      <c r="S108" s="3"/>
      <c r="T108" s="6"/>
      <c r="U108" s="3"/>
      <c r="V108" s="7">
        <f t="shared" si="25"/>
        <v>0</v>
      </c>
      <c r="W108" s="3"/>
      <c r="X108" s="6">
        <f t="shared" si="26"/>
        <v>122.65</v>
      </c>
      <c r="Y108" s="3"/>
      <c r="Z108" s="7">
        <f t="shared" si="27"/>
        <v>0</v>
      </c>
    </row>
    <row r="109" spans="1:26" s="69" customFormat="1" ht="15" customHeight="1" outlineLevel="1" collapsed="1" x14ac:dyDescent="0.3">
      <c r="A109" s="20"/>
      <c r="B109" s="11" t="str">
        <f>CONCATENATE("     ","Utilities                                         ")</f>
        <v xml:space="preserve">     Utilities                                         </v>
      </c>
      <c r="C109" s="11"/>
      <c r="D109" s="2">
        <f>SUM(OSRRefD22_21x_0)</f>
        <v>13392.34</v>
      </c>
      <c r="E109" s="2"/>
      <c r="F109" s="5">
        <f t="shared" si="20"/>
        <v>0.20234476454523823</v>
      </c>
      <c r="G109" s="2"/>
      <c r="H109" s="2">
        <f>SUM(OSRRefH22_21x_0)</f>
        <v>8663</v>
      </c>
      <c r="I109" s="2"/>
      <c r="J109" s="5">
        <f t="shared" si="21"/>
        <v>8.875933648220817E-2</v>
      </c>
      <c r="K109" s="2"/>
      <c r="L109" s="2">
        <f t="shared" si="22"/>
        <v>4729.34</v>
      </c>
      <c r="M109" s="2"/>
      <c r="N109" s="5">
        <f t="shared" si="23"/>
        <v>0.54592404478817969</v>
      </c>
      <c r="O109" s="11"/>
      <c r="P109" s="2">
        <f>SUM(OSRRefP22_21x_0)</f>
        <v>122897</v>
      </c>
      <c r="Q109" s="2"/>
      <c r="R109" s="5">
        <f t="shared" si="24"/>
        <v>5.9266592114000184E-2</v>
      </c>
      <c r="S109" s="2"/>
      <c r="T109" s="2">
        <f>SUM(OSRRefT22_21x_0)</f>
        <v>104000</v>
      </c>
      <c r="U109" s="2"/>
      <c r="V109" s="5">
        <f t="shared" si="25"/>
        <v>3.9177498554387971E-2</v>
      </c>
      <c r="W109" s="2"/>
      <c r="X109" s="2">
        <f t="shared" si="26"/>
        <v>18897</v>
      </c>
      <c r="Y109" s="2"/>
      <c r="Z109" s="5">
        <f t="shared" si="27"/>
        <v>0.18170192307692307</v>
      </c>
    </row>
    <row r="110" spans="1:26" s="70" customFormat="1" ht="15" hidden="1" customHeight="1" outlineLevel="2" x14ac:dyDescent="0.3">
      <c r="A110" s="21"/>
      <c r="B110" s="9" t="str">
        <f>CONCATENATE("          ","6274"," - ","UTILITIES")</f>
        <v xml:space="preserve">          6274 - UTILITIES</v>
      </c>
      <c r="C110" s="9"/>
      <c r="D110" s="6">
        <v>13392.34</v>
      </c>
      <c r="E110" s="3"/>
      <c r="F110" s="7">
        <f t="shared" si="20"/>
        <v>0.20234476454523823</v>
      </c>
      <c r="G110" s="3"/>
      <c r="H110" s="6">
        <v>8663</v>
      </c>
      <c r="I110" s="3"/>
      <c r="J110" s="7">
        <f t="shared" si="21"/>
        <v>8.875933648220817E-2</v>
      </c>
      <c r="K110" s="3"/>
      <c r="L110" s="6">
        <f t="shared" si="22"/>
        <v>4729.34</v>
      </c>
      <c r="M110" s="3"/>
      <c r="N110" s="7">
        <f t="shared" si="23"/>
        <v>0.54592404478817969</v>
      </c>
      <c r="O110" s="9"/>
      <c r="P110" s="6">
        <v>122897</v>
      </c>
      <c r="Q110" s="3"/>
      <c r="R110" s="7">
        <f t="shared" si="24"/>
        <v>5.9266592114000184E-2</v>
      </c>
      <c r="S110" s="3"/>
      <c r="T110" s="6">
        <v>104000</v>
      </c>
      <c r="U110" s="3"/>
      <c r="V110" s="7">
        <f t="shared" si="25"/>
        <v>3.9177498554387971E-2</v>
      </c>
      <c r="W110" s="3"/>
      <c r="X110" s="6">
        <f t="shared" si="26"/>
        <v>18897</v>
      </c>
      <c r="Y110" s="3"/>
      <c r="Z110" s="7">
        <f t="shared" si="27"/>
        <v>0.18170192307692307</v>
      </c>
    </row>
    <row r="111" spans="1:26" s="65" customFormat="1" ht="15" customHeight="1" x14ac:dyDescent="0.3">
      <c r="A111" s="36"/>
      <c r="B111" s="36"/>
      <c r="C111" s="36"/>
      <c r="D111" s="2"/>
      <c r="E111" s="2"/>
      <c r="F111" s="5"/>
      <c r="G111" s="2"/>
      <c r="H111" s="2"/>
      <c r="I111" s="2"/>
      <c r="J111" s="5"/>
      <c r="K111" s="2"/>
      <c r="L111" s="2"/>
      <c r="M111" s="2"/>
      <c r="N111" s="5"/>
      <c r="O111" s="36"/>
      <c r="P111" s="2"/>
      <c r="Q111" s="2"/>
      <c r="R111" s="5"/>
      <c r="S111" s="2"/>
      <c r="T111" s="2"/>
      <c r="U111" s="2"/>
      <c r="V111" s="5"/>
      <c r="W111" s="2"/>
      <c r="X111" s="2"/>
      <c r="Y111" s="2"/>
      <c r="Z111" s="5"/>
    </row>
    <row r="112" spans="1:26" s="63" customFormat="1" ht="15" customHeight="1" collapsed="1" x14ac:dyDescent="0.3">
      <c r="A112" s="13"/>
      <c r="B112" s="28" t="s">
        <v>291</v>
      </c>
      <c r="C112" s="13"/>
      <c r="D112" s="8">
        <f>SUM(OSRRefD25x_0)</f>
        <v>20761.61</v>
      </c>
      <c r="E112" s="8"/>
      <c r="F112" s="14">
        <f>IF(D$12=0,0,D112/D$12)</f>
        <v>0.31368700966597796</v>
      </c>
      <c r="G112" s="8"/>
      <c r="H112" s="8">
        <f>SUM(OSRRefH25x_0)</f>
        <v>12000</v>
      </c>
      <c r="I112" s="8"/>
      <c r="J112" s="14">
        <f>IF(H$12=0,0,H112/H$12)</f>
        <v>0.12294955994303337</v>
      </c>
      <c r="K112" s="8"/>
      <c r="L112" s="8">
        <f>+D112-H112</f>
        <v>8761.61</v>
      </c>
      <c r="M112" s="8"/>
      <c r="N112" s="14">
        <f>IF(H112=0,0,L112/H112)</f>
        <v>0.73013416666666675</v>
      </c>
      <c r="O112" s="13"/>
      <c r="P112" s="8">
        <f>SUM(OSRRefP25x_0)</f>
        <v>228646.99</v>
      </c>
      <c r="Q112" s="8"/>
      <c r="R112" s="14">
        <f>IF(P$12=0,0,P112/P$12)</f>
        <v>0.11026410648285864</v>
      </c>
      <c r="S112" s="8"/>
      <c r="T112" s="8">
        <f>SUM(OSRRefT25x_0)</f>
        <v>175853.02000000002</v>
      </c>
      <c r="U112" s="8"/>
      <c r="V112" s="14">
        <f>IF(T$12=0,0,T112/T$12)</f>
        <v>6.6245013815718845E-2</v>
      </c>
      <c r="W112" s="8"/>
      <c r="X112" s="8">
        <f>+P112-T112</f>
        <v>52793.969999999972</v>
      </c>
      <c r="Y112" s="8"/>
      <c r="Z112" s="14">
        <f>IF(T112=0,0,X112/T112)</f>
        <v>0.30021645349053411</v>
      </c>
    </row>
    <row r="113" spans="1:26" s="70" customFormat="1" ht="15" hidden="1" customHeight="1" outlineLevel="1" x14ac:dyDescent="0.3">
      <c r="A113" s="48"/>
      <c r="B113" s="9" t="str">
        <f>CONCATENATE("          ","9150"," - ","MISC. INCOME")</f>
        <v xml:space="preserve">          9150 - MISC. INCOME</v>
      </c>
      <c r="C113" s="9"/>
      <c r="D113" s="3">
        <f>--20761.61</f>
        <v>20761.61</v>
      </c>
      <c r="E113" s="3"/>
      <c r="F113" s="26">
        <f>IF(D$12=0,0,D113/D$12)</f>
        <v>0.31368700966597796</v>
      </c>
      <c r="G113" s="3"/>
      <c r="H113" s="3"/>
      <c r="I113" s="3"/>
      <c r="J113" s="26">
        <f>IF(H$12=0,0,H113/H$12)</f>
        <v>0</v>
      </c>
      <c r="K113" s="3"/>
      <c r="L113" s="3">
        <f>+D113-H113</f>
        <v>20761.61</v>
      </c>
      <c r="M113" s="3"/>
      <c r="N113" s="26">
        <f>IF(H113=0,0,L113/H113)</f>
        <v>0</v>
      </c>
      <c r="O113" s="9"/>
      <c r="P113" s="3">
        <f>--228646.99</f>
        <v>228646.99</v>
      </c>
      <c r="Q113" s="3"/>
      <c r="R113" s="26">
        <f>IF(P$12=0,0,P113/P$12)</f>
        <v>0.11026410648285864</v>
      </c>
      <c r="S113" s="3"/>
      <c r="T113" s="3">
        <v>1000</v>
      </c>
      <c r="U113" s="3"/>
      <c r="V113" s="26">
        <f>IF(T$12=0,0,T113/T$12)</f>
        <v>3.7670671686911516E-4</v>
      </c>
      <c r="W113" s="3"/>
      <c r="X113" s="3">
        <f>+P113-T113</f>
        <v>227646.99</v>
      </c>
      <c r="Y113" s="3"/>
      <c r="Z113" s="26">
        <f>IF(T113=0,0,X113/T113)</f>
        <v>227.64698999999999</v>
      </c>
    </row>
    <row r="114" spans="1:26" s="70" customFormat="1" ht="15" hidden="1" customHeight="1" outlineLevel="1" x14ac:dyDescent="0.3">
      <c r="A114" s="48"/>
      <c r="B114" s="9" t="str">
        <f>CONCATENATE("          ","9151"," - ","MISC. INCOME")</f>
        <v xml:space="preserve">          9151 - MISC. INCOME</v>
      </c>
      <c r="C114" s="9"/>
      <c r="D114" s="3">
        <f>0</f>
        <v>0</v>
      </c>
      <c r="E114" s="3"/>
      <c r="F114" s="26">
        <f>IF(D$12=0,0,D114/D$12)</f>
        <v>0</v>
      </c>
      <c r="G114" s="3"/>
      <c r="H114" s="3">
        <v>12000</v>
      </c>
      <c r="I114" s="3"/>
      <c r="J114" s="26">
        <f>IF(H$12=0,0,H114/H$12)</f>
        <v>0.12294955994303337</v>
      </c>
      <c r="K114" s="3"/>
      <c r="L114" s="3">
        <f>+D114-H114</f>
        <v>-12000</v>
      </c>
      <c r="M114" s="3"/>
      <c r="N114" s="26">
        <f>IF(H114=0,0,L114/H114)</f>
        <v>-1</v>
      </c>
      <c r="O114" s="9"/>
      <c r="P114" s="3">
        <f>0</f>
        <v>0</v>
      </c>
      <c r="Q114" s="3"/>
      <c r="R114" s="26">
        <f>IF(P$12=0,0,P114/P$12)</f>
        <v>0</v>
      </c>
      <c r="S114" s="3"/>
      <c r="T114" s="3">
        <v>83840.89</v>
      </c>
      <c r="U114" s="3"/>
      <c r="V114" s="26">
        <f>IF(T$12=0,0,T114/T$12)</f>
        <v>3.1583426411284629E-2</v>
      </c>
      <c r="W114" s="3"/>
      <c r="X114" s="3">
        <f>+P114-T114</f>
        <v>-83840.89</v>
      </c>
      <c r="Y114" s="3"/>
      <c r="Z114" s="26">
        <f>IF(T114=0,0,X114/T114)</f>
        <v>-1</v>
      </c>
    </row>
    <row r="115" spans="1:26" s="70" customFormat="1" ht="15" hidden="1" customHeight="1" outlineLevel="1" x14ac:dyDescent="0.3">
      <c r="A115" s="48"/>
      <c r="B115" s="9" t="str">
        <f>CONCATENATE("          ","9160"," - ","MISC. INCOME")</f>
        <v xml:space="preserve">          9160 - MISC. INCOME</v>
      </c>
      <c r="C115" s="9"/>
      <c r="D115" s="3">
        <f>0</f>
        <v>0</v>
      </c>
      <c r="E115" s="3"/>
      <c r="F115" s="26">
        <f>IF(D$12=0,0,D115/D$12)</f>
        <v>0</v>
      </c>
      <c r="G115" s="3"/>
      <c r="H115" s="3"/>
      <c r="I115" s="3"/>
      <c r="J115" s="26">
        <f>IF(H$12=0,0,H115/H$12)</f>
        <v>0</v>
      </c>
      <c r="K115" s="3"/>
      <c r="L115" s="3">
        <f>+D115-H115</f>
        <v>0</v>
      </c>
      <c r="M115" s="3"/>
      <c r="N115" s="26">
        <f>IF(H115=0,0,L115/H115)</f>
        <v>0</v>
      </c>
      <c r="O115" s="9"/>
      <c r="P115" s="3">
        <f>0</f>
        <v>0</v>
      </c>
      <c r="Q115" s="3"/>
      <c r="R115" s="26">
        <f>IF(P$12=0,0,P115/P$12)</f>
        <v>0</v>
      </c>
      <c r="S115" s="3"/>
      <c r="T115" s="3">
        <v>91012.13</v>
      </c>
      <c r="U115" s="3"/>
      <c r="V115" s="26">
        <f>IF(T$12=0,0,T115/T$12)</f>
        <v>3.4284880687565099E-2</v>
      </c>
      <c r="W115" s="3"/>
      <c r="X115" s="3">
        <f>+P115-T115</f>
        <v>-91012.13</v>
      </c>
      <c r="Y115" s="3"/>
      <c r="Z115" s="26">
        <f>IF(T115=0,0,X115/T115)</f>
        <v>-1</v>
      </c>
    </row>
    <row r="116" spans="1:26" s="70" customFormat="1" ht="15" hidden="1" customHeight="1" outlineLevel="1" x14ac:dyDescent="0.3">
      <c r="A116" s="48"/>
      <c r="B116" s="9" t="str">
        <f>CONCATENATE("          ","9165"," - ","OTHER INCOME")</f>
        <v xml:space="preserve">          9165 - OTHER INCOME</v>
      </c>
      <c r="C116" s="9"/>
      <c r="D116" s="3">
        <f>0</f>
        <v>0</v>
      </c>
      <c r="E116" s="3"/>
      <c r="F116" s="26">
        <f>IF(D$12=0,0,D116/D$12)</f>
        <v>0</v>
      </c>
      <c r="G116" s="3"/>
      <c r="H116" s="3"/>
      <c r="I116" s="3"/>
      <c r="J116" s="26">
        <f>IF(H$12=0,0,H116/H$12)</f>
        <v>0</v>
      </c>
      <c r="K116" s="3"/>
      <c r="L116" s="3">
        <f>+D116-H116</f>
        <v>0</v>
      </c>
      <c r="M116" s="3"/>
      <c r="N116" s="26">
        <f>IF(H116=0,0,L116/H116)</f>
        <v>0</v>
      </c>
      <c r="O116" s="9"/>
      <c r="P116" s="3">
        <f>0</f>
        <v>0</v>
      </c>
      <c r="Q116" s="3"/>
      <c r="R116" s="26">
        <f>IF(P$12=0,0,P116/P$12)</f>
        <v>0</v>
      </c>
      <c r="S116" s="3"/>
      <c r="T116" s="3"/>
      <c r="U116" s="3"/>
      <c r="V116" s="26">
        <f>IF(T$12=0,0,T116/T$12)</f>
        <v>0</v>
      </c>
      <c r="W116" s="3"/>
      <c r="X116" s="3">
        <f>+P116-T116</f>
        <v>0</v>
      </c>
      <c r="Y116" s="3"/>
      <c r="Z116" s="26">
        <f>IF(T116=0,0,X116/T116)</f>
        <v>0</v>
      </c>
    </row>
    <row r="117" spans="1:26" ht="15" customHeight="1" x14ac:dyDescent="0.3">
      <c r="A117" s="12"/>
      <c r="B117" s="13"/>
      <c r="C117" s="13"/>
      <c r="D117" s="4"/>
      <c r="E117" s="4"/>
      <c r="F117" s="10"/>
      <c r="G117" s="4"/>
      <c r="H117" s="4"/>
      <c r="I117" s="4"/>
      <c r="J117" s="10"/>
      <c r="K117" s="4"/>
      <c r="L117" s="4"/>
      <c r="M117" s="4"/>
      <c r="N117" s="10"/>
      <c r="O117" s="13"/>
      <c r="P117" s="4"/>
      <c r="Q117" s="4"/>
      <c r="R117" s="10"/>
      <c r="S117" s="4"/>
      <c r="T117" s="4"/>
      <c r="U117" s="4"/>
      <c r="V117" s="10"/>
      <c r="W117" s="4"/>
      <c r="X117" s="4"/>
      <c r="Y117" s="4"/>
      <c r="Z117" s="10"/>
    </row>
    <row r="118" spans="1:26" s="63" customFormat="1" ht="15" customHeight="1" x14ac:dyDescent="0.3">
      <c r="A118" s="13"/>
      <c r="B118" s="27" t="s">
        <v>292</v>
      </c>
      <c r="C118" s="27"/>
      <c r="D118" s="23">
        <f>+D25-D27+D112</f>
        <v>-209451.40000000002</v>
      </c>
      <c r="E118" s="15"/>
      <c r="F118" s="22">
        <f>IF(D$12=0,0,D118/D$12)</f>
        <v>-3.1645996305851338</v>
      </c>
      <c r="G118" s="15"/>
      <c r="H118" s="23">
        <f>+H25-H27+H112</f>
        <v>-115008.17827967141</v>
      </c>
      <c r="I118" s="15"/>
      <c r="J118" s="22">
        <f>IF(H$12=0,0,H118/H$12)</f>
        <v>-1.178350409111294</v>
      </c>
      <c r="K118" s="17"/>
      <c r="L118" s="23">
        <f>+D118-H118</f>
        <v>-94443.221720328613</v>
      </c>
      <c r="M118" s="17"/>
      <c r="N118" s="22">
        <f>IF(H118=0,0,L118/H118)</f>
        <v>0.82118700715931769</v>
      </c>
      <c r="O118" s="28"/>
      <c r="P118" s="23">
        <f>+P25-P27+P112</f>
        <v>-1300175.9999999995</v>
      </c>
      <c r="Q118" s="15"/>
      <c r="R118" s="22">
        <f>IF(P$12=0,0,P118/P$12)</f>
        <v>-0.62700473297486736</v>
      </c>
      <c r="S118" s="15"/>
      <c r="T118" s="23">
        <f>+T25-T27+T112</f>
        <v>-834125.71449456783</v>
      </c>
      <c r="U118" s="15"/>
      <c r="V118" s="22">
        <f>IF(T$12=0,0,T118/T$12)</f>
        <v>-0.31422075936335353</v>
      </c>
      <c r="W118" s="17"/>
      <c r="X118" s="23">
        <f>+P118-T118</f>
        <v>-466050.2855054317</v>
      </c>
      <c r="Y118" s="17"/>
      <c r="Z118" s="22">
        <f>IF(T118=0,0,X118/T118)</f>
        <v>0.55872907093846325</v>
      </c>
    </row>
    <row r="119" spans="1:26" ht="15" customHeight="1" x14ac:dyDescent="0.3">
      <c r="A119" s="12"/>
      <c r="B119" s="13"/>
      <c r="C119" s="12"/>
      <c r="D119" s="4"/>
      <c r="E119" s="4"/>
      <c r="F119" s="10"/>
      <c r="G119" s="4"/>
      <c r="H119" s="4"/>
      <c r="I119" s="4"/>
      <c r="J119" s="10"/>
      <c r="K119" s="4"/>
      <c r="L119" s="4"/>
      <c r="M119" s="4"/>
      <c r="N119" s="10"/>
      <c r="P119" s="4"/>
      <c r="Q119" s="4"/>
      <c r="R119" s="10"/>
      <c r="S119" s="4"/>
      <c r="T119" s="4"/>
      <c r="U119" s="4"/>
      <c r="V119" s="10"/>
      <c r="W119" s="4"/>
      <c r="X119" s="4"/>
      <c r="Y119" s="4"/>
      <c r="Z119" s="10"/>
    </row>
    <row r="120" spans="1:26" s="63" customFormat="1" ht="15" customHeight="1" x14ac:dyDescent="0.3">
      <c r="A120" s="49"/>
      <c r="B120" s="13" t="s">
        <v>293</v>
      </c>
      <c r="C120" s="13"/>
      <c r="D120" s="8">
        <v>-464753.86</v>
      </c>
      <c r="E120" s="8"/>
      <c r="F120" s="14">
        <f>IF(D$12=0,0,D120/D$12)</f>
        <v>-7.0219625825800867</v>
      </c>
      <c r="G120" s="8"/>
      <c r="H120" s="8">
        <v>-15955</v>
      </c>
      <c r="I120" s="8"/>
      <c r="J120" s="14">
        <f>IF(H$12=0,0,H120/H$12)</f>
        <v>-0.1634716857409248</v>
      </c>
      <c r="K120" s="8"/>
      <c r="L120" s="8">
        <f>+D120-H120</f>
        <v>-448798.86</v>
      </c>
      <c r="M120" s="8"/>
      <c r="N120" s="14">
        <f>IF(H120=0,0,L120/H120)</f>
        <v>28.129041679724224</v>
      </c>
      <c r="O120" s="13"/>
      <c r="P120" s="8">
        <v>-239066.2</v>
      </c>
      <c r="Q120" s="8"/>
      <c r="R120" s="14">
        <f>IF(P$12=0,0,P120/P$12)</f>
        <v>-0.11528872929073933</v>
      </c>
      <c r="S120" s="8"/>
      <c r="T120" s="8">
        <v>301012</v>
      </c>
      <c r="U120" s="8"/>
      <c r="V120" s="14">
        <f>IF(T$12=0,0,T120/T$12)</f>
        <v>0.11339324225820609</v>
      </c>
      <c r="W120" s="8"/>
      <c r="X120" s="8">
        <f>+P120-T120</f>
        <v>-540078.19999999995</v>
      </c>
      <c r="Y120" s="8"/>
      <c r="Z120" s="14">
        <f>IF(T120=0,0,X120/T120)</f>
        <v>-1.7942082043240799</v>
      </c>
    </row>
    <row r="121" spans="1:26" ht="15" customHeight="1" x14ac:dyDescent="0.3">
      <c r="A121" s="12"/>
      <c r="B121" s="13"/>
      <c r="C121" s="13"/>
      <c r="D121" s="4"/>
      <c r="E121" s="4"/>
      <c r="F121" s="10"/>
      <c r="G121" s="4"/>
      <c r="H121" s="4"/>
      <c r="I121" s="4"/>
      <c r="J121" s="10"/>
      <c r="K121" s="4"/>
      <c r="L121" s="4"/>
      <c r="M121" s="4"/>
      <c r="N121" s="10"/>
      <c r="O121" s="13"/>
      <c r="P121" s="4"/>
      <c r="Q121" s="4"/>
      <c r="R121" s="10"/>
      <c r="S121" s="4"/>
      <c r="T121" s="4"/>
      <c r="U121" s="4"/>
      <c r="V121" s="10"/>
      <c r="W121" s="4"/>
      <c r="X121" s="4"/>
      <c r="Y121" s="4"/>
      <c r="Z121" s="10"/>
    </row>
    <row r="122" spans="1:26" s="63" customFormat="1" ht="15" customHeight="1" x14ac:dyDescent="0.3">
      <c r="A122" s="13"/>
      <c r="B122" s="27" t="s">
        <v>294</v>
      </c>
      <c r="C122" s="27"/>
      <c r="D122" s="30">
        <f>+D118-D120</f>
        <v>255302.45999999996</v>
      </c>
      <c r="E122" s="15"/>
      <c r="F122" s="35">
        <f>IF(D$12=0,0,D122/D$12)</f>
        <v>3.8573629519949528</v>
      </c>
      <c r="G122" s="15"/>
      <c r="H122" s="30">
        <f>+H118-H120</f>
        <v>-99053.178279671411</v>
      </c>
      <c r="I122" s="15"/>
      <c r="J122" s="35">
        <f>IF(H$12=0,0,H122/H$12)</f>
        <v>-1.0148787233703693</v>
      </c>
      <c r="K122" s="17"/>
      <c r="L122" s="30">
        <f>D122-H122</f>
        <v>354355.63827967137</v>
      </c>
      <c r="M122" s="17"/>
      <c r="N122" s="35">
        <f>IF(H122=0,0,L122/H122)</f>
        <v>-3.5774282505016344</v>
      </c>
      <c r="O122" s="28"/>
      <c r="P122" s="30">
        <f>+P118-P120</f>
        <v>-1061109.7999999996</v>
      </c>
      <c r="Q122" s="15"/>
      <c r="R122" s="35">
        <f>IF(P$12=0,0,P122/P$12)</f>
        <v>-0.51171600368412806</v>
      </c>
      <c r="S122" s="15"/>
      <c r="T122" s="30">
        <f>+T118-T120</f>
        <v>-1135137.7144945678</v>
      </c>
      <c r="U122" s="15"/>
      <c r="V122" s="35">
        <f>IF(T$12=0,0,T122/T$12)</f>
        <v>-0.4276140016215596</v>
      </c>
      <c r="W122" s="17"/>
      <c r="X122" s="30">
        <f>P122-T122</f>
        <v>74027.914494568249</v>
      </c>
      <c r="Y122" s="17"/>
      <c r="Z122" s="35">
        <f>IF(T122=0,0,X122/T122)</f>
        <v>-6.5214919343535308E-2</v>
      </c>
    </row>
    <row r="123" spans="1:26" ht="15" customHeight="1" x14ac:dyDescent="0.3">
      <c r="A123" s="12"/>
      <c r="B123" s="12"/>
      <c r="C123" s="12"/>
      <c r="D123" s="4"/>
      <c r="E123" s="4"/>
      <c r="F123" s="10"/>
      <c r="G123" s="4"/>
      <c r="H123" s="4"/>
      <c r="I123" s="4"/>
      <c r="J123" s="10"/>
      <c r="K123" s="4"/>
      <c r="L123" s="4"/>
      <c r="M123" s="4"/>
      <c r="N123" s="10"/>
      <c r="P123" s="4"/>
      <c r="Q123" s="4"/>
      <c r="R123" s="10"/>
      <c r="S123" s="4"/>
      <c r="T123" s="4"/>
      <c r="U123" s="4"/>
      <c r="V123" s="10"/>
      <c r="W123" s="4"/>
      <c r="X123" s="4"/>
      <c r="Y123" s="4"/>
      <c r="Z123" s="10"/>
    </row>
    <row r="124" spans="1:26" ht="15" customHeight="1" x14ac:dyDescent="0.3">
      <c r="A124" s="12"/>
      <c r="B124" s="12"/>
      <c r="C124" s="12"/>
      <c r="D124" s="4"/>
      <c r="E124" s="4"/>
      <c r="F124" s="10"/>
      <c r="G124" s="4"/>
      <c r="H124" s="4"/>
      <c r="I124" s="4"/>
      <c r="J124" s="10"/>
      <c r="K124" s="4"/>
      <c r="L124" s="4"/>
      <c r="M124" s="4"/>
      <c r="N124" s="10"/>
      <c r="P124" s="4"/>
      <c r="Q124" s="4"/>
      <c r="R124" s="10"/>
      <c r="S124" s="4"/>
      <c r="T124" s="4"/>
      <c r="U124" s="4"/>
      <c r="V124" s="10"/>
      <c r="W124" s="4"/>
      <c r="X124" s="4"/>
      <c r="Y124" s="4"/>
      <c r="Z124" s="10"/>
    </row>
    <row r="125" spans="1:26" s="63" customFormat="1" ht="15" customHeight="1" x14ac:dyDescent="0.3">
      <c r="A125" s="13"/>
      <c r="B125" s="27" t="s">
        <v>297</v>
      </c>
      <c r="C125" s="27"/>
      <c r="D125" s="33">
        <f>SUM(D122:D124)</f>
        <v>255302.45999999996</v>
      </c>
      <c r="E125" s="15"/>
      <c r="F125" s="31">
        <f>IF(D$12=0,0,D125/D$12)</f>
        <v>3.8573629519949528</v>
      </c>
      <c r="G125" s="15"/>
      <c r="H125" s="33">
        <f>SUM(H122:H124)</f>
        <v>-99053.178279671411</v>
      </c>
      <c r="I125" s="15"/>
      <c r="J125" s="31">
        <f>IF(H$12=0,0,H125/H$12)</f>
        <v>-1.0148787233703693</v>
      </c>
      <c r="K125" s="17"/>
      <c r="L125" s="33">
        <f>+D125-H125</f>
        <v>354355.63827967137</v>
      </c>
      <c r="M125" s="17"/>
      <c r="N125" s="31">
        <f>IF(H125=0,0,L125/H125)</f>
        <v>-3.5774282505016344</v>
      </c>
      <c r="O125" s="28"/>
      <c r="P125" s="33">
        <f>SUM(P122:P124)</f>
        <v>-1061109.7999999996</v>
      </c>
      <c r="Q125" s="15"/>
      <c r="R125" s="31">
        <f>IF(P$12=0,0,P125/P$12)</f>
        <v>-0.51171600368412806</v>
      </c>
      <c r="S125" s="15"/>
      <c r="T125" s="33">
        <f>SUM(T122:T124)</f>
        <v>-1135137.7144945678</v>
      </c>
      <c r="U125" s="15"/>
      <c r="V125" s="31">
        <f>IF(T$12=0,0,T125/T$12)</f>
        <v>-0.4276140016215596</v>
      </c>
      <c r="W125" s="17"/>
      <c r="X125" s="33">
        <f>+P125-T125</f>
        <v>74027.914494568249</v>
      </c>
      <c r="Y125" s="17"/>
      <c r="Z125" s="31">
        <f>IF(T125=0,0,X125/T125)</f>
        <v>-6.5214919343535308E-2</v>
      </c>
    </row>
    <row r="126" spans="1:26" ht="15" customHeight="1" x14ac:dyDescent="0.3">
      <c r="A126" s="12"/>
      <c r="C126" s="12"/>
      <c r="D126" s="19"/>
      <c r="E126" s="19"/>
      <c r="G126" s="19"/>
      <c r="H126" s="19"/>
      <c r="I126" s="19"/>
      <c r="J126" s="41"/>
      <c r="K126" s="19"/>
      <c r="L126" s="19"/>
      <c r="M126" s="19"/>
      <c r="P126" s="19"/>
      <c r="Q126" s="19"/>
      <c r="R126" s="41"/>
      <c r="S126" s="19"/>
      <c r="T126" s="19"/>
      <c r="U126" s="19"/>
      <c r="V126" s="41"/>
      <c r="W126" s="19"/>
      <c r="X126" s="19"/>
    </row>
    <row r="127" spans="1:26" ht="15" customHeight="1" x14ac:dyDescent="0.3">
      <c r="A127" s="12"/>
      <c r="B127" s="50">
        <v>44767.79951045139</v>
      </c>
      <c r="D127" s="19"/>
      <c r="E127" s="19"/>
      <c r="G127" s="19"/>
      <c r="H127" s="19"/>
      <c r="I127" s="19"/>
      <c r="J127" s="41"/>
      <c r="K127" s="19"/>
      <c r="L127" s="19"/>
      <c r="M127" s="19"/>
      <c r="P127" s="19"/>
      <c r="Q127" s="19"/>
      <c r="R127" s="41"/>
      <c r="S127" s="19"/>
      <c r="T127" s="19"/>
      <c r="U127" s="19"/>
      <c r="V127" s="41"/>
      <c r="W127" s="19"/>
      <c r="X127" s="19"/>
    </row>
    <row r="128" spans="1:26" ht="15" customHeight="1" x14ac:dyDescent="0.3">
      <c r="A128" s="12"/>
      <c r="B128" s="57" t="s">
        <v>298</v>
      </c>
      <c r="D128" s="19"/>
      <c r="E128" s="19"/>
      <c r="G128" s="19"/>
      <c r="H128" s="19"/>
      <c r="I128" s="19"/>
      <c r="J128" s="41"/>
      <c r="K128" s="19"/>
      <c r="L128" s="19"/>
      <c r="M128" s="19"/>
      <c r="P128" s="19"/>
      <c r="Q128" s="19"/>
      <c r="R128" s="41"/>
      <c r="S128" s="19"/>
      <c r="T128" s="19"/>
      <c r="U128" s="19"/>
      <c r="V128" s="41"/>
      <c r="W128" s="19"/>
      <c r="X128" s="19"/>
    </row>
    <row r="129" spans="1:24" ht="15" customHeight="1" x14ac:dyDescent="0.3">
      <c r="A129" s="12"/>
      <c r="B129" s="51"/>
      <c r="D129" s="19"/>
      <c r="E129" s="19"/>
      <c r="G129" s="19"/>
      <c r="H129" s="19"/>
      <c r="I129" s="19"/>
      <c r="J129" s="41"/>
      <c r="K129" s="19"/>
      <c r="L129" s="19"/>
      <c r="M129" s="19"/>
      <c r="P129" s="19"/>
      <c r="Q129" s="19"/>
      <c r="R129" s="41"/>
      <c r="S129" s="19"/>
      <c r="T129" s="19"/>
      <c r="U129" s="19"/>
      <c r="V129" s="41"/>
      <c r="W129" s="19"/>
      <c r="X129" s="19"/>
    </row>
    <row r="130" spans="1:24" ht="15" customHeight="1" x14ac:dyDescent="0.3">
      <c r="D130" s="19"/>
      <c r="E130" s="19"/>
      <c r="G130" s="19"/>
      <c r="H130" s="19"/>
      <c r="I130" s="19"/>
      <c r="J130" s="41"/>
      <c r="K130" s="19"/>
      <c r="L130" s="19"/>
      <c r="M130" s="19"/>
      <c r="P130" s="19"/>
      <c r="Q130" s="19"/>
      <c r="R130" s="41"/>
      <c r="S130" s="19"/>
      <c r="T130" s="19"/>
      <c r="U130" s="19"/>
      <c r="V130" s="41"/>
      <c r="W130" s="19"/>
      <c r="X130" s="19"/>
    </row>
  </sheetData>
  <pageMargins left="0.25" right="0.25" top="0.75" bottom="0.75" header="0.3" footer="0.3"/>
  <pageSetup scale="55" orientation="landscape" r:id="rId1"/>
  <headerFooter>
    <oddHeader>&amp;RPre-Audit</oddHeader>
    <oddFooter>&amp;L&amp;C&amp;R</oddFooter>
    <evenHeader>&amp;L&amp;C&amp;R</evenHeader>
    <evenFooter>&amp;L&amp;C&amp;R</even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BCAD36-F825-7846-4874-15034C3D7671}">
  <sheetPr>
    <tabColor rgb="FFFFFF00"/>
    <outlinePr summaryBelow="0" summaryRight="0"/>
  </sheetPr>
  <dimension ref="A2:Z128"/>
  <sheetViews>
    <sheetView showGridLines="0" defaultGridColor="0" colorId="8" zoomScale="80" workbookViewId="0">
      <pane xSplit="3" ySplit="10" topLeftCell="D11" activePane="bottomRight" state="frozen"/>
      <selection activeCell="D78" sqref="D78"/>
      <selection pane="topRight" activeCell="D78" sqref="D78"/>
      <selection pane="bottomLeft" activeCell="D78" sqref="D78"/>
      <selection pane="bottomRight" activeCell="D78" sqref="D78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3" t="s">
        <v>276</v>
      </c>
    </row>
    <row r="3" spans="1:26" ht="15" customHeight="1" x14ac:dyDescent="0.3">
      <c r="D3" s="53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3" t="str">
        <f>CONCATENATE("Period ",RIGHT(202212,2),", ",2022)</f>
        <v>Period 12,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5"/>
      <c r="D5" s="60">
        <v>44742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5"/>
      <c r="B6" s="47"/>
      <c r="C6" s="47"/>
      <c r="D6" s="25" t="s">
        <v>311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4"/>
    </row>
    <row r="8" spans="1:26" ht="15" customHeight="1" x14ac:dyDescent="0.3">
      <c r="B8" s="54"/>
    </row>
    <row r="9" spans="1:26" ht="15" customHeight="1" x14ac:dyDescent="0.3">
      <c r="B9" s="12"/>
      <c r="C9" s="12"/>
      <c r="D9" s="16" t="s">
        <v>279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280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ht="15" customHeight="1" x14ac:dyDescent="0.3">
      <c r="A10" s="13"/>
      <c r="B10" s="52"/>
      <c r="C10" s="13"/>
      <c r="D10" s="40" t="s">
        <v>281</v>
      </c>
      <c r="E10" s="32"/>
      <c r="F10" s="39" t="s">
        <v>282</v>
      </c>
      <c r="G10" s="32"/>
      <c r="H10" s="45" t="s">
        <v>283</v>
      </c>
      <c r="I10" s="32"/>
      <c r="J10" s="42" t="s">
        <v>284</v>
      </c>
      <c r="K10" s="13"/>
      <c r="L10" s="40" t="s">
        <v>285</v>
      </c>
      <c r="M10" s="13"/>
      <c r="N10" s="39" t="s">
        <v>286</v>
      </c>
      <c r="O10" s="13"/>
      <c r="P10" s="55" t="s">
        <v>281</v>
      </c>
      <c r="Q10" s="32"/>
      <c r="R10" s="39" t="s">
        <v>282</v>
      </c>
      <c r="S10" s="32"/>
      <c r="T10" s="45" t="s">
        <v>283</v>
      </c>
      <c r="U10" s="32"/>
      <c r="V10" s="42" t="s">
        <v>284</v>
      </c>
      <c r="W10" s="13"/>
      <c r="X10" s="40" t="s">
        <v>285</v>
      </c>
      <c r="Y10" s="13"/>
      <c r="Z10" s="39" t="s">
        <v>286</v>
      </c>
    </row>
    <row r="11" spans="1:26" ht="16.5" customHeight="1" x14ac:dyDescent="0.3">
      <c r="A11" s="12"/>
      <c r="B11" s="58"/>
      <c r="C11" s="12"/>
      <c r="D11" s="12"/>
      <c r="E11" s="12"/>
      <c r="F11" s="10"/>
      <c r="G11" s="12"/>
      <c r="H11" s="12"/>
      <c r="I11" s="12"/>
      <c r="J11" s="43"/>
      <c r="K11" s="12"/>
      <c r="L11" s="12"/>
      <c r="M11" s="12"/>
      <c r="N11" s="10"/>
      <c r="P11" s="12"/>
      <c r="Q11" s="12"/>
      <c r="R11" s="10"/>
      <c r="S11" s="12"/>
      <c r="T11" s="12"/>
      <c r="U11" s="12"/>
      <c r="V11" s="43"/>
      <c r="W11" s="12"/>
      <c r="X11" s="12"/>
      <c r="Y11" s="12"/>
      <c r="Z11" s="10"/>
    </row>
    <row r="12" spans="1:26" s="63" customFormat="1" ht="15" customHeight="1" collapsed="1" x14ac:dyDescent="0.3">
      <c r="A12" s="13"/>
      <c r="B12" s="28" t="s">
        <v>287</v>
      </c>
      <c r="C12" s="13"/>
      <c r="D12" s="8">
        <f>SUM(OSRRefD13x_0)</f>
        <v>50667.09</v>
      </c>
      <c r="E12" s="8"/>
      <c r="F12" s="14"/>
      <c r="G12" s="8"/>
      <c r="H12" s="8">
        <f>SUM(OSRRefH13x_0)</f>
        <v>84576</v>
      </c>
      <c r="I12" s="8"/>
      <c r="J12" s="14"/>
      <c r="K12" s="8"/>
      <c r="L12" s="8">
        <f t="shared" ref="L12:L17" si="0">+D12-H12</f>
        <v>-33908.910000000003</v>
      </c>
      <c r="M12" s="8"/>
      <c r="N12" s="14">
        <f t="shared" ref="N12:N17" si="1">IF(H12=0,0,L12/H12)</f>
        <v>-0.40092827752553922</v>
      </c>
      <c r="O12" s="13"/>
      <c r="P12" s="8">
        <f>SUM(OSRRefP13x_0)</f>
        <v>1560147.72</v>
      </c>
      <c r="Q12" s="8"/>
      <c r="R12" s="14"/>
      <c r="S12" s="8"/>
      <c r="T12" s="8">
        <f>SUM(OSRRefT13x_0)</f>
        <v>2136676</v>
      </c>
      <c r="U12" s="8"/>
      <c r="V12" s="14"/>
      <c r="W12" s="8"/>
      <c r="X12" s="8">
        <f t="shared" ref="X12:X17" si="2">+P12-T12</f>
        <v>-576528.28</v>
      </c>
      <c r="Y12" s="8"/>
      <c r="Z12" s="14">
        <f t="shared" ref="Z12:Z17" si="3">IF(T12=0,0,X12/T12)</f>
        <v>-0.26982484943903523</v>
      </c>
    </row>
    <row r="13" spans="1:26" s="70" customFormat="1" ht="15" hidden="1" customHeight="1" outlineLevel="1" x14ac:dyDescent="0.3">
      <c r="A13" s="48"/>
      <c r="B13" s="9" t="str">
        <f>CONCATENATE("          ","4000"," - ","TAXABLE SALES")</f>
        <v xml:space="preserve">          4000 - TAXABLE SALES</v>
      </c>
      <c r="C13" s="9"/>
      <c r="D13" s="3">
        <f>0</f>
        <v>0</v>
      </c>
      <c r="E13" s="3"/>
      <c r="F13" s="26"/>
      <c r="G13" s="3"/>
      <c r="H13" s="3">
        <v>39337</v>
      </c>
      <c r="I13" s="3"/>
      <c r="J13" s="26"/>
      <c r="K13" s="3"/>
      <c r="L13" s="3">
        <f t="shared" si="0"/>
        <v>-39337</v>
      </c>
      <c r="M13" s="3"/>
      <c r="N13" s="26">
        <f t="shared" si="1"/>
        <v>-1</v>
      </c>
      <c r="O13" s="9"/>
      <c r="P13" s="3">
        <f>0</f>
        <v>0</v>
      </c>
      <c r="Q13" s="3"/>
      <c r="R13" s="26"/>
      <c r="S13" s="3"/>
      <c r="T13" s="3">
        <v>871160</v>
      </c>
      <c r="U13" s="3"/>
      <c r="V13" s="26"/>
      <c r="W13" s="3"/>
      <c r="X13" s="3">
        <f t="shared" si="2"/>
        <v>-871160</v>
      </c>
      <c r="Y13" s="3"/>
      <c r="Z13" s="26">
        <f t="shared" si="3"/>
        <v>-1</v>
      </c>
    </row>
    <row r="14" spans="1:26" s="70" customFormat="1" ht="15" hidden="1" customHeight="1" outlineLevel="1" x14ac:dyDescent="0.3">
      <c r="A14" s="48"/>
      <c r="B14" s="9" t="str">
        <f>CONCATENATE("          ","4051"," - ","TAXABLE SALES-FOOD")</f>
        <v xml:space="preserve">          4051 - TAXABLE SALES-FOOD</v>
      </c>
      <c r="C14" s="9"/>
      <c r="D14" s="3">
        <f>--14372.1</f>
        <v>14372.1</v>
      </c>
      <c r="E14" s="3"/>
      <c r="F14" s="26"/>
      <c r="G14" s="3"/>
      <c r="H14" s="3"/>
      <c r="I14" s="3"/>
      <c r="J14" s="26"/>
      <c r="K14" s="3"/>
      <c r="L14" s="3">
        <f t="shared" si="0"/>
        <v>14372.1</v>
      </c>
      <c r="M14" s="3"/>
      <c r="N14" s="26">
        <f t="shared" si="1"/>
        <v>0</v>
      </c>
      <c r="O14" s="9"/>
      <c r="P14" s="3">
        <f>--360383.38</f>
        <v>360383.38</v>
      </c>
      <c r="Q14" s="3"/>
      <c r="R14" s="26"/>
      <c r="S14" s="3"/>
      <c r="T14" s="3"/>
      <c r="U14" s="3"/>
      <c r="V14" s="26"/>
      <c r="W14" s="3"/>
      <c r="X14" s="3">
        <f t="shared" si="2"/>
        <v>360383.38</v>
      </c>
      <c r="Y14" s="3"/>
      <c r="Z14" s="26">
        <f t="shared" si="3"/>
        <v>0</v>
      </c>
    </row>
    <row r="15" spans="1:26" s="70" customFormat="1" ht="15" hidden="1" customHeight="1" outlineLevel="1" x14ac:dyDescent="0.3">
      <c r="A15" s="48"/>
      <c r="B15" s="9" t="str">
        <f>CONCATENATE("          ","4053"," - ","TAXABLE SALES-FOOD")</f>
        <v xml:space="preserve">          4053 - TAXABLE SALES-FOOD</v>
      </c>
      <c r="C15" s="9"/>
      <c r="D15" s="3">
        <f>--10447.15</f>
        <v>10447.15</v>
      </c>
      <c r="E15" s="3"/>
      <c r="F15" s="26"/>
      <c r="G15" s="3"/>
      <c r="H15" s="3"/>
      <c r="I15" s="3"/>
      <c r="J15" s="26"/>
      <c r="K15" s="3"/>
      <c r="L15" s="3">
        <f t="shared" si="0"/>
        <v>10447.15</v>
      </c>
      <c r="M15" s="3"/>
      <c r="N15" s="26">
        <f t="shared" si="1"/>
        <v>0</v>
      </c>
      <c r="O15" s="9"/>
      <c r="P15" s="3">
        <f>--35192.41</f>
        <v>35192.410000000003</v>
      </c>
      <c r="Q15" s="3"/>
      <c r="R15" s="26"/>
      <c r="S15" s="3"/>
      <c r="T15" s="3"/>
      <c r="U15" s="3"/>
      <c r="V15" s="26"/>
      <c r="W15" s="3"/>
      <c r="X15" s="3">
        <f t="shared" si="2"/>
        <v>35192.410000000003</v>
      </c>
      <c r="Y15" s="3"/>
      <c r="Z15" s="26">
        <f t="shared" si="3"/>
        <v>0</v>
      </c>
    </row>
    <row r="16" spans="1:26" s="70" customFormat="1" ht="15" hidden="1" customHeight="1" outlineLevel="1" x14ac:dyDescent="0.3">
      <c r="A16" s="48"/>
      <c r="B16" s="9" t="str">
        <f>CONCATENATE("          ","4100"," - ","NON-TAXABLE SALES")</f>
        <v xml:space="preserve">          4100 - NON-TAXABLE SALES</v>
      </c>
      <c r="C16" s="9"/>
      <c r="D16" s="3">
        <f>0</f>
        <v>0</v>
      </c>
      <c r="E16" s="3"/>
      <c r="F16" s="26"/>
      <c r="G16" s="3"/>
      <c r="H16" s="3">
        <v>45239</v>
      </c>
      <c r="I16" s="3"/>
      <c r="J16" s="26"/>
      <c r="K16" s="3"/>
      <c r="L16" s="3">
        <f t="shared" si="0"/>
        <v>-45239</v>
      </c>
      <c r="M16" s="3"/>
      <c r="N16" s="26">
        <f t="shared" si="1"/>
        <v>-1</v>
      </c>
      <c r="O16" s="9"/>
      <c r="P16" s="3">
        <f>0</f>
        <v>0</v>
      </c>
      <c r="Q16" s="3"/>
      <c r="R16" s="26"/>
      <c r="S16" s="3"/>
      <c r="T16" s="3">
        <v>1265516</v>
      </c>
      <c r="U16" s="3"/>
      <c r="V16" s="26"/>
      <c r="W16" s="3"/>
      <c r="X16" s="3">
        <f t="shared" si="2"/>
        <v>-1265516</v>
      </c>
      <c r="Y16" s="3"/>
      <c r="Z16" s="26">
        <f t="shared" si="3"/>
        <v>-1</v>
      </c>
    </row>
    <row r="17" spans="1:26" s="70" customFormat="1" ht="15" hidden="1" customHeight="1" outlineLevel="1" x14ac:dyDescent="0.3">
      <c r="A17" s="48"/>
      <c r="B17" s="9" t="str">
        <f>CONCATENATE("          ","4151"," - ","NON-TAXABLE SALES-FOOD")</f>
        <v xml:space="preserve">          4151 - NON-TAXABLE SALES-FOOD</v>
      </c>
      <c r="C17" s="9"/>
      <c r="D17" s="3">
        <f>--25847.84</f>
        <v>25847.84</v>
      </c>
      <c r="E17" s="3"/>
      <c r="F17" s="26"/>
      <c r="G17" s="3"/>
      <c r="H17" s="3"/>
      <c r="I17" s="3"/>
      <c r="J17" s="26"/>
      <c r="K17" s="3"/>
      <c r="L17" s="3">
        <f t="shared" si="0"/>
        <v>25847.84</v>
      </c>
      <c r="M17" s="3"/>
      <c r="N17" s="26">
        <f t="shared" si="1"/>
        <v>0</v>
      </c>
      <c r="O17" s="9"/>
      <c r="P17" s="3">
        <f>--1164571.93</f>
        <v>1164571.93</v>
      </c>
      <c r="Q17" s="3"/>
      <c r="R17" s="26"/>
      <c r="S17" s="3"/>
      <c r="T17" s="3"/>
      <c r="U17" s="3"/>
      <c r="V17" s="26"/>
      <c r="W17" s="3"/>
      <c r="X17" s="3">
        <f t="shared" si="2"/>
        <v>1164571.93</v>
      </c>
      <c r="Y17" s="3"/>
      <c r="Z17" s="26">
        <f t="shared" si="3"/>
        <v>0</v>
      </c>
    </row>
    <row r="18" spans="1:26" ht="15" customHeight="1" x14ac:dyDescent="0.3">
      <c r="A18" s="12"/>
      <c r="B18" s="13"/>
      <c r="C18" s="12"/>
      <c r="D18" s="4"/>
      <c r="E18" s="4"/>
      <c r="F18" s="10"/>
      <c r="G18" s="4"/>
      <c r="H18" s="4"/>
      <c r="I18" s="4"/>
      <c r="J18" s="10"/>
      <c r="K18" s="4"/>
      <c r="L18" s="4"/>
      <c r="M18" s="4"/>
      <c r="N18" s="10"/>
      <c r="P18" s="4"/>
      <c r="Q18" s="4"/>
      <c r="R18" s="10"/>
      <c r="S18" s="4"/>
      <c r="T18" s="4"/>
      <c r="U18" s="4"/>
      <c r="V18" s="10"/>
      <c r="W18" s="4"/>
      <c r="X18" s="4"/>
      <c r="Y18" s="4"/>
      <c r="Z18" s="10"/>
    </row>
    <row r="19" spans="1:26" s="63" customFormat="1" ht="15" customHeight="1" collapsed="1" x14ac:dyDescent="0.3">
      <c r="A19" s="13"/>
      <c r="B19" s="28" t="s">
        <v>288</v>
      </c>
      <c r="C19" s="13"/>
      <c r="D19" s="8">
        <f>SUM(OSRRefD16x_0)</f>
        <v>34149.31</v>
      </c>
      <c r="E19" s="8"/>
      <c r="F19" s="14">
        <f>IF(D$12=0,0,D19/D$12)</f>
        <v>0.67399390807721538</v>
      </c>
      <c r="G19" s="8"/>
      <c r="H19" s="8">
        <f>SUM(OSRRefH16x_0)</f>
        <v>27475</v>
      </c>
      <c r="I19" s="8"/>
      <c r="J19" s="14">
        <f>IF(H$12=0,0,H19/H$12)</f>
        <v>0.32485575104048431</v>
      </c>
      <c r="K19" s="8"/>
      <c r="L19" s="8">
        <f>+D19-H19</f>
        <v>6674.3099999999977</v>
      </c>
      <c r="M19" s="8"/>
      <c r="N19" s="14">
        <f>IF(H19=0,0,L19/H19)</f>
        <v>0.24292302092811638</v>
      </c>
      <c r="O19" s="13"/>
      <c r="P19" s="8">
        <f>SUM(OSRRefP16x_0)</f>
        <v>623932.39</v>
      </c>
      <c r="Q19" s="8"/>
      <c r="R19" s="14">
        <f>IF(P$12=0,0,P19/P$12)</f>
        <v>0.39991879102319877</v>
      </c>
      <c r="S19" s="8"/>
      <c r="T19" s="8">
        <f>SUM(OSRRefT16x_0)</f>
        <v>732478</v>
      </c>
      <c r="U19" s="8"/>
      <c r="V19" s="14">
        <f>IF(T$12=0,0,T19/T$12)</f>
        <v>0.34281191907430048</v>
      </c>
      <c r="W19" s="8"/>
      <c r="X19" s="8">
        <f>+P19-T19</f>
        <v>-108545.60999999999</v>
      </c>
      <c r="Y19" s="8"/>
      <c r="Z19" s="14">
        <f>IF(T19=0,0,X19/T19)</f>
        <v>-0.14818958385098255</v>
      </c>
    </row>
    <row r="20" spans="1:26" s="70" customFormat="1" ht="15" hidden="1" customHeight="1" outlineLevel="1" x14ac:dyDescent="0.3">
      <c r="A20" s="48"/>
      <c r="B20" s="9" t="str">
        <f>CONCATENATE("          ","5000"," - ","PURCHASES @ COST")</f>
        <v xml:space="preserve">          5000 - PURCHASES @ COST</v>
      </c>
      <c r="C20" s="9"/>
      <c r="D20" s="3"/>
      <c r="E20" s="3"/>
      <c r="F20" s="26">
        <f>IF(D$12=0,0,D20/D$12)</f>
        <v>0</v>
      </c>
      <c r="G20" s="3"/>
      <c r="H20" s="3">
        <v>27475</v>
      </c>
      <c r="I20" s="3"/>
      <c r="J20" s="26">
        <f>IF(H$12=0,0,H20/H$12)</f>
        <v>0.32485575104048431</v>
      </c>
      <c r="K20" s="3"/>
      <c r="L20" s="3">
        <f>+D20-H20</f>
        <v>-27475</v>
      </c>
      <c r="M20" s="3"/>
      <c r="N20" s="26">
        <f>IF(H20=0,0,L20/H20)</f>
        <v>-1</v>
      </c>
      <c r="O20" s="9"/>
      <c r="P20" s="3"/>
      <c r="Q20" s="3"/>
      <c r="R20" s="26">
        <f>IF(P$12=0,0,P20/P$12)</f>
        <v>0</v>
      </c>
      <c r="S20" s="3"/>
      <c r="T20" s="3">
        <v>732478</v>
      </c>
      <c r="U20" s="3"/>
      <c r="V20" s="26">
        <f>IF(T$12=0,0,T20/T$12)</f>
        <v>0.34281191907430048</v>
      </c>
      <c r="W20" s="3"/>
      <c r="X20" s="3">
        <f>+P20-T20</f>
        <v>-732478</v>
      </c>
      <c r="Y20" s="3"/>
      <c r="Z20" s="26">
        <f>IF(T20=0,0,X20/T20)</f>
        <v>-1</v>
      </c>
    </row>
    <row r="21" spans="1:26" s="70" customFormat="1" ht="15" hidden="1" customHeight="1" outlineLevel="1" x14ac:dyDescent="0.3">
      <c r="A21" s="48"/>
      <c r="B21" s="9" t="str">
        <f>CONCATENATE("          ","5053"," - ","PURCHASES @ COST-FOOD")</f>
        <v xml:space="preserve">          5053 - PURCHASES @ COST-FOOD</v>
      </c>
      <c r="C21" s="9"/>
      <c r="D21" s="3">
        <v>18756.45</v>
      </c>
      <c r="E21" s="3"/>
      <c r="F21" s="26">
        <f>IF(D$12=0,0,D21/D$12)</f>
        <v>0.37018999907040256</v>
      </c>
      <c r="G21" s="3"/>
      <c r="H21" s="3"/>
      <c r="I21" s="3"/>
      <c r="J21" s="26">
        <f>IF(H$12=0,0,H21/H$12)</f>
        <v>0</v>
      </c>
      <c r="K21" s="3"/>
      <c r="L21" s="3">
        <f>+D21-H21</f>
        <v>18756.45</v>
      </c>
      <c r="M21" s="3"/>
      <c r="N21" s="26">
        <f>IF(H21=0,0,L21/H21)</f>
        <v>0</v>
      </c>
      <c r="O21" s="9"/>
      <c r="P21" s="3">
        <v>522406.7</v>
      </c>
      <c r="Q21" s="3"/>
      <c r="R21" s="26">
        <f>IF(P$12=0,0,P21/P$12)</f>
        <v>0.33484438255628768</v>
      </c>
      <c r="S21" s="3"/>
      <c r="T21" s="3"/>
      <c r="U21" s="3"/>
      <c r="V21" s="26">
        <f>IF(T$12=0,0,T21/T$12)</f>
        <v>0</v>
      </c>
      <c r="W21" s="3"/>
      <c r="X21" s="3">
        <f>+P21-T21</f>
        <v>522406.7</v>
      </c>
      <c r="Y21" s="3"/>
      <c r="Z21" s="26">
        <f>IF(T21=0,0,X21/T21)</f>
        <v>0</v>
      </c>
    </row>
    <row r="22" spans="1:26" s="70" customFormat="1" ht="15" hidden="1" customHeight="1" outlineLevel="1" x14ac:dyDescent="0.3">
      <c r="A22" s="48"/>
      <c r="B22" s="9" t="str">
        <f>CONCATENATE("          ","5059"," - ","PURCHASES @ COST-FOOD")</f>
        <v xml:space="preserve">          5059 - PURCHASES @ COST-FOOD</v>
      </c>
      <c r="C22" s="9"/>
      <c r="D22" s="3">
        <v>15392.86</v>
      </c>
      <c r="E22" s="3"/>
      <c r="F22" s="26">
        <f>IF(D$12=0,0,D22/D$12)</f>
        <v>0.30380390900681292</v>
      </c>
      <c r="G22" s="3"/>
      <c r="H22" s="3"/>
      <c r="I22" s="3"/>
      <c r="J22" s="26">
        <f>IF(H$12=0,0,H22/H$12)</f>
        <v>0</v>
      </c>
      <c r="K22" s="3"/>
      <c r="L22" s="3">
        <f>+D22-H22</f>
        <v>15392.86</v>
      </c>
      <c r="M22" s="3"/>
      <c r="N22" s="26">
        <f>IF(H22=0,0,L22/H22)</f>
        <v>0</v>
      </c>
      <c r="O22" s="9"/>
      <c r="P22" s="3">
        <v>101525.69</v>
      </c>
      <c r="Q22" s="3"/>
      <c r="R22" s="26">
        <f>IF(P$12=0,0,P22/P$12)</f>
        <v>6.5074408466911066E-2</v>
      </c>
      <c r="S22" s="3"/>
      <c r="T22" s="3"/>
      <c r="U22" s="3"/>
      <c r="V22" s="26">
        <f>IF(T$12=0,0,T22/T$12)</f>
        <v>0</v>
      </c>
      <c r="W22" s="3"/>
      <c r="X22" s="3">
        <f>+P22-T22</f>
        <v>101525.69</v>
      </c>
      <c r="Y22" s="3"/>
      <c r="Z22" s="26">
        <f>IF(T22=0,0,X22/T22)</f>
        <v>0</v>
      </c>
    </row>
    <row r="23" spans="1:26" ht="15" customHeight="1" x14ac:dyDescent="0.3">
      <c r="A23" s="12"/>
      <c r="B23" s="13"/>
      <c r="C23" s="13"/>
      <c r="D23" s="4"/>
      <c r="E23" s="4"/>
      <c r="F23" s="10"/>
      <c r="G23" s="4"/>
      <c r="H23" s="4"/>
      <c r="I23" s="4"/>
      <c r="J23" s="10"/>
      <c r="K23" s="4"/>
      <c r="L23" s="4"/>
      <c r="M23" s="4"/>
      <c r="N23" s="10"/>
      <c r="O23" s="13"/>
      <c r="P23" s="4"/>
      <c r="Q23" s="4"/>
      <c r="R23" s="10"/>
      <c r="S23" s="4"/>
      <c r="T23" s="4"/>
      <c r="U23" s="4"/>
      <c r="V23" s="10"/>
      <c r="W23" s="4"/>
      <c r="X23" s="4"/>
      <c r="Y23" s="4"/>
      <c r="Z23" s="10"/>
    </row>
    <row r="24" spans="1:26" s="63" customFormat="1" ht="15" customHeight="1" x14ac:dyDescent="0.3">
      <c r="A24" s="13"/>
      <c r="B24" s="27" t="s">
        <v>289</v>
      </c>
      <c r="C24" s="27"/>
      <c r="D24" s="23">
        <f>D12-D19</f>
        <v>16517.78</v>
      </c>
      <c r="E24" s="15"/>
      <c r="F24" s="22">
        <f>IF(D$12=0,0,D24/D$12)</f>
        <v>0.32600609192278457</v>
      </c>
      <c r="G24" s="15"/>
      <c r="H24" s="23">
        <f>H12-H19</f>
        <v>57101</v>
      </c>
      <c r="I24" s="15"/>
      <c r="J24" s="22">
        <f>IF(H$12=0,0,H24/H$12)</f>
        <v>0.67514424895951575</v>
      </c>
      <c r="K24" s="17"/>
      <c r="L24" s="23">
        <f>+D24-H24</f>
        <v>-40583.22</v>
      </c>
      <c r="M24" s="17"/>
      <c r="N24" s="22">
        <f>IF(H24=0,0,L24/H24)</f>
        <v>-0.71072695749636616</v>
      </c>
      <c r="O24" s="28"/>
      <c r="P24" s="23">
        <f>P12-P19</f>
        <v>936215.33</v>
      </c>
      <c r="Q24" s="15"/>
      <c r="R24" s="22">
        <f>IF(P$12=0,0,P24/P$12)</f>
        <v>0.60008120897680128</v>
      </c>
      <c r="S24" s="15"/>
      <c r="T24" s="23">
        <f>T12-T19</f>
        <v>1404198</v>
      </c>
      <c r="U24" s="15"/>
      <c r="V24" s="22">
        <f>IF(T$12=0,0,T24/T$12)</f>
        <v>0.65718808092569958</v>
      </c>
      <c r="W24" s="17"/>
      <c r="X24" s="23">
        <f>+P24-T24</f>
        <v>-467982.67000000004</v>
      </c>
      <c r="Y24" s="17"/>
      <c r="Z24" s="22">
        <f>IF(T24=0,0,X24/T24)</f>
        <v>-0.33327398985043422</v>
      </c>
    </row>
    <row r="25" spans="1:26" ht="15" customHeight="1" x14ac:dyDescent="0.3">
      <c r="A25" s="12"/>
      <c r="B25" s="13"/>
      <c r="C25" s="12"/>
      <c r="D25" s="2"/>
      <c r="E25" s="2"/>
      <c r="F25" s="5"/>
      <c r="G25" s="2"/>
      <c r="H25" s="2"/>
      <c r="I25" s="2"/>
      <c r="J25" s="5"/>
      <c r="K25" s="2"/>
      <c r="L25" s="2"/>
      <c r="M25" s="2"/>
      <c r="N25" s="5"/>
      <c r="O25" s="36"/>
      <c r="P25" s="2"/>
      <c r="Q25" s="2"/>
      <c r="R25" s="5"/>
      <c r="S25" s="2"/>
      <c r="T25" s="2"/>
      <c r="U25" s="2"/>
      <c r="V25" s="5"/>
      <c r="W25" s="2"/>
      <c r="X25" s="2"/>
      <c r="Y25" s="2"/>
      <c r="Z25" s="5"/>
    </row>
    <row r="26" spans="1:26" s="63" customFormat="1" ht="15" customHeight="1" x14ac:dyDescent="0.3">
      <c r="A26" s="13"/>
      <c r="B26" s="28" t="s">
        <v>290</v>
      </c>
      <c r="C26" s="13"/>
      <c r="D26" s="24" cm="1">
        <f t="array" ref="D26">SUM(OSRRefD22x_0)</f>
        <v>203824.82</v>
      </c>
      <c r="E26" s="24"/>
      <c r="F26" s="34">
        <f t="shared" ref="F26:F57" si="4">IF(D$12=0,0,D26/D$12)</f>
        <v>4.0228246777148646</v>
      </c>
      <c r="G26" s="24"/>
      <c r="H26" s="24" cm="1">
        <f t="array" ref="H26">SUM(OSRRefH22x_0)</f>
        <v>162444.63287386374</v>
      </c>
      <c r="I26" s="24"/>
      <c r="J26" s="34">
        <f t="shared" ref="J26:J57" si="5">IF(H$12=0,0,H26/H$12)</f>
        <v>1.9206942025381164</v>
      </c>
      <c r="K26" s="8"/>
      <c r="L26" s="24">
        <f t="shared" ref="L26:L57" si="6">+D26-H26</f>
        <v>41380.187126136268</v>
      </c>
      <c r="M26" s="8"/>
      <c r="N26" s="34">
        <f t="shared" ref="N26:N57" si="7">IF(H26=0,0,L26/H26)</f>
        <v>0.25473409859141039</v>
      </c>
      <c r="O26" s="13"/>
      <c r="P26" s="24" cm="1">
        <f t="array" ref="P26">SUM(OSRRefP22x_0)</f>
        <v>2323245.6599999997</v>
      </c>
      <c r="Q26" s="24"/>
      <c r="R26" s="34">
        <f t="shared" ref="R26:R57" si="8">IF(P$12=0,0,P26/P$12)</f>
        <v>1.4891190303441264</v>
      </c>
      <c r="S26" s="24"/>
      <c r="T26" s="24" cm="1">
        <f t="array" ref="T26">SUM(OSRRefT22x_0)</f>
        <v>2241707.5271398183</v>
      </c>
      <c r="U26" s="24"/>
      <c r="V26" s="34">
        <f t="shared" ref="V26:V57" si="9">IF(T$12=0,0,T26/T$12)</f>
        <v>1.0491565062460655</v>
      </c>
      <c r="W26" s="8"/>
      <c r="X26" s="24">
        <f t="shared" ref="X26:X57" si="10">+P26-T26</f>
        <v>81538.132860181388</v>
      </c>
      <c r="Y26" s="8"/>
      <c r="Z26" s="34">
        <f t="shared" ref="Z26:Z57" si="11">IF(T26=0,0,X26/T26)</f>
        <v>3.6373225263786051E-2</v>
      </c>
    </row>
    <row r="27" spans="1:26" s="69" customFormat="1" ht="15" customHeight="1" outlineLevel="1" collapsed="1" x14ac:dyDescent="0.3">
      <c r="A27" s="20"/>
      <c r="B27" s="11" t="str">
        <f>CONCATENATE("     ","*Benefits                                         ")</f>
        <v xml:space="preserve">     *Benefits                                         </v>
      </c>
      <c r="C27" s="11"/>
      <c r="D27" s="2">
        <f>SUM(OSRRefD22_0x_0)</f>
        <v>16201.769999999997</v>
      </c>
      <c r="E27" s="2"/>
      <c r="F27" s="5">
        <f t="shared" si="4"/>
        <v>0.31976910456077107</v>
      </c>
      <c r="G27" s="2"/>
      <c r="H27" s="2">
        <f>SUM(OSRRefH22_0x_0)</f>
        <v>29806.68083386372</v>
      </c>
      <c r="I27" s="2"/>
      <c r="J27" s="5">
        <f t="shared" si="5"/>
        <v>0.35242481122143066</v>
      </c>
      <c r="K27" s="2"/>
      <c r="L27" s="2">
        <f t="shared" si="6"/>
        <v>-13604.910833863723</v>
      </c>
      <c r="M27" s="2"/>
      <c r="N27" s="5">
        <f t="shared" si="7"/>
        <v>-0.45643830353653547</v>
      </c>
      <c r="O27" s="11"/>
      <c r="P27" s="2">
        <f>SUM(OSRRefP22_0x_0)</f>
        <v>352123.15</v>
      </c>
      <c r="Q27" s="2"/>
      <c r="R27" s="5">
        <f t="shared" si="8"/>
        <v>0.22569859602781717</v>
      </c>
      <c r="S27" s="2"/>
      <c r="T27" s="2">
        <f>SUM(OSRRefT22_0x_0)</f>
        <v>354683.83889981802</v>
      </c>
      <c r="U27" s="2"/>
      <c r="V27" s="5">
        <f t="shared" si="9"/>
        <v>0.16599795144412069</v>
      </c>
      <c r="W27" s="2"/>
      <c r="X27" s="2">
        <f t="shared" si="10"/>
        <v>-2560.6888998179929</v>
      </c>
      <c r="Y27" s="2"/>
      <c r="Z27" s="5">
        <f t="shared" si="11"/>
        <v>-7.2196379394136156E-3</v>
      </c>
    </row>
    <row r="28" spans="1:26" s="70" customFormat="1" ht="15" hidden="1" customHeight="1" outlineLevel="2" x14ac:dyDescent="0.3">
      <c r="A28" s="21"/>
      <c r="B28" s="9" t="str">
        <f>CONCATENATE("          ","6111"," - ","F.I.C.A.")</f>
        <v xml:space="preserve">          6111 - F.I.C.A.</v>
      </c>
      <c r="C28" s="9"/>
      <c r="D28" s="6">
        <v>4083.68</v>
      </c>
      <c r="E28" s="3"/>
      <c r="F28" s="7">
        <f t="shared" si="4"/>
        <v>8.0598273948632143E-2</v>
      </c>
      <c r="G28" s="3"/>
      <c r="H28" s="6">
        <v>3540.0589689406102</v>
      </c>
      <c r="I28" s="3"/>
      <c r="J28" s="7">
        <f t="shared" si="5"/>
        <v>4.1856542860156665E-2</v>
      </c>
      <c r="K28" s="3"/>
      <c r="L28" s="6">
        <f t="shared" si="6"/>
        <v>543.62103105938968</v>
      </c>
      <c r="M28" s="3"/>
      <c r="N28" s="7">
        <f t="shared" si="7"/>
        <v>0.15356270498004512</v>
      </c>
      <c r="O28" s="9"/>
      <c r="P28" s="6">
        <v>55561.26</v>
      </c>
      <c r="Q28" s="3"/>
      <c r="R28" s="7">
        <f t="shared" si="8"/>
        <v>3.5612820047578576E-2</v>
      </c>
      <c r="S28" s="3"/>
      <c r="T28" s="6">
        <v>45194.767408355998</v>
      </c>
      <c r="U28" s="3"/>
      <c r="V28" s="7">
        <f t="shared" si="9"/>
        <v>2.1151904831783572E-2</v>
      </c>
      <c r="W28" s="3"/>
      <c r="X28" s="6">
        <f t="shared" si="10"/>
        <v>10366.492591644004</v>
      </c>
      <c r="Y28" s="3"/>
      <c r="Z28" s="7">
        <f t="shared" si="11"/>
        <v>0.22937373475070386</v>
      </c>
    </row>
    <row r="29" spans="1:26" s="70" customFormat="1" ht="15" hidden="1" customHeight="1" outlineLevel="2" x14ac:dyDescent="0.3">
      <c r="A29" s="21"/>
      <c r="B29" s="9" t="str">
        <f>CONCATENATE("          ","6112"," - ","COMPENSATION INSURANCE")</f>
        <v xml:space="preserve">          6112 - COMPENSATION INSURANCE</v>
      </c>
      <c r="C29" s="9"/>
      <c r="D29" s="6">
        <v>-5465.47</v>
      </c>
      <c r="E29" s="3"/>
      <c r="F29" s="7">
        <f t="shared" si="4"/>
        <v>-0.10787021713700157</v>
      </c>
      <c r="G29" s="3"/>
      <c r="H29" s="6">
        <v>2306.6535251569198</v>
      </c>
      <c r="I29" s="3"/>
      <c r="J29" s="7">
        <f t="shared" si="5"/>
        <v>2.7273145161238646E-2</v>
      </c>
      <c r="K29" s="3"/>
      <c r="L29" s="6">
        <f t="shared" si="6"/>
        <v>-7772.1235251569196</v>
      </c>
      <c r="M29" s="3"/>
      <c r="N29" s="7">
        <f t="shared" si="7"/>
        <v>-3.3694369095281389</v>
      </c>
      <c r="O29" s="9"/>
      <c r="P29" s="6">
        <v>20364.39</v>
      </c>
      <c r="Q29" s="3"/>
      <c r="R29" s="7">
        <f t="shared" si="8"/>
        <v>1.3052860148396716E-2</v>
      </c>
      <c r="S29" s="3"/>
      <c r="T29" s="6">
        <v>34614.260170829999</v>
      </c>
      <c r="U29" s="3"/>
      <c r="V29" s="7">
        <f t="shared" si="9"/>
        <v>1.6200051000165677E-2</v>
      </c>
      <c r="W29" s="3"/>
      <c r="X29" s="6">
        <f t="shared" si="10"/>
        <v>-14249.87017083</v>
      </c>
      <c r="Y29" s="3"/>
      <c r="Z29" s="7">
        <f t="shared" si="11"/>
        <v>-0.41167628891974983</v>
      </c>
    </row>
    <row r="30" spans="1:26" s="70" customFormat="1" ht="15" hidden="1" customHeight="1" outlineLevel="2" x14ac:dyDescent="0.3">
      <c r="A30" s="21"/>
      <c r="B30" s="9" t="str">
        <f>CONCATENATE("          ","6113"," - ","GROUP INSURANCE")</f>
        <v xml:space="preserve">          6113 - GROUP INSURANCE</v>
      </c>
      <c r="C30" s="9"/>
      <c r="D30" s="6">
        <v>10014.129999999999</v>
      </c>
      <c r="E30" s="3"/>
      <c r="F30" s="7">
        <f t="shared" si="4"/>
        <v>0.19764565125015074</v>
      </c>
      <c r="G30" s="3"/>
      <c r="H30" s="6">
        <v>15498.0461538462</v>
      </c>
      <c r="I30" s="3"/>
      <c r="J30" s="7">
        <f t="shared" si="5"/>
        <v>0.1832440190343147</v>
      </c>
      <c r="K30" s="3"/>
      <c r="L30" s="6">
        <f t="shared" si="6"/>
        <v>-5483.9161538462013</v>
      </c>
      <c r="M30" s="3"/>
      <c r="N30" s="7">
        <f t="shared" si="7"/>
        <v>-0.35384564605166308</v>
      </c>
      <c r="O30" s="9"/>
      <c r="P30" s="6">
        <v>140703.75</v>
      </c>
      <c r="Q30" s="3"/>
      <c r="R30" s="7">
        <f t="shared" si="8"/>
        <v>9.0186171601750631E-2</v>
      </c>
      <c r="S30" s="3"/>
      <c r="T30" s="6">
        <v>167341.811538462</v>
      </c>
      <c r="U30" s="3"/>
      <c r="V30" s="7">
        <f t="shared" si="9"/>
        <v>7.831875845400145E-2</v>
      </c>
      <c r="W30" s="3"/>
      <c r="X30" s="6">
        <f t="shared" si="10"/>
        <v>-26638.061538462003</v>
      </c>
      <c r="Y30" s="3"/>
      <c r="Z30" s="7">
        <f t="shared" si="11"/>
        <v>-0.1591835375365199</v>
      </c>
    </row>
    <row r="31" spans="1:26" s="70" customFormat="1" ht="15" hidden="1" customHeight="1" outlineLevel="2" x14ac:dyDescent="0.3">
      <c r="A31" s="21"/>
      <c r="B31" s="9" t="str">
        <f>CONCATENATE("          ","6114"," - ","STATE UNEMPLOYMENT INSURANCE")</f>
        <v xml:space="preserve">          6114 - STATE UNEMPLOYMENT INSURANCE</v>
      </c>
      <c r="C31" s="9"/>
      <c r="D31" s="6"/>
      <c r="E31" s="3"/>
      <c r="F31" s="7">
        <f t="shared" si="4"/>
        <v>0</v>
      </c>
      <c r="G31" s="3"/>
      <c r="H31" s="6">
        <v>127.809298227692</v>
      </c>
      <c r="I31" s="3"/>
      <c r="J31" s="7">
        <f t="shared" si="5"/>
        <v>1.5111769086702137E-3</v>
      </c>
      <c r="K31" s="3"/>
      <c r="L31" s="6">
        <f t="shared" si="6"/>
        <v>-127.809298227692</v>
      </c>
      <c r="M31" s="3"/>
      <c r="N31" s="7">
        <f t="shared" si="7"/>
        <v>-1</v>
      </c>
      <c r="O31" s="9"/>
      <c r="P31" s="6">
        <v>2222.9</v>
      </c>
      <c r="Q31" s="3"/>
      <c r="R31" s="7">
        <f t="shared" si="8"/>
        <v>1.4248009797431234E-3</v>
      </c>
      <c r="S31" s="3"/>
      <c r="T31" s="6">
        <v>1917.94053717</v>
      </c>
      <c r="U31" s="3"/>
      <c r="V31" s="7">
        <f t="shared" si="9"/>
        <v>8.9762815568200324E-4</v>
      </c>
      <c r="W31" s="3"/>
      <c r="X31" s="6">
        <f t="shared" si="10"/>
        <v>304.95946283000012</v>
      </c>
      <c r="Y31" s="3"/>
      <c r="Z31" s="7">
        <f t="shared" si="11"/>
        <v>0.15900360669157154</v>
      </c>
    </row>
    <row r="32" spans="1:26" s="70" customFormat="1" ht="15" hidden="1" customHeight="1" outlineLevel="2" x14ac:dyDescent="0.3">
      <c r="A32" s="21"/>
      <c r="B32" s="9" t="str">
        <f>CONCATENATE("          ","6115"," - ","P.E.R.S.")</f>
        <v xml:space="preserve">          6115 - P.E.R.S.</v>
      </c>
      <c r="C32" s="9"/>
      <c r="D32" s="6">
        <v>2520.67</v>
      </c>
      <c r="E32" s="3"/>
      <c r="F32" s="7">
        <f t="shared" si="4"/>
        <v>4.974965011805494E-2</v>
      </c>
      <c r="G32" s="3"/>
      <c r="H32" s="6">
        <v>2801.24234307692</v>
      </c>
      <c r="I32" s="3"/>
      <c r="J32" s="7">
        <f t="shared" si="5"/>
        <v>3.3121007650833804E-2</v>
      </c>
      <c r="K32" s="3"/>
      <c r="L32" s="6">
        <f t="shared" si="6"/>
        <v>-280.57234307691988</v>
      </c>
      <c r="M32" s="3"/>
      <c r="N32" s="7">
        <f t="shared" si="7"/>
        <v>-0.10015996786937602</v>
      </c>
      <c r="O32" s="9"/>
      <c r="P32" s="6">
        <v>39720.199999999997</v>
      </c>
      <c r="Q32" s="3"/>
      <c r="R32" s="7">
        <f t="shared" si="8"/>
        <v>2.5459255870976114E-2</v>
      </c>
      <c r="S32" s="3"/>
      <c r="T32" s="6">
        <v>33475.363259999998</v>
      </c>
      <c r="U32" s="3"/>
      <c r="V32" s="7">
        <f t="shared" si="9"/>
        <v>1.5667028253230717E-2</v>
      </c>
      <c r="W32" s="3"/>
      <c r="X32" s="6">
        <f t="shared" si="10"/>
        <v>6244.8367399999988</v>
      </c>
      <c r="Y32" s="3"/>
      <c r="Z32" s="7">
        <f t="shared" si="11"/>
        <v>0.1865502307322833</v>
      </c>
    </row>
    <row r="33" spans="1:26" s="70" customFormat="1" ht="15" hidden="1" customHeight="1" outlineLevel="2" x14ac:dyDescent="0.3">
      <c r="A33" s="21"/>
      <c r="B33" s="9" t="str">
        <f>CONCATENATE("          ","6116"," - ","EDUCATIONAL BENEFITS")</f>
        <v xml:space="preserve">          6116 - EDUCATIONAL BENEFITS</v>
      </c>
      <c r="C33" s="9"/>
      <c r="D33" s="6"/>
      <c r="E33" s="3"/>
      <c r="F33" s="7">
        <f t="shared" si="4"/>
        <v>0</v>
      </c>
      <c r="G33" s="3"/>
      <c r="H33" s="6">
        <v>0</v>
      </c>
      <c r="I33" s="3"/>
      <c r="J33" s="7">
        <f t="shared" si="5"/>
        <v>0</v>
      </c>
      <c r="K33" s="3"/>
      <c r="L33" s="6">
        <f t="shared" si="6"/>
        <v>0</v>
      </c>
      <c r="M33" s="3"/>
      <c r="N33" s="7">
        <f t="shared" si="7"/>
        <v>0</v>
      </c>
      <c r="O33" s="9"/>
      <c r="P33" s="6"/>
      <c r="Q33" s="3"/>
      <c r="R33" s="7">
        <f t="shared" si="8"/>
        <v>0</v>
      </c>
      <c r="S33" s="3"/>
      <c r="T33" s="6">
        <v>0</v>
      </c>
      <c r="U33" s="3"/>
      <c r="V33" s="7">
        <f t="shared" si="9"/>
        <v>0</v>
      </c>
      <c r="W33" s="3"/>
      <c r="X33" s="6">
        <f t="shared" si="10"/>
        <v>0</v>
      </c>
      <c r="Y33" s="3"/>
      <c r="Z33" s="7">
        <f t="shared" si="11"/>
        <v>0</v>
      </c>
    </row>
    <row r="34" spans="1:26" s="70" customFormat="1" ht="15" hidden="1" customHeight="1" outlineLevel="2" x14ac:dyDescent="0.3">
      <c r="A34" s="21"/>
      <c r="B34" s="9" t="str">
        <f>CONCATENATE("          ","6117"," - ","RETIREMENT STAFF HOURLY")</f>
        <v xml:space="preserve">          6117 - RETIREMENT STAFF HOURLY</v>
      </c>
      <c r="C34" s="9"/>
      <c r="D34" s="6">
        <v>54.93</v>
      </c>
      <c r="E34" s="3"/>
      <c r="F34" s="7">
        <f t="shared" si="4"/>
        <v>1.0841356786032118E-3</v>
      </c>
      <c r="G34" s="3"/>
      <c r="H34" s="6"/>
      <c r="I34" s="3"/>
      <c r="J34" s="7">
        <f t="shared" si="5"/>
        <v>0</v>
      </c>
      <c r="K34" s="3"/>
      <c r="L34" s="6">
        <f t="shared" si="6"/>
        <v>54.93</v>
      </c>
      <c r="M34" s="3"/>
      <c r="N34" s="7">
        <f t="shared" si="7"/>
        <v>0</v>
      </c>
      <c r="O34" s="9"/>
      <c r="P34" s="6">
        <v>337.18</v>
      </c>
      <c r="Q34" s="3"/>
      <c r="R34" s="7">
        <f t="shared" si="8"/>
        <v>2.1612056068639449E-4</v>
      </c>
      <c r="S34" s="3"/>
      <c r="T34" s="6"/>
      <c r="U34" s="3"/>
      <c r="V34" s="7">
        <f t="shared" si="9"/>
        <v>0</v>
      </c>
      <c r="W34" s="3"/>
      <c r="X34" s="6">
        <f t="shared" si="10"/>
        <v>337.18</v>
      </c>
      <c r="Y34" s="3"/>
      <c r="Z34" s="7">
        <f t="shared" si="11"/>
        <v>0</v>
      </c>
    </row>
    <row r="35" spans="1:26" s="70" customFormat="1" ht="15" hidden="1" customHeight="1" outlineLevel="2" x14ac:dyDescent="0.3">
      <c r="A35" s="21"/>
      <c r="B35" s="9" t="str">
        <f>CONCATENATE("          ","6118"," - ","VACATION")</f>
        <v xml:space="preserve">          6118 - VACATION</v>
      </c>
      <c r="C35" s="9"/>
      <c r="D35" s="6">
        <v>2198.96</v>
      </c>
      <c r="E35" s="3"/>
      <c r="F35" s="7">
        <f t="shared" si="4"/>
        <v>4.34001636960007E-2</v>
      </c>
      <c r="G35" s="3"/>
      <c r="H35" s="6">
        <v>2503.2834483076899</v>
      </c>
      <c r="I35" s="3"/>
      <c r="J35" s="7">
        <f t="shared" si="5"/>
        <v>2.9598035474693647E-2</v>
      </c>
      <c r="K35" s="3"/>
      <c r="L35" s="6">
        <f t="shared" si="6"/>
        <v>-304.32344830768989</v>
      </c>
      <c r="M35" s="3"/>
      <c r="N35" s="7">
        <f t="shared" si="7"/>
        <v>-0.12156971217679066</v>
      </c>
      <c r="O35" s="9"/>
      <c r="P35" s="6">
        <v>40650.879999999997</v>
      </c>
      <c r="Q35" s="3"/>
      <c r="R35" s="7">
        <f t="shared" si="8"/>
        <v>2.6055789127455185E-2</v>
      </c>
      <c r="S35" s="3"/>
      <c r="T35" s="6">
        <v>30443.317756</v>
      </c>
      <c r="U35" s="3"/>
      <c r="V35" s="7">
        <f t="shared" si="9"/>
        <v>1.4247980393845394E-2</v>
      </c>
      <c r="W35" s="3"/>
      <c r="X35" s="6">
        <f t="shared" si="10"/>
        <v>10207.562243999997</v>
      </c>
      <c r="Y35" s="3"/>
      <c r="Z35" s="7">
        <f t="shared" si="11"/>
        <v>0.33529729991364732</v>
      </c>
    </row>
    <row r="36" spans="1:26" s="70" customFormat="1" ht="15" hidden="1" customHeight="1" outlineLevel="2" x14ac:dyDescent="0.3">
      <c r="A36" s="21"/>
      <c r="B36" s="9" t="str">
        <f>CONCATENATE("          ","6119"," - ","SICK LEAVE")</f>
        <v xml:space="preserve">          6119 - SICK LEAVE</v>
      </c>
      <c r="C36" s="9"/>
      <c r="D36" s="6">
        <v>1486.08</v>
      </c>
      <c r="E36" s="3"/>
      <c r="F36" s="7">
        <f t="shared" si="4"/>
        <v>2.9330281253571105E-2</v>
      </c>
      <c r="G36" s="3"/>
      <c r="H36" s="6">
        <v>1084.58709630769</v>
      </c>
      <c r="I36" s="3"/>
      <c r="J36" s="7">
        <f t="shared" si="5"/>
        <v>1.2823816405454148E-2</v>
      </c>
      <c r="K36" s="3"/>
      <c r="L36" s="6">
        <f t="shared" si="6"/>
        <v>401.49290369230994</v>
      </c>
      <c r="M36" s="3"/>
      <c r="N36" s="7">
        <f t="shared" si="7"/>
        <v>0.37018041709986299</v>
      </c>
      <c r="O36" s="9"/>
      <c r="P36" s="6">
        <v>34185.760000000002</v>
      </c>
      <c r="Q36" s="3"/>
      <c r="R36" s="7">
        <f t="shared" si="8"/>
        <v>2.1911873832049702E-2</v>
      </c>
      <c r="S36" s="3"/>
      <c r="T36" s="6">
        <v>17020.378229000002</v>
      </c>
      <c r="U36" s="3"/>
      <c r="V36" s="7">
        <f t="shared" si="9"/>
        <v>7.9658208493005034E-3</v>
      </c>
      <c r="W36" s="3"/>
      <c r="X36" s="6">
        <f t="shared" si="10"/>
        <v>17165.381771</v>
      </c>
      <c r="Y36" s="3"/>
      <c r="Z36" s="7">
        <f t="shared" si="11"/>
        <v>1.008519407738715</v>
      </c>
    </row>
    <row r="37" spans="1:26" s="70" customFormat="1" ht="15" hidden="1" customHeight="1" outlineLevel="2" x14ac:dyDescent="0.3">
      <c r="A37" s="21"/>
      <c r="B37" s="9" t="str">
        <f>CONCATENATE("          ","6156"," - ","EMPLOYEE MEALS")</f>
        <v xml:space="preserve">          6156 - EMPLOYEE MEALS</v>
      </c>
      <c r="C37" s="9"/>
      <c r="D37" s="6">
        <v>1308.79</v>
      </c>
      <c r="E37" s="3"/>
      <c r="F37" s="7">
        <f t="shared" si="4"/>
        <v>2.583116575275983E-2</v>
      </c>
      <c r="G37" s="3"/>
      <c r="H37" s="6">
        <v>1945</v>
      </c>
      <c r="I37" s="3"/>
      <c r="J37" s="7">
        <f t="shared" si="5"/>
        <v>2.2997067726068861E-2</v>
      </c>
      <c r="K37" s="3"/>
      <c r="L37" s="6">
        <f t="shared" si="6"/>
        <v>-636.21</v>
      </c>
      <c r="M37" s="3"/>
      <c r="N37" s="7">
        <f t="shared" si="7"/>
        <v>-0.32710025706940876</v>
      </c>
      <c r="O37" s="9"/>
      <c r="P37" s="6">
        <v>18376.830000000002</v>
      </c>
      <c r="Q37" s="3"/>
      <c r="R37" s="7">
        <f t="shared" si="8"/>
        <v>1.177890385918072E-2</v>
      </c>
      <c r="S37" s="3"/>
      <c r="T37" s="6">
        <v>24676</v>
      </c>
      <c r="U37" s="3"/>
      <c r="V37" s="7">
        <f t="shared" si="9"/>
        <v>1.1548779506111361E-2</v>
      </c>
      <c r="W37" s="3"/>
      <c r="X37" s="6">
        <f t="shared" si="10"/>
        <v>-6299.1699999999983</v>
      </c>
      <c r="Y37" s="3"/>
      <c r="Z37" s="7">
        <f t="shared" si="11"/>
        <v>-0.25527516615334733</v>
      </c>
    </row>
    <row r="38" spans="1:26" s="69" customFormat="1" ht="15" customHeight="1" outlineLevel="1" collapsed="1" x14ac:dyDescent="0.3">
      <c r="A38" s="20"/>
      <c r="B38" s="11" t="str">
        <f>CONCATENATE("     ","*Payroll                                          ")</f>
        <v xml:space="preserve">     *Payroll                                          </v>
      </c>
      <c r="C38" s="11"/>
      <c r="D38" s="2">
        <f>SUM(OSRRefD22_1x_0)</f>
        <v>36638.719999999994</v>
      </c>
      <c r="E38" s="2"/>
      <c r="F38" s="5">
        <f t="shared" si="4"/>
        <v>0.72312658966599419</v>
      </c>
      <c r="G38" s="2"/>
      <c r="H38" s="2">
        <f>SUM(OSRRefH22_1x_0)</f>
        <v>57298.952039999996</v>
      </c>
      <c r="I38" s="2"/>
      <c r="J38" s="5">
        <f t="shared" si="5"/>
        <v>0.67748477156640174</v>
      </c>
      <c r="K38" s="2"/>
      <c r="L38" s="2">
        <f t="shared" si="6"/>
        <v>-20660.232040000003</v>
      </c>
      <c r="M38" s="2"/>
      <c r="N38" s="5">
        <f t="shared" si="7"/>
        <v>-0.36056910823739391</v>
      </c>
      <c r="O38" s="11"/>
      <c r="P38" s="2">
        <f>SUM(OSRRefP22_1x_0)</f>
        <v>839101.45000000007</v>
      </c>
      <c r="Q38" s="2"/>
      <c r="R38" s="5">
        <f t="shared" si="8"/>
        <v>0.53783461607084238</v>
      </c>
      <c r="S38" s="2"/>
      <c r="T38" s="2">
        <f>SUM(OSRRefT22_1x_0)</f>
        <v>866890.68824000005</v>
      </c>
      <c r="U38" s="2"/>
      <c r="V38" s="5">
        <f t="shared" si="9"/>
        <v>0.4057192986863708</v>
      </c>
      <c r="W38" s="2"/>
      <c r="X38" s="2">
        <f t="shared" si="10"/>
        <v>-27789.238239999977</v>
      </c>
      <c r="Y38" s="2"/>
      <c r="Z38" s="5">
        <f t="shared" si="11"/>
        <v>-3.2056219563759439E-2</v>
      </c>
    </row>
    <row r="39" spans="1:26" s="70" customFormat="1" ht="15" hidden="1" customHeight="1" outlineLevel="2" x14ac:dyDescent="0.3">
      <c r="A39" s="21"/>
      <c r="B39" s="9" t="str">
        <f>CONCATENATE("          ","6001"," - ","ADMINISTRATIVE SALARIES")</f>
        <v xml:space="preserve">          6001 - ADMINISTRATIVE SALARIES</v>
      </c>
      <c r="C39" s="9"/>
      <c r="D39" s="6">
        <v>5756.01</v>
      </c>
      <c r="E39" s="3"/>
      <c r="F39" s="7">
        <f t="shared" si="4"/>
        <v>0.11360451133072771</v>
      </c>
      <c r="G39" s="3"/>
      <c r="H39" s="6">
        <v>10268.307692307701</v>
      </c>
      <c r="I39" s="3"/>
      <c r="J39" s="7">
        <f t="shared" si="5"/>
        <v>0.12140923775430028</v>
      </c>
      <c r="K39" s="3"/>
      <c r="L39" s="6">
        <f t="shared" si="6"/>
        <v>-4512.2976923077003</v>
      </c>
      <c r="M39" s="3"/>
      <c r="N39" s="7">
        <f t="shared" si="7"/>
        <v>-0.43943927544048944</v>
      </c>
      <c r="O39" s="9"/>
      <c r="P39" s="6">
        <v>128912.89</v>
      </c>
      <c r="Q39" s="3"/>
      <c r="R39" s="7">
        <f t="shared" si="8"/>
        <v>8.2628643651769085E-2</v>
      </c>
      <c r="S39" s="3"/>
      <c r="T39" s="6">
        <v>133488</v>
      </c>
      <c r="U39" s="3"/>
      <c r="V39" s="7">
        <f t="shared" si="9"/>
        <v>6.2474610095306915E-2</v>
      </c>
      <c r="W39" s="3"/>
      <c r="X39" s="6">
        <f t="shared" si="10"/>
        <v>-4575.1100000000006</v>
      </c>
      <c r="Y39" s="3"/>
      <c r="Z39" s="7">
        <f t="shared" si="11"/>
        <v>-3.4273567661512648E-2</v>
      </c>
    </row>
    <row r="40" spans="1:26" s="70" customFormat="1" ht="15" hidden="1" customHeight="1" outlineLevel="2" x14ac:dyDescent="0.3">
      <c r="A40" s="21"/>
      <c r="B40" s="9" t="str">
        <f>CONCATENATE("          ","6002"," - ","STAFF SALARIES")</f>
        <v xml:space="preserve">          6002 - STAFF SALARIES</v>
      </c>
      <c r="C40" s="9"/>
      <c r="D40" s="6">
        <v>12155.92</v>
      </c>
      <c r="E40" s="3"/>
      <c r="F40" s="7">
        <f t="shared" si="4"/>
        <v>0.23991746911061995</v>
      </c>
      <c r="G40" s="3"/>
      <c r="H40" s="6">
        <v>19788.263807692299</v>
      </c>
      <c r="I40" s="3"/>
      <c r="J40" s="7">
        <f t="shared" si="5"/>
        <v>0.23397020203949465</v>
      </c>
      <c r="K40" s="3"/>
      <c r="L40" s="6">
        <f t="shared" si="6"/>
        <v>-7632.3438076922994</v>
      </c>
      <c r="M40" s="3"/>
      <c r="N40" s="7">
        <f t="shared" si="7"/>
        <v>-0.38570052844784569</v>
      </c>
      <c r="O40" s="9"/>
      <c r="P40" s="6">
        <v>252023.2</v>
      </c>
      <c r="Q40" s="3"/>
      <c r="R40" s="7">
        <f t="shared" si="8"/>
        <v>0.16153803692383695</v>
      </c>
      <c r="S40" s="3"/>
      <c r="T40" s="6">
        <v>224761.9895</v>
      </c>
      <c r="U40" s="3"/>
      <c r="V40" s="7">
        <f t="shared" si="9"/>
        <v>0.10519235930014659</v>
      </c>
      <c r="W40" s="3"/>
      <c r="X40" s="6">
        <f t="shared" si="10"/>
        <v>27261.210500000016</v>
      </c>
      <c r="Y40" s="3"/>
      <c r="Z40" s="7">
        <f t="shared" si="11"/>
        <v>0.12128923827665272</v>
      </c>
    </row>
    <row r="41" spans="1:26" s="70" customFormat="1" ht="15" hidden="1" customHeight="1" outlineLevel="2" x14ac:dyDescent="0.3">
      <c r="A41" s="21"/>
      <c r="B41" s="9" t="str">
        <f>CONCATENATE("          ","6003"," - ","STAFF HOURLY-9 MONTH")</f>
        <v xml:space="preserve">          6003 - STAFF HOURLY-9 MONTH</v>
      </c>
      <c r="C41" s="9"/>
      <c r="D41" s="6"/>
      <c r="E41" s="3"/>
      <c r="F41" s="7">
        <f t="shared" si="4"/>
        <v>0</v>
      </c>
      <c r="G41" s="3"/>
      <c r="H41" s="6">
        <v>0</v>
      </c>
      <c r="I41" s="3"/>
      <c r="J41" s="7">
        <f t="shared" si="5"/>
        <v>0</v>
      </c>
      <c r="K41" s="3"/>
      <c r="L41" s="6">
        <f t="shared" si="6"/>
        <v>0</v>
      </c>
      <c r="M41" s="3"/>
      <c r="N41" s="7">
        <f t="shared" si="7"/>
        <v>0</v>
      </c>
      <c r="O41" s="9"/>
      <c r="P41" s="6"/>
      <c r="Q41" s="3"/>
      <c r="R41" s="7">
        <f t="shared" si="8"/>
        <v>0</v>
      </c>
      <c r="S41" s="3"/>
      <c r="T41" s="6">
        <v>0</v>
      </c>
      <c r="U41" s="3"/>
      <c r="V41" s="7">
        <f t="shared" si="9"/>
        <v>0</v>
      </c>
      <c r="W41" s="3"/>
      <c r="X41" s="6">
        <f t="shared" si="10"/>
        <v>0</v>
      </c>
      <c r="Y41" s="3"/>
      <c r="Z41" s="7">
        <f t="shared" si="11"/>
        <v>0</v>
      </c>
    </row>
    <row r="42" spans="1:26" s="70" customFormat="1" ht="15" hidden="1" customHeight="1" outlineLevel="2" x14ac:dyDescent="0.3">
      <c r="A42" s="21"/>
      <c r="B42" s="9" t="str">
        <f>CONCATENATE("          ","6004"," - ","STAFF HOURLY")</f>
        <v xml:space="preserve">          6004 - STAFF HOURLY</v>
      </c>
      <c r="C42" s="9"/>
      <c r="D42" s="6">
        <v>6295.24</v>
      </c>
      <c r="E42" s="3"/>
      <c r="F42" s="7">
        <f t="shared" si="4"/>
        <v>0.12424711977735449</v>
      </c>
      <c r="G42" s="3"/>
      <c r="H42" s="6">
        <v>13000.327439999999</v>
      </c>
      <c r="I42" s="3"/>
      <c r="J42" s="7">
        <f t="shared" si="5"/>
        <v>0.15371177922814983</v>
      </c>
      <c r="K42" s="3"/>
      <c r="L42" s="6">
        <f t="shared" si="6"/>
        <v>-6705.0874399999993</v>
      </c>
      <c r="M42" s="3"/>
      <c r="N42" s="7">
        <f t="shared" si="7"/>
        <v>-0.51576296604418448</v>
      </c>
      <c r="O42" s="9"/>
      <c r="P42" s="6">
        <v>123349.11</v>
      </c>
      <c r="Q42" s="3"/>
      <c r="R42" s="7">
        <f t="shared" si="8"/>
        <v>7.9062455701310125E-2</v>
      </c>
      <c r="S42" s="3"/>
      <c r="T42" s="6">
        <v>174762.73944</v>
      </c>
      <c r="U42" s="3"/>
      <c r="V42" s="7">
        <f t="shared" si="9"/>
        <v>8.1791876466062244E-2</v>
      </c>
      <c r="W42" s="3"/>
      <c r="X42" s="6">
        <f t="shared" si="10"/>
        <v>-51413.629440000004</v>
      </c>
      <c r="Y42" s="3"/>
      <c r="Z42" s="7">
        <f t="shared" si="11"/>
        <v>-0.29419102495616045</v>
      </c>
    </row>
    <row r="43" spans="1:26" s="70" customFormat="1" ht="15" hidden="1" customHeight="1" outlineLevel="2" x14ac:dyDescent="0.3">
      <c r="A43" s="21"/>
      <c r="B43" s="9" t="str">
        <f>CONCATENATE("          ","6005"," - ","TEMPORARY WAGES-HOURLY")</f>
        <v xml:space="preserve">          6005 - TEMPORARY WAGES-HOURLY</v>
      </c>
      <c r="C43" s="9"/>
      <c r="D43" s="6">
        <v>8251.81</v>
      </c>
      <c r="E43" s="3"/>
      <c r="F43" s="7">
        <f t="shared" si="4"/>
        <v>0.16286331028681536</v>
      </c>
      <c r="G43" s="3"/>
      <c r="H43" s="6">
        <v>11716.8531</v>
      </c>
      <c r="I43" s="3"/>
      <c r="J43" s="7">
        <f t="shared" si="5"/>
        <v>0.138536382661748</v>
      </c>
      <c r="K43" s="3"/>
      <c r="L43" s="6">
        <f t="shared" si="6"/>
        <v>-3465.0431000000008</v>
      </c>
      <c r="M43" s="3"/>
      <c r="N43" s="7">
        <f t="shared" si="7"/>
        <v>-0.29573154757739523</v>
      </c>
      <c r="O43" s="9"/>
      <c r="P43" s="6">
        <v>139815.44</v>
      </c>
      <c r="Q43" s="3"/>
      <c r="R43" s="7">
        <f t="shared" si="8"/>
        <v>8.9616796030057982E-2</v>
      </c>
      <c r="S43" s="3"/>
      <c r="T43" s="6">
        <v>126721.62450000001</v>
      </c>
      <c r="U43" s="3"/>
      <c r="V43" s="7">
        <f t="shared" si="9"/>
        <v>5.9307833522724084E-2</v>
      </c>
      <c r="W43" s="3"/>
      <c r="X43" s="6">
        <f t="shared" si="10"/>
        <v>13093.815499999997</v>
      </c>
      <c r="Y43" s="3"/>
      <c r="Z43" s="7">
        <f t="shared" si="11"/>
        <v>0.10332739618564467</v>
      </c>
    </row>
    <row r="44" spans="1:26" s="70" customFormat="1" ht="15" hidden="1" customHeight="1" outlineLevel="2" x14ac:dyDescent="0.3">
      <c r="A44" s="21"/>
      <c r="B44" s="9" t="str">
        <f>CONCATENATE("          ","6006"," - ","TEMPORARY PART TIME")</f>
        <v xml:space="preserve">          6006 - TEMPORARY PART TIME</v>
      </c>
      <c r="C44" s="9"/>
      <c r="D44" s="6"/>
      <c r="E44" s="3"/>
      <c r="F44" s="7">
        <f t="shared" si="4"/>
        <v>0</v>
      </c>
      <c r="G44" s="3"/>
      <c r="H44" s="6">
        <v>0</v>
      </c>
      <c r="I44" s="3"/>
      <c r="J44" s="7">
        <f t="shared" si="5"/>
        <v>0</v>
      </c>
      <c r="K44" s="3"/>
      <c r="L44" s="6">
        <f t="shared" si="6"/>
        <v>0</v>
      </c>
      <c r="M44" s="3"/>
      <c r="N44" s="7">
        <f t="shared" si="7"/>
        <v>0</v>
      </c>
      <c r="O44" s="9"/>
      <c r="P44" s="6"/>
      <c r="Q44" s="3"/>
      <c r="R44" s="7">
        <f t="shared" si="8"/>
        <v>0</v>
      </c>
      <c r="S44" s="3"/>
      <c r="T44" s="6">
        <v>0</v>
      </c>
      <c r="U44" s="3"/>
      <c r="V44" s="7">
        <f t="shared" si="9"/>
        <v>0</v>
      </c>
      <c r="W44" s="3"/>
      <c r="X44" s="6">
        <f t="shared" si="10"/>
        <v>0</v>
      </c>
      <c r="Y44" s="3"/>
      <c r="Z44" s="7">
        <f t="shared" si="11"/>
        <v>0</v>
      </c>
    </row>
    <row r="45" spans="1:26" s="70" customFormat="1" ht="15" hidden="1" customHeight="1" outlineLevel="2" x14ac:dyDescent="0.3">
      <c r="A45" s="21"/>
      <c r="B45" s="9" t="str">
        <f>CONCATENATE("          ","6007"," - ","STUDENT HOURLY")</f>
        <v xml:space="preserve">          6007 - STUDENT HOURLY</v>
      </c>
      <c r="C45" s="9"/>
      <c r="D45" s="6">
        <v>4179.74</v>
      </c>
      <c r="E45" s="3"/>
      <c r="F45" s="7">
        <f t="shared" si="4"/>
        <v>8.2494179160476758E-2</v>
      </c>
      <c r="G45" s="3"/>
      <c r="H45" s="6">
        <v>0</v>
      </c>
      <c r="I45" s="3"/>
      <c r="J45" s="7">
        <f t="shared" si="5"/>
        <v>0</v>
      </c>
      <c r="K45" s="3"/>
      <c r="L45" s="6">
        <f t="shared" si="6"/>
        <v>4179.74</v>
      </c>
      <c r="M45" s="3"/>
      <c r="N45" s="7">
        <f t="shared" si="7"/>
        <v>0</v>
      </c>
      <c r="O45" s="9"/>
      <c r="P45" s="6">
        <v>185731.44</v>
      </c>
      <c r="Q45" s="3"/>
      <c r="R45" s="7">
        <f t="shared" si="8"/>
        <v>0.11904734251702781</v>
      </c>
      <c r="S45" s="3"/>
      <c r="T45" s="6">
        <v>18888.098000000002</v>
      </c>
      <c r="U45" s="3"/>
      <c r="V45" s="7">
        <f t="shared" si="9"/>
        <v>8.8399448489148574E-3</v>
      </c>
      <c r="W45" s="3"/>
      <c r="X45" s="6">
        <f t="shared" si="10"/>
        <v>166843.342</v>
      </c>
      <c r="Y45" s="3"/>
      <c r="Z45" s="7">
        <f t="shared" si="11"/>
        <v>8.8332526652498302</v>
      </c>
    </row>
    <row r="46" spans="1:26" s="70" customFormat="1" ht="15" hidden="1" customHeight="1" outlineLevel="2" x14ac:dyDescent="0.3">
      <c r="A46" s="21"/>
      <c r="B46" s="9" t="str">
        <f>CONCATENATE("          ","6008"," - ","STUDENT HOURLY-FICA EXEMPT")</f>
        <v xml:space="preserve">          6008 - STUDENT HOURLY-FICA EXEMPT</v>
      </c>
      <c r="C46" s="9"/>
      <c r="D46" s="6"/>
      <c r="E46" s="3"/>
      <c r="F46" s="7">
        <f t="shared" si="4"/>
        <v>0</v>
      </c>
      <c r="G46" s="3"/>
      <c r="H46" s="6">
        <v>2525.1999999999998</v>
      </c>
      <c r="I46" s="3"/>
      <c r="J46" s="7">
        <f t="shared" si="5"/>
        <v>2.9857169882709041E-2</v>
      </c>
      <c r="K46" s="3"/>
      <c r="L46" s="6">
        <f t="shared" si="6"/>
        <v>-2525.1999999999998</v>
      </c>
      <c r="M46" s="3"/>
      <c r="N46" s="7">
        <f t="shared" si="7"/>
        <v>-1</v>
      </c>
      <c r="O46" s="9"/>
      <c r="P46" s="6">
        <v>9269.3700000000008</v>
      </c>
      <c r="Q46" s="3"/>
      <c r="R46" s="7">
        <f t="shared" si="8"/>
        <v>5.9413412468403964E-3</v>
      </c>
      <c r="S46" s="3"/>
      <c r="T46" s="6">
        <v>188268.23680000001</v>
      </c>
      <c r="U46" s="3"/>
      <c r="V46" s="7">
        <f t="shared" si="9"/>
        <v>8.8112674453216119E-2</v>
      </c>
      <c r="W46" s="3"/>
      <c r="X46" s="6">
        <f t="shared" si="10"/>
        <v>-178998.86680000002</v>
      </c>
      <c r="Y46" s="3"/>
      <c r="Z46" s="7">
        <f t="shared" si="11"/>
        <v>-0.95076508837841311</v>
      </c>
    </row>
    <row r="47" spans="1:26" s="70" customFormat="1" ht="15" hidden="1" customHeight="1" outlineLevel="2" x14ac:dyDescent="0.3">
      <c r="A47" s="21"/>
      <c r="B47" s="9" t="str">
        <f>CONCATENATE("          ","6009"," - ","TEMPORARY-SEASONAL")</f>
        <v xml:space="preserve">          6009 - TEMPORARY-SEASONAL</v>
      </c>
      <c r="C47" s="9"/>
      <c r="D47" s="6"/>
      <c r="E47" s="3"/>
      <c r="F47" s="7">
        <f t="shared" si="4"/>
        <v>0</v>
      </c>
      <c r="G47" s="3"/>
      <c r="H47" s="6">
        <v>0</v>
      </c>
      <c r="I47" s="3"/>
      <c r="J47" s="7">
        <f t="shared" si="5"/>
        <v>0</v>
      </c>
      <c r="K47" s="3"/>
      <c r="L47" s="6">
        <f t="shared" si="6"/>
        <v>0</v>
      </c>
      <c r="M47" s="3"/>
      <c r="N47" s="7">
        <f t="shared" si="7"/>
        <v>0</v>
      </c>
      <c r="O47" s="9"/>
      <c r="P47" s="6"/>
      <c r="Q47" s="3"/>
      <c r="R47" s="7">
        <f t="shared" si="8"/>
        <v>0</v>
      </c>
      <c r="S47" s="3"/>
      <c r="T47" s="6">
        <v>0</v>
      </c>
      <c r="U47" s="3"/>
      <c r="V47" s="7">
        <f t="shared" si="9"/>
        <v>0</v>
      </c>
      <c r="W47" s="3"/>
      <c r="X47" s="6">
        <f t="shared" si="10"/>
        <v>0</v>
      </c>
      <c r="Y47" s="3"/>
      <c r="Z47" s="7">
        <f t="shared" si="11"/>
        <v>0</v>
      </c>
    </row>
    <row r="48" spans="1:26" s="70" customFormat="1" ht="15" hidden="1" customHeight="1" outlineLevel="2" x14ac:dyDescent="0.3">
      <c r="A48" s="21"/>
      <c r="B48" s="9" t="str">
        <f>CONCATENATE("          ","6010"," - ","GRATUITY")</f>
        <v xml:space="preserve">          6010 - GRATUITY</v>
      </c>
      <c r="C48" s="9"/>
      <c r="D48" s="6"/>
      <c r="E48" s="3"/>
      <c r="F48" s="7">
        <f t="shared" si="4"/>
        <v>0</v>
      </c>
      <c r="G48" s="3"/>
      <c r="H48" s="6">
        <v>0</v>
      </c>
      <c r="I48" s="3"/>
      <c r="J48" s="7">
        <f t="shared" si="5"/>
        <v>0</v>
      </c>
      <c r="K48" s="3"/>
      <c r="L48" s="6">
        <f t="shared" si="6"/>
        <v>0</v>
      </c>
      <c r="M48" s="3"/>
      <c r="N48" s="7">
        <f t="shared" si="7"/>
        <v>0</v>
      </c>
      <c r="O48" s="9"/>
      <c r="P48" s="6"/>
      <c r="Q48" s="3"/>
      <c r="R48" s="7">
        <f t="shared" si="8"/>
        <v>0</v>
      </c>
      <c r="S48" s="3"/>
      <c r="T48" s="6">
        <v>0</v>
      </c>
      <c r="U48" s="3"/>
      <c r="V48" s="7">
        <f t="shared" si="9"/>
        <v>0</v>
      </c>
      <c r="W48" s="3"/>
      <c r="X48" s="6">
        <f t="shared" si="10"/>
        <v>0</v>
      </c>
      <c r="Y48" s="3"/>
      <c r="Z48" s="7">
        <f t="shared" si="11"/>
        <v>0</v>
      </c>
    </row>
    <row r="49" spans="1:26" s="69" customFormat="1" ht="15" customHeight="1" outlineLevel="1" collapsed="1" x14ac:dyDescent="0.3">
      <c r="A49" s="20"/>
      <c r="B49" s="11" t="str">
        <f>CONCATENATE("     ","Advertising/Promo                                 ")</f>
        <v xml:space="preserve">     Advertising/Promo                                 </v>
      </c>
      <c r="C49" s="11"/>
      <c r="D49" s="2">
        <f>SUM(OSRRefD22_2x_0)</f>
        <v>1272.93</v>
      </c>
      <c r="E49" s="2"/>
      <c r="F49" s="5">
        <f t="shared" si="4"/>
        <v>2.5123408508363122E-2</v>
      </c>
      <c r="G49" s="2"/>
      <c r="H49" s="2">
        <f>SUM(OSRRefH22_2x_0)</f>
        <v>0</v>
      </c>
      <c r="I49" s="2"/>
      <c r="J49" s="5">
        <f t="shared" si="5"/>
        <v>0</v>
      </c>
      <c r="K49" s="2"/>
      <c r="L49" s="2">
        <f t="shared" si="6"/>
        <v>1272.93</v>
      </c>
      <c r="M49" s="2"/>
      <c r="N49" s="5">
        <f t="shared" si="7"/>
        <v>0</v>
      </c>
      <c r="O49" s="11"/>
      <c r="P49" s="2">
        <f>SUM(OSRRefP22_2x_0)</f>
        <v>3464.52</v>
      </c>
      <c r="Q49" s="2"/>
      <c r="R49" s="5">
        <f t="shared" si="8"/>
        <v>2.2206358767104437E-3</v>
      </c>
      <c r="S49" s="2"/>
      <c r="T49" s="2">
        <f>SUM(OSRRefT22_2x_0)</f>
        <v>0</v>
      </c>
      <c r="U49" s="2"/>
      <c r="V49" s="5">
        <f t="shared" si="9"/>
        <v>0</v>
      </c>
      <c r="W49" s="2"/>
      <c r="X49" s="2">
        <f t="shared" si="10"/>
        <v>3464.52</v>
      </c>
      <c r="Y49" s="2"/>
      <c r="Z49" s="5">
        <f t="shared" si="11"/>
        <v>0</v>
      </c>
    </row>
    <row r="50" spans="1:26" s="70" customFormat="1" ht="15" hidden="1" customHeight="1" outlineLevel="2" x14ac:dyDescent="0.3">
      <c r="A50" s="21"/>
      <c r="B50" s="9" t="str">
        <f>CONCATENATE("          ","6362"," - ","ADVERTISING EXPENSE")</f>
        <v xml:space="preserve">          6362 - ADVERTISING EXPENSE</v>
      </c>
      <c r="C50" s="9"/>
      <c r="D50" s="6">
        <v>1272.93</v>
      </c>
      <c r="E50" s="3"/>
      <c r="F50" s="7">
        <f t="shared" si="4"/>
        <v>2.5123408508363122E-2</v>
      </c>
      <c r="G50" s="3"/>
      <c r="H50" s="6"/>
      <c r="I50" s="3"/>
      <c r="J50" s="7">
        <f t="shared" si="5"/>
        <v>0</v>
      </c>
      <c r="K50" s="3"/>
      <c r="L50" s="6">
        <f t="shared" si="6"/>
        <v>1272.93</v>
      </c>
      <c r="M50" s="3"/>
      <c r="N50" s="7">
        <f t="shared" si="7"/>
        <v>0</v>
      </c>
      <c r="O50" s="9"/>
      <c r="P50" s="6">
        <v>3464.52</v>
      </c>
      <c r="Q50" s="3"/>
      <c r="R50" s="7">
        <f t="shared" si="8"/>
        <v>2.2206358767104437E-3</v>
      </c>
      <c r="S50" s="3"/>
      <c r="T50" s="6"/>
      <c r="U50" s="3"/>
      <c r="V50" s="7">
        <f t="shared" si="9"/>
        <v>0</v>
      </c>
      <c r="W50" s="3"/>
      <c r="X50" s="6">
        <f t="shared" si="10"/>
        <v>3464.52</v>
      </c>
      <c r="Y50" s="3"/>
      <c r="Z50" s="7">
        <f t="shared" si="11"/>
        <v>0</v>
      </c>
    </row>
    <row r="51" spans="1:26" s="69" customFormat="1" ht="15" customHeight="1" outlineLevel="1" collapsed="1" x14ac:dyDescent="0.3">
      <c r="A51" s="20"/>
      <c r="B51" s="11" t="str">
        <f>CONCATENATE("     ","Bad Debts/Over/Short                              ")</f>
        <v xml:space="preserve">     Bad Debts/Over/Short                              </v>
      </c>
      <c r="C51" s="11"/>
      <c r="D51" s="2">
        <f>SUM(OSRRefD22_3x_0)</f>
        <v>-13.58</v>
      </c>
      <c r="E51" s="2"/>
      <c r="F51" s="5">
        <f t="shared" si="4"/>
        <v>-2.680240763777829E-4</v>
      </c>
      <c r="G51" s="2"/>
      <c r="H51" s="2">
        <f>SUM(OSRRefH22_3x_0)</f>
        <v>10</v>
      </c>
      <c r="I51" s="2"/>
      <c r="J51" s="5">
        <f t="shared" si="5"/>
        <v>1.182368520620507E-4</v>
      </c>
      <c r="K51" s="2"/>
      <c r="L51" s="2">
        <f t="shared" si="6"/>
        <v>-23.58</v>
      </c>
      <c r="M51" s="2"/>
      <c r="N51" s="5">
        <f t="shared" si="7"/>
        <v>-2.3579999999999997</v>
      </c>
      <c r="O51" s="11"/>
      <c r="P51" s="2">
        <f>SUM(OSRRefP22_3x_0)</f>
        <v>-31.79</v>
      </c>
      <c r="Q51" s="2"/>
      <c r="R51" s="5">
        <f t="shared" si="8"/>
        <v>-2.0376275651641499E-5</v>
      </c>
      <c r="S51" s="2"/>
      <c r="T51" s="2">
        <f>SUM(OSRRefT22_3x_0)</f>
        <v>80</v>
      </c>
      <c r="U51" s="2"/>
      <c r="V51" s="5">
        <f t="shared" si="9"/>
        <v>3.7441334109616997E-5</v>
      </c>
      <c r="W51" s="2"/>
      <c r="X51" s="2">
        <f t="shared" si="10"/>
        <v>-111.78999999999999</v>
      </c>
      <c r="Y51" s="2"/>
      <c r="Z51" s="5">
        <f t="shared" si="11"/>
        <v>-1.3973749999999998</v>
      </c>
    </row>
    <row r="52" spans="1:26" s="70" customFormat="1" ht="15" hidden="1" customHeight="1" outlineLevel="2" x14ac:dyDescent="0.3">
      <c r="A52" s="21"/>
      <c r="B52" s="9" t="str">
        <f>CONCATENATE("          ","6272"," - ","CASH (OVER/SHORT)")</f>
        <v xml:space="preserve">          6272 - CASH (OVER/SHORT)</v>
      </c>
      <c r="C52" s="9"/>
      <c r="D52" s="6">
        <v>-13.58</v>
      </c>
      <c r="E52" s="3"/>
      <c r="F52" s="7">
        <f t="shared" si="4"/>
        <v>-2.680240763777829E-4</v>
      </c>
      <c r="G52" s="3"/>
      <c r="H52" s="6">
        <v>10</v>
      </c>
      <c r="I52" s="3"/>
      <c r="J52" s="7">
        <f t="shared" si="5"/>
        <v>1.182368520620507E-4</v>
      </c>
      <c r="K52" s="3"/>
      <c r="L52" s="6">
        <f t="shared" si="6"/>
        <v>-23.58</v>
      </c>
      <c r="M52" s="3"/>
      <c r="N52" s="7">
        <f t="shared" si="7"/>
        <v>-2.3579999999999997</v>
      </c>
      <c r="O52" s="9"/>
      <c r="P52" s="6">
        <v>-31.79</v>
      </c>
      <c r="Q52" s="3"/>
      <c r="R52" s="7">
        <f t="shared" si="8"/>
        <v>-2.0376275651641499E-5</v>
      </c>
      <c r="S52" s="3"/>
      <c r="T52" s="6">
        <v>80</v>
      </c>
      <c r="U52" s="3"/>
      <c r="V52" s="7">
        <f t="shared" si="9"/>
        <v>3.7441334109616997E-5</v>
      </c>
      <c r="W52" s="3"/>
      <c r="X52" s="6">
        <f t="shared" si="10"/>
        <v>-111.78999999999999</v>
      </c>
      <c r="Y52" s="3"/>
      <c r="Z52" s="7">
        <f t="shared" si="11"/>
        <v>-1.3973749999999998</v>
      </c>
    </row>
    <row r="53" spans="1:26" s="69" customFormat="1" ht="15" customHeight="1" outlineLevel="1" collapsed="1" x14ac:dyDescent="0.3">
      <c r="A53" s="20"/>
      <c r="B53" s="11" t="str">
        <f>CONCATENATE("     ","Bank/card Fees                                    ")</f>
        <v xml:space="preserve">     Bank/card Fees                                    </v>
      </c>
      <c r="C53" s="11"/>
      <c r="D53" s="2">
        <f>SUM(OSRRefD22_4x_0)</f>
        <v>1527.23</v>
      </c>
      <c r="E53" s="2"/>
      <c r="F53" s="5">
        <f t="shared" si="4"/>
        <v>3.0142445520356512E-2</v>
      </c>
      <c r="G53" s="2"/>
      <c r="H53" s="2">
        <f>SUM(OSRRefH22_4x_0)</f>
        <v>4464</v>
      </c>
      <c r="I53" s="2"/>
      <c r="J53" s="5">
        <f t="shared" si="5"/>
        <v>5.2780930760499431E-2</v>
      </c>
      <c r="K53" s="2"/>
      <c r="L53" s="2">
        <f t="shared" si="6"/>
        <v>-2936.77</v>
      </c>
      <c r="M53" s="2"/>
      <c r="N53" s="5">
        <f t="shared" si="7"/>
        <v>-0.65787858422939072</v>
      </c>
      <c r="O53" s="11"/>
      <c r="P53" s="2">
        <f>SUM(OSRRefP22_4x_0)</f>
        <v>54448.74</v>
      </c>
      <c r="Q53" s="2"/>
      <c r="R53" s="5">
        <f t="shared" si="8"/>
        <v>3.4899733725214176E-2</v>
      </c>
      <c r="S53" s="2"/>
      <c r="T53" s="2">
        <f>SUM(OSRRefT22_4x_0)</f>
        <v>101453</v>
      </c>
      <c r="U53" s="2"/>
      <c r="V53" s="5">
        <f t="shared" si="9"/>
        <v>4.7481695867787159E-2</v>
      </c>
      <c r="W53" s="2"/>
      <c r="X53" s="2">
        <f t="shared" si="10"/>
        <v>-47004.26</v>
      </c>
      <c r="Y53" s="2"/>
      <c r="Z53" s="5">
        <f t="shared" si="11"/>
        <v>-0.46331069559303323</v>
      </c>
    </row>
    <row r="54" spans="1:26" s="70" customFormat="1" ht="15" hidden="1" customHeight="1" outlineLevel="2" x14ac:dyDescent="0.3">
      <c r="A54" s="21"/>
      <c r="B54" s="9" t="str">
        <f>CONCATENATE("          ","6381"," - ","BANK/CREDIT CARD FEES")</f>
        <v xml:space="preserve">          6381 - BANK/CREDIT CARD FEES</v>
      </c>
      <c r="C54" s="9"/>
      <c r="D54" s="6">
        <v>1527.23</v>
      </c>
      <c r="E54" s="3"/>
      <c r="F54" s="7">
        <f t="shared" si="4"/>
        <v>3.0142445520356512E-2</v>
      </c>
      <c r="G54" s="3"/>
      <c r="H54" s="6">
        <v>4464</v>
      </c>
      <c r="I54" s="3"/>
      <c r="J54" s="7">
        <f t="shared" si="5"/>
        <v>5.2780930760499431E-2</v>
      </c>
      <c r="K54" s="3"/>
      <c r="L54" s="6">
        <f t="shared" si="6"/>
        <v>-2936.77</v>
      </c>
      <c r="M54" s="3"/>
      <c r="N54" s="7">
        <f t="shared" si="7"/>
        <v>-0.65787858422939072</v>
      </c>
      <c r="O54" s="9"/>
      <c r="P54" s="6">
        <v>54448.74</v>
      </c>
      <c r="Q54" s="3"/>
      <c r="R54" s="7">
        <f t="shared" si="8"/>
        <v>3.4899733725214176E-2</v>
      </c>
      <c r="S54" s="3"/>
      <c r="T54" s="6">
        <v>101453</v>
      </c>
      <c r="U54" s="3"/>
      <c r="V54" s="7">
        <f t="shared" si="9"/>
        <v>4.7481695867787159E-2</v>
      </c>
      <c r="W54" s="3"/>
      <c r="X54" s="6">
        <f t="shared" si="10"/>
        <v>-47004.26</v>
      </c>
      <c r="Y54" s="3"/>
      <c r="Z54" s="7">
        <f t="shared" si="11"/>
        <v>-0.46331069559303323</v>
      </c>
    </row>
    <row r="55" spans="1:26" s="69" customFormat="1" ht="15" customHeight="1" outlineLevel="1" collapsed="1" x14ac:dyDescent="0.3">
      <c r="A55" s="20"/>
      <c r="B55" s="11" t="str">
        <f>CONCATENATE("     ","Depreciation                                      ")</f>
        <v xml:space="preserve">     Depreciation                                      </v>
      </c>
      <c r="C55" s="11"/>
      <c r="D55" s="2">
        <f>SUM(OSRRefD22_5x_0)</f>
        <v>36722.770000000004</v>
      </c>
      <c r="E55" s="2"/>
      <c r="F55" s="5">
        <f t="shared" si="4"/>
        <v>0.72478545738466538</v>
      </c>
      <c r="G55" s="2"/>
      <c r="H55" s="2">
        <f>SUM(OSRRefH22_5x_0)</f>
        <v>32208</v>
      </c>
      <c r="I55" s="2"/>
      <c r="J55" s="5">
        <f t="shared" si="5"/>
        <v>0.38081725312145287</v>
      </c>
      <c r="K55" s="2"/>
      <c r="L55" s="2">
        <f t="shared" si="6"/>
        <v>4514.7700000000041</v>
      </c>
      <c r="M55" s="2"/>
      <c r="N55" s="5">
        <f t="shared" si="7"/>
        <v>0.14017542225534041</v>
      </c>
      <c r="O55" s="11"/>
      <c r="P55" s="2">
        <f>SUM(OSRRefP22_5x_0)</f>
        <v>404075.00999999995</v>
      </c>
      <c r="Q55" s="2"/>
      <c r="R55" s="5">
        <f t="shared" si="8"/>
        <v>0.25899791719722537</v>
      </c>
      <c r="S55" s="2"/>
      <c r="T55" s="2">
        <f>SUM(OSRRefT22_5x_0)</f>
        <v>391184</v>
      </c>
      <c r="U55" s="2"/>
      <c r="V55" s="5">
        <f t="shared" si="9"/>
        <v>0.18308063552920517</v>
      </c>
      <c r="W55" s="2"/>
      <c r="X55" s="2">
        <f t="shared" si="10"/>
        <v>12891.009999999951</v>
      </c>
      <c r="Y55" s="2"/>
      <c r="Z55" s="5">
        <f t="shared" si="11"/>
        <v>3.2953827354901918E-2</v>
      </c>
    </row>
    <row r="56" spans="1:26" s="70" customFormat="1" ht="15" hidden="1" customHeight="1" outlineLevel="2" x14ac:dyDescent="0.3">
      <c r="A56" s="21"/>
      <c r="B56" s="9" t="str">
        <f>CONCATENATE("          ","6321"," - ","BUILDING DEPRECIATION")</f>
        <v xml:space="preserve">          6321 - BUILDING DEPRECIATION</v>
      </c>
      <c r="C56" s="9"/>
      <c r="D56" s="6">
        <v>23539.43</v>
      </c>
      <c r="E56" s="3"/>
      <c r="F56" s="7">
        <f t="shared" si="4"/>
        <v>0.46459013138508648</v>
      </c>
      <c r="G56" s="3"/>
      <c r="H56" s="6"/>
      <c r="I56" s="3"/>
      <c r="J56" s="7">
        <f t="shared" si="5"/>
        <v>0</v>
      </c>
      <c r="K56" s="3"/>
      <c r="L56" s="6">
        <f t="shared" si="6"/>
        <v>23539.43</v>
      </c>
      <c r="M56" s="3"/>
      <c r="N56" s="7">
        <f t="shared" si="7"/>
        <v>0</v>
      </c>
      <c r="O56" s="9"/>
      <c r="P56" s="6">
        <v>282560.96999999997</v>
      </c>
      <c r="Q56" s="3"/>
      <c r="R56" s="7">
        <f t="shared" si="8"/>
        <v>0.18111167704042794</v>
      </c>
      <c r="S56" s="3"/>
      <c r="T56" s="6"/>
      <c r="U56" s="3"/>
      <c r="V56" s="7">
        <f t="shared" si="9"/>
        <v>0</v>
      </c>
      <c r="W56" s="3"/>
      <c r="X56" s="6">
        <f t="shared" si="10"/>
        <v>282560.96999999997</v>
      </c>
      <c r="Y56" s="3"/>
      <c r="Z56" s="7">
        <f t="shared" si="11"/>
        <v>0</v>
      </c>
    </row>
    <row r="57" spans="1:26" s="70" customFormat="1" ht="15" hidden="1" customHeight="1" outlineLevel="2" x14ac:dyDescent="0.3">
      <c r="A57" s="21"/>
      <c r="B57" s="9" t="str">
        <f>CONCATENATE("          ","6322"," - ","EQUIPMENT DEPRECIATION EXPENSE")</f>
        <v xml:space="preserve">          6322 - EQUIPMENT DEPRECIATION EXPENSE</v>
      </c>
      <c r="C57" s="9"/>
      <c r="D57" s="6">
        <v>13183.34</v>
      </c>
      <c r="E57" s="3"/>
      <c r="F57" s="7">
        <f t="shared" si="4"/>
        <v>0.26019532599957884</v>
      </c>
      <c r="G57" s="3"/>
      <c r="H57" s="6">
        <v>32208</v>
      </c>
      <c r="I57" s="3"/>
      <c r="J57" s="7">
        <f t="shared" si="5"/>
        <v>0.38081725312145287</v>
      </c>
      <c r="K57" s="3"/>
      <c r="L57" s="6">
        <f t="shared" si="6"/>
        <v>-19024.66</v>
      </c>
      <c r="M57" s="3"/>
      <c r="N57" s="7">
        <f t="shared" si="7"/>
        <v>-0.59068119721808243</v>
      </c>
      <c r="O57" s="9"/>
      <c r="P57" s="6">
        <v>121514.04</v>
      </c>
      <c r="Q57" s="3"/>
      <c r="R57" s="7">
        <f t="shared" si="8"/>
        <v>7.7886240156797459E-2</v>
      </c>
      <c r="S57" s="3"/>
      <c r="T57" s="6">
        <v>391184</v>
      </c>
      <c r="U57" s="3"/>
      <c r="V57" s="7">
        <f t="shared" si="9"/>
        <v>0.18308063552920517</v>
      </c>
      <c r="W57" s="3"/>
      <c r="X57" s="6">
        <f t="shared" si="10"/>
        <v>-269669.96000000002</v>
      </c>
      <c r="Y57" s="3"/>
      <c r="Z57" s="7">
        <f t="shared" si="11"/>
        <v>-0.6893685835821507</v>
      </c>
    </row>
    <row r="58" spans="1:26" s="69" customFormat="1" ht="15" customHeight="1" outlineLevel="1" collapsed="1" x14ac:dyDescent="0.3">
      <c r="A58" s="20"/>
      <c r="B58" s="11" t="str">
        <f>CONCATENATE("     ","Employees' Appreciation                           ")</f>
        <v xml:space="preserve">     Employees' Appreciation                           </v>
      </c>
      <c r="C58" s="11"/>
      <c r="D58" s="2">
        <f>SUM(OSRRefD22_6x_0)</f>
        <v>0</v>
      </c>
      <c r="E58" s="2"/>
      <c r="F58" s="5">
        <f t="shared" ref="F58:F89" si="12">IF(D$12=0,0,D58/D$12)</f>
        <v>0</v>
      </c>
      <c r="G58" s="2"/>
      <c r="H58" s="2">
        <f>SUM(OSRRefH22_6x_0)</f>
        <v>0</v>
      </c>
      <c r="I58" s="2"/>
      <c r="J58" s="5">
        <f t="shared" ref="J58:J89" si="13">IF(H$12=0,0,H58/H$12)</f>
        <v>0</v>
      </c>
      <c r="K58" s="2"/>
      <c r="L58" s="2">
        <f t="shared" ref="L58:L89" si="14">+D58-H58</f>
        <v>0</v>
      </c>
      <c r="M58" s="2"/>
      <c r="N58" s="5">
        <f t="shared" ref="N58:N89" si="15">IF(H58=0,0,L58/H58)</f>
        <v>0</v>
      </c>
      <c r="O58" s="11"/>
      <c r="P58" s="2">
        <f>SUM(OSRRefP22_6x_0)</f>
        <v>376.32</v>
      </c>
      <c r="Q58" s="2"/>
      <c r="R58" s="5">
        <f t="shared" ref="R58:R89" si="16">IF(P$12=0,0,P58/P$12)</f>
        <v>2.4120792869536739E-4</v>
      </c>
      <c r="S58" s="2"/>
      <c r="T58" s="2">
        <f>SUM(OSRRefT22_6x_0)</f>
        <v>380</v>
      </c>
      <c r="U58" s="2"/>
      <c r="V58" s="5">
        <f t="shared" ref="V58:V89" si="17">IF(T$12=0,0,T58/T$12)</f>
        <v>1.7784633702068071E-4</v>
      </c>
      <c r="W58" s="2"/>
      <c r="X58" s="2">
        <f t="shared" ref="X58:X89" si="18">+P58-T58</f>
        <v>-3.6800000000000068</v>
      </c>
      <c r="Y58" s="2"/>
      <c r="Z58" s="5">
        <f t="shared" ref="Z58:Z89" si="19">IF(T58=0,0,X58/T58)</f>
        <v>-9.6842105263158073E-3</v>
      </c>
    </row>
    <row r="59" spans="1:26" s="70" customFormat="1" ht="15" hidden="1" customHeight="1" outlineLevel="2" x14ac:dyDescent="0.3">
      <c r="A59" s="21"/>
      <c r="B59" s="9" t="str">
        <f>CONCATENATE("          ","6277"," - ","EMPLOYEE APPRECIATION")</f>
        <v xml:space="preserve">          6277 - EMPLOYEE APPRECIATION</v>
      </c>
      <c r="C59" s="9"/>
      <c r="D59" s="6"/>
      <c r="E59" s="3"/>
      <c r="F59" s="7">
        <f t="shared" si="12"/>
        <v>0</v>
      </c>
      <c r="G59" s="3"/>
      <c r="H59" s="6"/>
      <c r="I59" s="3"/>
      <c r="J59" s="7">
        <f t="shared" si="13"/>
        <v>0</v>
      </c>
      <c r="K59" s="3"/>
      <c r="L59" s="6">
        <f t="shared" si="14"/>
        <v>0</v>
      </c>
      <c r="M59" s="3"/>
      <c r="N59" s="7">
        <f t="shared" si="15"/>
        <v>0</v>
      </c>
      <c r="O59" s="9"/>
      <c r="P59" s="6">
        <v>376.32</v>
      </c>
      <c r="Q59" s="3"/>
      <c r="R59" s="7">
        <f t="shared" si="16"/>
        <v>2.4120792869536739E-4</v>
      </c>
      <c r="S59" s="3"/>
      <c r="T59" s="6">
        <v>380</v>
      </c>
      <c r="U59" s="3"/>
      <c r="V59" s="7">
        <f t="shared" si="17"/>
        <v>1.7784633702068071E-4</v>
      </c>
      <c r="W59" s="3"/>
      <c r="X59" s="6">
        <f t="shared" si="18"/>
        <v>-3.6800000000000068</v>
      </c>
      <c r="Y59" s="3"/>
      <c r="Z59" s="7">
        <f t="shared" si="19"/>
        <v>-9.6842105263158073E-3</v>
      </c>
    </row>
    <row r="60" spans="1:26" s="69" customFormat="1" ht="15" customHeight="1" outlineLevel="1" collapsed="1" x14ac:dyDescent="0.3">
      <c r="A60" s="20"/>
      <c r="B60" s="11" t="str">
        <f>CONCATENATE("     ","Equipment Rental                                  ")</f>
        <v xml:space="preserve">     Equipment Rental                                  </v>
      </c>
      <c r="C60" s="11"/>
      <c r="D60" s="2">
        <f>SUM(OSRRefD22_7x_0)</f>
        <v>989.52</v>
      </c>
      <c r="E60" s="2"/>
      <c r="F60" s="5">
        <f t="shared" si="12"/>
        <v>1.9529836823073913E-2</v>
      </c>
      <c r="G60" s="2"/>
      <c r="H60" s="2">
        <f>SUM(OSRRefH22_7x_0)</f>
        <v>775</v>
      </c>
      <c r="I60" s="2"/>
      <c r="J60" s="5">
        <f t="shared" si="13"/>
        <v>9.1633560348089293E-3</v>
      </c>
      <c r="K60" s="2"/>
      <c r="L60" s="2">
        <f t="shared" si="14"/>
        <v>214.51999999999998</v>
      </c>
      <c r="M60" s="2"/>
      <c r="N60" s="5">
        <f t="shared" si="15"/>
        <v>0.27679999999999999</v>
      </c>
      <c r="O60" s="11"/>
      <c r="P60" s="2">
        <f>SUM(OSRRefP22_7x_0)</f>
        <v>11937.82</v>
      </c>
      <c r="Q60" s="2"/>
      <c r="R60" s="5">
        <f t="shared" si="16"/>
        <v>7.6517241585303221E-3</v>
      </c>
      <c r="S60" s="2"/>
      <c r="T60" s="2">
        <f>SUM(OSRRefT22_7x_0)</f>
        <v>9300</v>
      </c>
      <c r="U60" s="2"/>
      <c r="V60" s="5">
        <f t="shared" si="17"/>
        <v>4.3525550902429756E-3</v>
      </c>
      <c r="W60" s="2"/>
      <c r="X60" s="2">
        <f t="shared" si="18"/>
        <v>2637.8199999999997</v>
      </c>
      <c r="Y60" s="2"/>
      <c r="Z60" s="5">
        <f t="shared" si="19"/>
        <v>0.28363655913978492</v>
      </c>
    </row>
    <row r="61" spans="1:26" s="70" customFormat="1" ht="15" hidden="1" customHeight="1" outlineLevel="2" x14ac:dyDescent="0.3">
      <c r="A61" s="21"/>
      <c r="B61" s="9" t="str">
        <f>CONCATENATE("          ","6351"," - ","EQUIPMENT RENTAL")</f>
        <v xml:space="preserve">          6351 - EQUIPMENT RENTAL</v>
      </c>
      <c r="C61" s="9"/>
      <c r="D61" s="6">
        <v>989.52</v>
      </c>
      <c r="E61" s="3"/>
      <c r="F61" s="7">
        <f t="shared" si="12"/>
        <v>1.9529836823073913E-2</v>
      </c>
      <c r="G61" s="3"/>
      <c r="H61" s="6">
        <v>775</v>
      </c>
      <c r="I61" s="3"/>
      <c r="J61" s="7">
        <f t="shared" si="13"/>
        <v>9.1633560348089293E-3</v>
      </c>
      <c r="K61" s="3"/>
      <c r="L61" s="6">
        <f t="shared" si="14"/>
        <v>214.51999999999998</v>
      </c>
      <c r="M61" s="3"/>
      <c r="N61" s="7">
        <f t="shared" si="15"/>
        <v>0.27679999999999999</v>
      </c>
      <c r="O61" s="9"/>
      <c r="P61" s="6">
        <v>11937.82</v>
      </c>
      <c r="Q61" s="3"/>
      <c r="R61" s="7">
        <f t="shared" si="16"/>
        <v>7.6517241585303221E-3</v>
      </c>
      <c r="S61" s="3"/>
      <c r="T61" s="6">
        <v>9300</v>
      </c>
      <c r="U61" s="3"/>
      <c r="V61" s="7">
        <f t="shared" si="17"/>
        <v>4.3525550902429756E-3</v>
      </c>
      <c r="W61" s="3"/>
      <c r="X61" s="6">
        <f t="shared" si="18"/>
        <v>2637.8199999999997</v>
      </c>
      <c r="Y61" s="3"/>
      <c r="Z61" s="7">
        <f t="shared" si="19"/>
        <v>0.28363655913978492</v>
      </c>
    </row>
    <row r="62" spans="1:26" s="69" customFormat="1" ht="15" customHeight="1" outlineLevel="1" collapsed="1" x14ac:dyDescent="0.3">
      <c r="A62" s="20"/>
      <c r="B62" s="11" t="str">
        <f>CONCATENATE("     ","General                                           ")</f>
        <v xml:space="preserve">     General                                           </v>
      </c>
      <c r="C62" s="11"/>
      <c r="D62" s="2">
        <f>SUM(OSRRefD22_8x_0)</f>
        <v>5629.56</v>
      </c>
      <c r="E62" s="2"/>
      <c r="F62" s="5">
        <f t="shared" si="12"/>
        <v>0.11110880849877111</v>
      </c>
      <c r="G62" s="2"/>
      <c r="H62" s="2">
        <f>SUM(OSRRefH22_8x_0)</f>
        <v>0</v>
      </c>
      <c r="I62" s="2"/>
      <c r="J62" s="5">
        <f t="shared" si="13"/>
        <v>0</v>
      </c>
      <c r="K62" s="2"/>
      <c r="L62" s="2">
        <f t="shared" si="14"/>
        <v>5629.56</v>
      </c>
      <c r="M62" s="2"/>
      <c r="N62" s="5">
        <f t="shared" si="15"/>
        <v>0</v>
      </c>
      <c r="O62" s="11"/>
      <c r="P62" s="2">
        <f>SUM(OSRRefP22_8x_0)</f>
        <v>52583.64</v>
      </c>
      <c r="Q62" s="2"/>
      <c r="R62" s="5">
        <f t="shared" si="16"/>
        <v>3.3704270003355838E-2</v>
      </c>
      <c r="S62" s="2"/>
      <c r="T62" s="2">
        <f>SUM(OSRRefT22_8x_0)</f>
        <v>5690</v>
      </c>
      <c r="U62" s="2"/>
      <c r="V62" s="5">
        <f t="shared" si="17"/>
        <v>2.6630148885465085E-3</v>
      </c>
      <c r="W62" s="2"/>
      <c r="X62" s="2">
        <f t="shared" si="18"/>
        <v>46893.64</v>
      </c>
      <c r="Y62" s="2"/>
      <c r="Z62" s="5">
        <f t="shared" si="19"/>
        <v>8.2414130052724079</v>
      </c>
    </row>
    <row r="63" spans="1:26" s="70" customFormat="1" ht="15" hidden="1" customHeight="1" outlineLevel="2" x14ac:dyDescent="0.3">
      <c r="A63" s="21"/>
      <c r="B63" s="9" t="str">
        <f>CONCATENATE("          ","6269"," - ","ENTERTAINMENT")</f>
        <v xml:space="preserve">          6269 - ENTERTAINMENT</v>
      </c>
      <c r="C63" s="9"/>
      <c r="D63" s="6"/>
      <c r="E63" s="3"/>
      <c r="F63" s="7">
        <f t="shared" si="12"/>
        <v>0</v>
      </c>
      <c r="G63" s="3"/>
      <c r="H63" s="6"/>
      <c r="I63" s="3"/>
      <c r="J63" s="7">
        <f t="shared" si="13"/>
        <v>0</v>
      </c>
      <c r="K63" s="3"/>
      <c r="L63" s="6">
        <f t="shared" si="14"/>
        <v>0</v>
      </c>
      <c r="M63" s="3"/>
      <c r="N63" s="7">
        <f t="shared" si="15"/>
        <v>0</v>
      </c>
      <c r="O63" s="9"/>
      <c r="P63" s="6"/>
      <c r="Q63" s="3"/>
      <c r="R63" s="7">
        <f t="shared" si="16"/>
        <v>0</v>
      </c>
      <c r="S63" s="3"/>
      <c r="T63" s="6">
        <v>500</v>
      </c>
      <c r="U63" s="3"/>
      <c r="V63" s="7">
        <f t="shared" si="17"/>
        <v>2.3400833818510621E-4</v>
      </c>
      <c r="W63" s="3"/>
      <c r="X63" s="6">
        <f t="shared" si="18"/>
        <v>-500</v>
      </c>
      <c r="Y63" s="3"/>
      <c r="Z63" s="7">
        <f t="shared" si="19"/>
        <v>-1</v>
      </c>
    </row>
    <row r="64" spans="1:26" s="70" customFormat="1" ht="15" hidden="1" customHeight="1" outlineLevel="2" x14ac:dyDescent="0.3">
      <c r="A64" s="21"/>
      <c r="B64" s="9" t="str">
        <f>CONCATENATE("          ","6279"," - ","GENERAL EXPENSE")</f>
        <v xml:space="preserve">          6279 - GENERAL EXPENSE</v>
      </c>
      <c r="C64" s="9"/>
      <c r="D64" s="6">
        <v>5629.56</v>
      </c>
      <c r="E64" s="3"/>
      <c r="F64" s="7">
        <f t="shared" si="12"/>
        <v>0.11110880849877111</v>
      </c>
      <c r="G64" s="3"/>
      <c r="H64" s="6"/>
      <c r="I64" s="3"/>
      <c r="J64" s="7">
        <f t="shared" si="13"/>
        <v>0</v>
      </c>
      <c r="K64" s="3"/>
      <c r="L64" s="6">
        <f t="shared" si="14"/>
        <v>5629.56</v>
      </c>
      <c r="M64" s="3"/>
      <c r="N64" s="7">
        <f t="shared" si="15"/>
        <v>0</v>
      </c>
      <c r="O64" s="9"/>
      <c r="P64" s="6">
        <v>52583.64</v>
      </c>
      <c r="Q64" s="3"/>
      <c r="R64" s="7">
        <f t="shared" si="16"/>
        <v>3.3704270003355838E-2</v>
      </c>
      <c r="S64" s="3"/>
      <c r="T64" s="6">
        <v>5190</v>
      </c>
      <c r="U64" s="3"/>
      <c r="V64" s="7">
        <f t="shared" si="17"/>
        <v>2.4290065503614023E-3</v>
      </c>
      <c r="W64" s="3"/>
      <c r="X64" s="6">
        <f t="shared" si="18"/>
        <v>47393.64</v>
      </c>
      <c r="Y64" s="3"/>
      <c r="Z64" s="7">
        <f t="shared" si="19"/>
        <v>9.1317225433526019</v>
      </c>
    </row>
    <row r="65" spans="1:26" s="69" customFormat="1" ht="15" customHeight="1" outlineLevel="1" collapsed="1" x14ac:dyDescent="0.3">
      <c r="A65" s="20"/>
      <c r="B65" s="11" t="str">
        <f>CONCATENATE("     ","Insurance                                         ")</f>
        <v xml:space="preserve">     Insurance                                         </v>
      </c>
      <c r="C65" s="11"/>
      <c r="D65" s="2">
        <f>SUM(OSRRefD22_9x_0)</f>
        <v>-1771.08</v>
      </c>
      <c r="E65" s="2"/>
      <c r="F65" s="5">
        <f t="shared" si="12"/>
        <v>-3.4955234255608522E-2</v>
      </c>
      <c r="G65" s="2"/>
      <c r="H65" s="2">
        <f>SUM(OSRRefH22_9x_0)</f>
        <v>5670</v>
      </c>
      <c r="I65" s="2"/>
      <c r="J65" s="5">
        <f t="shared" si="13"/>
        <v>6.7040295119182747E-2</v>
      </c>
      <c r="K65" s="2"/>
      <c r="L65" s="2">
        <f t="shared" si="14"/>
        <v>-7441.08</v>
      </c>
      <c r="M65" s="2"/>
      <c r="N65" s="5">
        <f t="shared" si="15"/>
        <v>-1.3123597883597884</v>
      </c>
      <c r="O65" s="11"/>
      <c r="P65" s="2">
        <f>SUM(OSRRefP22_9x_0)</f>
        <v>68430.23</v>
      </c>
      <c r="Q65" s="2"/>
      <c r="R65" s="5">
        <f t="shared" si="16"/>
        <v>4.3861378716112856E-2</v>
      </c>
      <c r="S65" s="2"/>
      <c r="T65" s="2">
        <f>SUM(OSRRefT22_9x_0)</f>
        <v>68040</v>
      </c>
      <c r="U65" s="2"/>
      <c r="V65" s="5">
        <f t="shared" si="17"/>
        <v>3.1843854660229251E-2</v>
      </c>
      <c r="W65" s="2"/>
      <c r="X65" s="2">
        <f t="shared" si="18"/>
        <v>390.22999999999593</v>
      </c>
      <c r="Y65" s="2"/>
      <c r="Z65" s="5">
        <f t="shared" si="19"/>
        <v>5.735302763080481E-3</v>
      </c>
    </row>
    <row r="66" spans="1:26" s="70" customFormat="1" ht="15" hidden="1" customHeight="1" outlineLevel="2" x14ac:dyDescent="0.3">
      <c r="A66" s="21"/>
      <c r="B66" s="9" t="str">
        <f>CONCATENATE("          ","6314"," - ","LIABILITY INSURANCE")</f>
        <v xml:space="preserve">          6314 - LIABILITY INSURANCE</v>
      </c>
      <c r="C66" s="9"/>
      <c r="D66" s="6">
        <v>-1771.08</v>
      </c>
      <c r="E66" s="3"/>
      <c r="F66" s="7">
        <f t="shared" si="12"/>
        <v>-3.4955234255608522E-2</v>
      </c>
      <c r="G66" s="3"/>
      <c r="H66" s="6">
        <v>5670</v>
      </c>
      <c r="I66" s="3"/>
      <c r="J66" s="7">
        <f t="shared" si="13"/>
        <v>6.7040295119182747E-2</v>
      </c>
      <c r="K66" s="3"/>
      <c r="L66" s="6">
        <f t="shared" si="14"/>
        <v>-7441.08</v>
      </c>
      <c r="M66" s="3"/>
      <c r="N66" s="7">
        <f t="shared" si="15"/>
        <v>-1.3123597883597884</v>
      </c>
      <c r="O66" s="9"/>
      <c r="P66" s="6">
        <v>68430.23</v>
      </c>
      <c r="Q66" s="3"/>
      <c r="R66" s="7">
        <f t="shared" si="16"/>
        <v>4.3861378716112856E-2</v>
      </c>
      <c r="S66" s="3"/>
      <c r="T66" s="6">
        <v>68040</v>
      </c>
      <c r="U66" s="3"/>
      <c r="V66" s="7">
        <f t="shared" si="17"/>
        <v>3.1843854660229251E-2</v>
      </c>
      <c r="W66" s="3"/>
      <c r="X66" s="6">
        <f t="shared" si="18"/>
        <v>390.22999999999593</v>
      </c>
      <c r="Y66" s="3"/>
      <c r="Z66" s="7">
        <f t="shared" si="19"/>
        <v>5.735302763080481E-3</v>
      </c>
    </row>
    <row r="67" spans="1:26" s="69" customFormat="1" ht="15" customHeight="1" outlineLevel="1" collapsed="1" x14ac:dyDescent="0.3">
      <c r="A67" s="20"/>
      <c r="B67" s="11" t="str">
        <f>CONCATENATE("     ","Interest                                          ")</f>
        <v xml:space="preserve">     Interest                                          </v>
      </c>
      <c r="C67" s="11"/>
      <c r="D67" s="2">
        <f>SUM(OSRRefD22_10x_0)</f>
        <v>7253</v>
      </c>
      <c r="E67" s="2"/>
      <c r="F67" s="5">
        <f t="shared" si="12"/>
        <v>0.14315011973255223</v>
      </c>
      <c r="G67" s="2"/>
      <c r="H67" s="2">
        <f>SUM(OSRRefH22_10x_0)</f>
        <v>6982</v>
      </c>
      <c r="I67" s="2"/>
      <c r="J67" s="5">
        <f t="shared" si="13"/>
        <v>8.2552970109723803E-2</v>
      </c>
      <c r="K67" s="2"/>
      <c r="L67" s="2">
        <f t="shared" si="14"/>
        <v>271</v>
      </c>
      <c r="M67" s="2"/>
      <c r="N67" s="5">
        <f t="shared" si="15"/>
        <v>3.8814093382984818E-2</v>
      </c>
      <c r="O67" s="11"/>
      <c r="P67" s="2">
        <f>SUM(OSRRefP22_10x_0)</f>
        <v>84898</v>
      </c>
      <c r="Q67" s="2"/>
      <c r="R67" s="5">
        <f t="shared" si="16"/>
        <v>5.4416642034383768E-2</v>
      </c>
      <c r="S67" s="2"/>
      <c r="T67" s="2">
        <f>SUM(OSRRefT22_10x_0)</f>
        <v>86494</v>
      </c>
      <c r="U67" s="2"/>
      <c r="V67" s="5">
        <f t="shared" si="17"/>
        <v>4.0480634405965152E-2</v>
      </c>
      <c r="W67" s="2"/>
      <c r="X67" s="2">
        <f t="shared" si="18"/>
        <v>-1596</v>
      </c>
      <c r="Y67" s="2"/>
      <c r="Z67" s="5">
        <f t="shared" si="19"/>
        <v>-1.8452146969732006E-2</v>
      </c>
    </row>
    <row r="68" spans="1:26" s="70" customFormat="1" ht="15" hidden="1" customHeight="1" outlineLevel="2" x14ac:dyDescent="0.3">
      <c r="A68" s="21"/>
      <c r="B68" s="9" t="str">
        <f>CONCATENATE("          ","6401"," - ","INTEREST EXPENSE")</f>
        <v xml:space="preserve">          6401 - INTEREST EXPENSE</v>
      </c>
      <c r="C68" s="9"/>
      <c r="D68" s="6">
        <v>7253</v>
      </c>
      <c r="E68" s="3"/>
      <c r="F68" s="7">
        <f t="shared" si="12"/>
        <v>0.14315011973255223</v>
      </c>
      <c r="G68" s="3"/>
      <c r="H68" s="6">
        <v>6982</v>
      </c>
      <c r="I68" s="3"/>
      <c r="J68" s="7">
        <f t="shared" si="13"/>
        <v>8.2552970109723803E-2</v>
      </c>
      <c r="K68" s="3"/>
      <c r="L68" s="6">
        <f t="shared" si="14"/>
        <v>271</v>
      </c>
      <c r="M68" s="3"/>
      <c r="N68" s="7">
        <f t="shared" si="15"/>
        <v>3.8814093382984818E-2</v>
      </c>
      <c r="O68" s="9"/>
      <c r="P68" s="6">
        <v>84898</v>
      </c>
      <c r="Q68" s="3"/>
      <c r="R68" s="7">
        <f t="shared" si="16"/>
        <v>5.4416642034383768E-2</v>
      </c>
      <c r="S68" s="3"/>
      <c r="T68" s="6">
        <v>86494</v>
      </c>
      <c r="U68" s="3"/>
      <c r="V68" s="7">
        <f t="shared" si="17"/>
        <v>4.0480634405965152E-2</v>
      </c>
      <c r="W68" s="3"/>
      <c r="X68" s="6">
        <f t="shared" si="18"/>
        <v>-1596</v>
      </c>
      <c r="Y68" s="3"/>
      <c r="Z68" s="7">
        <f t="shared" si="19"/>
        <v>-1.8452146969732006E-2</v>
      </c>
    </row>
    <row r="69" spans="1:26" s="69" customFormat="1" ht="15" customHeight="1" outlineLevel="1" collapsed="1" x14ac:dyDescent="0.3">
      <c r="A69" s="20"/>
      <c r="B69" s="11" t="str">
        <f>CONCATENATE("     ","Professional Services                             ")</f>
        <v xml:space="preserve">     Professional Services                             </v>
      </c>
      <c r="C69" s="11"/>
      <c r="D69" s="2">
        <f>SUM(OSRRefD22_11x_0)</f>
        <v>0</v>
      </c>
      <c r="E69" s="2"/>
      <c r="F69" s="5">
        <f t="shared" si="12"/>
        <v>0</v>
      </c>
      <c r="G69" s="2"/>
      <c r="H69" s="2">
        <f>SUM(OSRRefH22_11x_0)</f>
        <v>0</v>
      </c>
      <c r="I69" s="2"/>
      <c r="J69" s="5">
        <f t="shared" si="13"/>
        <v>0</v>
      </c>
      <c r="K69" s="2"/>
      <c r="L69" s="2">
        <f t="shared" si="14"/>
        <v>0</v>
      </c>
      <c r="M69" s="2"/>
      <c r="N69" s="5">
        <f t="shared" si="15"/>
        <v>0</v>
      </c>
      <c r="O69" s="11"/>
      <c r="P69" s="2">
        <f>SUM(OSRRefP22_11x_0)</f>
        <v>511.58</v>
      </c>
      <c r="Q69" s="2"/>
      <c r="R69" s="5">
        <f t="shared" si="16"/>
        <v>3.2790484736919652E-4</v>
      </c>
      <c r="S69" s="2"/>
      <c r="T69" s="2">
        <f>SUM(OSRRefT22_11x_0)</f>
        <v>0</v>
      </c>
      <c r="U69" s="2"/>
      <c r="V69" s="5">
        <f t="shared" si="17"/>
        <v>0</v>
      </c>
      <c r="W69" s="2"/>
      <c r="X69" s="2">
        <f t="shared" si="18"/>
        <v>511.58</v>
      </c>
      <c r="Y69" s="2"/>
      <c r="Z69" s="5">
        <f t="shared" si="19"/>
        <v>0</v>
      </c>
    </row>
    <row r="70" spans="1:26" s="70" customFormat="1" ht="15" hidden="1" customHeight="1" outlineLevel="2" x14ac:dyDescent="0.3">
      <c r="A70" s="21"/>
      <c r="B70" s="9" t="str">
        <f>CONCATENATE("          ","6336"," - ","PROFESSIONAL SERVICES")</f>
        <v xml:space="preserve">          6336 - PROFESSIONAL SERVICES</v>
      </c>
      <c r="C70" s="9"/>
      <c r="D70" s="6"/>
      <c r="E70" s="3"/>
      <c r="F70" s="7">
        <f t="shared" si="12"/>
        <v>0</v>
      </c>
      <c r="G70" s="3"/>
      <c r="H70" s="6"/>
      <c r="I70" s="3"/>
      <c r="J70" s="7">
        <f t="shared" si="13"/>
        <v>0</v>
      </c>
      <c r="K70" s="3"/>
      <c r="L70" s="6">
        <f t="shared" si="14"/>
        <v>0</v>
      </c>
      <c r="M70" s="3"/>
      <c r="N70" s="7">
        <f t="shared" si="15"/>
        <v>0</v>
      </c>
      <c r="O70" s="9"/>
      <c r="P70" s="6">
        <v>511.58</v>
      </c>
      <c r="Q70" s="3"/>
      <c r="R70" s="7">
        <f t="shared" si="16"/>
        <v>3.2790484736919652E-4</v>
      </c>
      <c r="S70" s="3"/>
      <c r="T70" s="6"/>
      <c r="U70" s="3"/>
      <c r="V70" s="7">
        <f t="shared" si="17"/>
        <v>0</v>
      </c>
      <c r="W70" s="3"/>
      <c r="X70" s="6">
        <f t="shared" si="18"/>
        <v>511.58</v>
      </c>
      <c r="Y70" s="3"/>
      <c r="Z70" s="7">
        <f t="shared" si="19"/>
        <v>0</v>
      </c>
    </row>
    <row r="71" spans="1:26" s="69" customFormat="1" ht="15" customHeight="1" outlineLevel="1" collapsed="1" x14ac:dyDescent="0.3">
      <c r="A71" s="20"/>
      <c r="B71" s="11" t="str">
        <f>CONCATENATE("     ","Rent                                              ")</f>
        <v xml:space="preserve">     Rent                                              </v>
      </c>
      <c r="C71" s="11"/>
      <c r="D71" s="2">
        <f>SUM(OSRRefD22_12x_0)</f>
        <v>1850</v>
      </c>
      <c r="E71" s="2"/>
      <c r="F71" s="5">
        <f t="shared" si="12"/>
        <v>3.6512852820242886E-2</v>
      </c>
      <c r="G71" s="2"/>
      <c r="H71" s="2">
        <f>SUM(OSRRefH22_12x_0)</f>
        <v>1850</v>
      </c>
      <c r="I71" s="2"/>
      <c r="J71" s="5">
        <f t="shared" si="13"/>
        <v>2.1873817631479379E-2</v>
      </c>
      <c r="K71" s="2"/>
      <c r="L71" s="2">
        <f t="shared" si="14"/>
        <v>0</v>
      </c>
      <c r="M71" s="2"/>
      <c r="N71" s="5">
        <f t="shared" si="15"/>
        <v>0</v>
      </c>
      <c r="O71" s="11"/>
      <c r="P71" s="2">
        <f>SUM(OSRRefP22_12x_0)</f>
        <v>22200</v>
      </c>
      <c r="Q71" s="2"/>
      <c r="R71" s="5">
        <f t="shared" si="16"/>
        <v>1.4229421813980538E-2</v>
      </c>
      <c r="S71" s="2"/>
      <c r="T71" s="2">
        <f>SUM(OSRRefT22_12x_0)</f>
        <v>22200</v>
      </c>
      <c r="U71" s="2"/>
      <c r="V71" s="5">
        <f t="shared" si="17"/>
        <v>1.0389970215418716E-2</v>
      </c>
      <c r="W71" s="2"/>
      <c r="X71" s="2">
        <f t="shared" si="18"/>
        <v>0</v>
      </c>
      <c r="Y71" s="2"/>
      <c r="Z71" s="5">
        <f t="shared" si="19"/>
        <v>0</v>
      </c>
    </row>
    <row r="72" spans="1:26" s="70" customFormat="1" ht="15" hidden="1" customHeight="1" outlineLevel="2" x14ac:dyDescent="0.3">
      <c r="A72" s="21"/>
      <c r="B72" s="9" t="str">
        <f>CONCATENATE("          ","6273"," - ","RENT")</f>
        <v xml:space="preserve">          6273 - RENT</v>
      </c>
      <c r="C72" s="9"/>
      <c r="D72" s="6">
        <v>1850</v>
      </c>
      <c r="E72" s="3"/>
      <c r="F72" s="7">
        <f t="shared" si="12"/>
        <v>3.6512852820242886E-2</v>
      </c>
      <c r="G72" s="3"/>
      <c r="H72" s="6">
        <v>1850</v>
      </c>
      <c r="I72" s="3"/>
      <c r="J72" s="7">
        <f t="shared" si="13"/>
        <v>2.1873817631479379E-2</v>
      </c>
      <c r="K72" s="3"/>
      <c r="L72" s="6">
        <f t="shared" si="14"/>
        <v>0</v>
      </c>
      <c r="M72" s="3"/>
      <c r="N72" s="7">
        <f t="shared" si="15"/>
        <v>0</v>
      </c>
      <c r="O72" s="9"/>
      <c r="P72" s="6">
        <v>22200</v>
      </c>
      <c r="Q72" s="3"/>
      <c r="R72" s="7">
        <f t="shared" si="16"/>
        <v>1.4229421813980538E-2</v>
      </c>
      <c r="S72" s="3"/>
      <c r="T72" s="6">
        <v>22200</v>
      </c>
      <c r="U72" s="3"/>
      <c r="V72" s="7">
        <f t="shared" si="17"/>
        <v>1.0389970215418716E-2</v>
      </c>
      <c r="W72" s="3"/>
      <c r="X72" s="6">
        <f t="shared" si="18"/>
        <v>0</v>
      </c>
      <c r="Y72" s="3"/>
      <c r="Z72" s="7">
        <f t="shared" si="19"/>
        <v>0</v>
      </c>
    </row>
    <row r="73" spans="1:26" s="69" customFormat="1" ht="15" customHeight="1" outlineLevel="1" collapsed="1" x14ac:dyDescent="0.3">
      <c r="A73" s="20"/>
      <c r="B73" s="11" t="str">
        <f>CONCATENATE("     ","Repair and Maintenance                            ")</f>
        <v xml:space="preserve">     Repair and Maintenance                            </v>
      </c>
      <c r="C73" s="11"/>
      <c r="D73" s="2">
        <f>SUM(OSRRefD22_13x_0)</f>
        <v>38600.060000000005</v>
      </c>
      <c r="E73" s="2"/>
      <c r="F73" s="5">
        <f t="shared" si="12"/>
        <v>0.76183692412569992</v>
      </c>
      <c r="G73" s="2"/>
      <c r="H73" s="2">
        <f>SUM(OSRRefH22_13x_0)</f>
        <v>1655</v>
      </c>
      <c r="I73" s="2"/>
      <c r="J73" s="5">
        <f t="shared" si="13"/>
        <v>1.956819901626939E-2</v>
      </c>
      <c r="K73" s="2"/>
      <c r="L73" s="2">
        <f t="shared" si="14"/>
        <v>36945.060000000005</v>
      </c>
      <c r="M73" s="2"/>
      <c r="N73" s="5">
        <f t="shared" si="15"/>
        <v>22.323299093655592</v>
      </c>
      <c r="O73" s="11"/>
      <c r="P73" s="2">
        <f>SUM(OSRRefP22_13x_0)</f>
        <v>130747.35999999999</v>
      </c>
      <c r="Q73" s="2"/>
      <c r="R73" s="5">
        <f t="shared" si="16"/>
        <v>8.3804474617313787E-2</v>
      </c>
      <c r="S73" s="2"/>
      <c r="T73" s="2">
        <f>SUM(OSRRefT22_13x_0)</f>
        <v>52822</v>
      </c>
      <c r="U73" s="2"/>
      <c r="V73" s="5">
        <f t="shared" si="17"/>
        <v>2.472157687922736E-2</v>
      </c>
      <c r="W73" s="2"/>
      <c r="X73" s="2">
        <f t="shared" si="18"/>
        <v>77925.359999999986</v>
      </c>
      <c r="Y73" s="2"/>
      <c r="Z73" s="5">
        <f t="shared" si="19"/>
        <v>1.4752444057400322</v>
      </c>
    </row>
    <row r="74" spans="1:26" s="70" customFormat="1" ht="15" hidden="1" customHeight="1" outlineLevel="2" x14ac:dyDescent="0.3">
      <c r="A74" s="21"/>
      <c r="B74" s="9" t="str">
        <f>CONCATENATE("          ","6371"," - ","COMPUTER SOFTWARE MAINTENANCE")</f>
        <v xml:space="preserve">          6371 - COMPUTER SOFTWARE MAINTENANCE</v>
      </c>
      <c r="C74" s="9"/>
      <c r="D74" s="6">
        <v>30321</v>
      </c>
      <c r="E74" s="3"/>
      <c r="F74" s="7">
        <f t="shared" si="12"/>
        <v>0.59843578938518083</v>
      </c>
      <c r="G74" s="3"/>
      <c r="H74" s="6"/>
      <c r="I74" s="3"/>
      <c r="J74" s="7">
        <f t="shared" si="13"/>
        <v>0</v>
      </c>
      <c r="K74" s="3"/>
      <c r="L74" s="6">
        <f t="shared" si="14"/>
        <v>30321</v>
      </c>
      <c r="M74" s="3"/>
      <c r="N74" s="7">
        <f t="shared" si="15"/>
        <v>0</v>
      </c>
      <c r="O74" s="9"/>
      <c r="P74" s="6">
        <v>46888.06</v>
      </c>
      <c r="Q74" s="3"/>
      <c r="R74" s="7">
        <f t="shared" si="16"/>
        <v>3.005360287293821E-2</v>
      </c>
      <c r="S74" s="3"/>
      <c r="T74" s="6"/>
      <c r="U74" s="3"/>
      <c r="V74" s="7">
        <f t="shared" si="17"/>
        <v>0</v>
      </c>
      <c r="W74" s="3"/>
      <c r="X74" s="6">
        <f t="shared" si="18"/>
        <v>46888.06</v>
      </c>
      <c r="Y74" s="3"/>
      <c r="Z74" s="7">
        <f t="shared" si="19"/>
        <v>0</v>
      </c>
    </row>
    <row r="75" spans="1:26" s="70" customFormat="1" ht="15" hidden="1" customHeight="1" outlineLevel="2" x14ac:dyDescent="0.3">
      <c r="A75" s="21"/>
      <c r="B75" s="9" t="str">
        <f>CONCATENATE("          ","6372"," - ","COMPUTER HARDWARE MAINTENANCE")</f>
        <v xml:space="preserve">          6372 - COMPUTER HARDWARE MAINTENANCE</v>
      </c>
      <c r="C75" s="9"/>
      <c r="D75" s="6"/>
      <c r="E75" s="3"/>
      <c r="F75" s="7">
        <f t="shared" si="12"/>
        <v>0</v>
      </c>
      <c r="G75" s="3"/>
      <c r="H75" s="6"/>
      <c r="I75" s="3"/>
      <c r="J75" s="7">
        <f t="shared" si="13"/>
        <v>0</v>
      </c>
      <c r="K75" s="3"/>
      <c r="L75" s="6">
        <f t="shared" si="14"/>
        <v>0</v>
      </c>
      <c r="M75" s="3"/>
      <c r="N75" s="7">
        <f t="shared" si="15"/>
        <v>0</v>
      </c>
      <c r="O75" s="9"/>
      <c r="P75" s="6"/>
      <c r="Q75" s="3"/>
      <c r="R75" s="7">
        <f t="shared" si="16"/>
        <v>0</v>
      </c>
      <c r="S75" s="3"/>
      <c r="T75" s="6">
        <v>8000</v>
      </c>
      <c r="U75" s="3"/>
      <c r="V75" s="7">
        <f t="shared" si="17"/>
        <v>3.7441334109616993E-3</v>
      </c>
      <c r="W75" s="3"/>
      <c r="X75" s="6">
        <f t="shared" si="18"/>
        <v>-8000</v>
      </c>
      <c r="Y75" s="3"/>
      <c r="Z75" s="7">
        <f t="shared" si="19"/>
        <v>-1</v>
      </c>
    </row>
    <row r="76" spans="1:26" s="70" customFormat="1" ht="15" hidden="1" customHeight="1" outlineLevel="2" x14ac:dyDescent="0.3">
      <c r="A76" s="21"/>
      <c r="B76" s="9" t="str">
        <f>CONCATENATE("          ","6373"," - ","MAINTENANCE CONTRACTS")</f>
        <v xml:space="preserve">          6373 - MAINTENANCE CONTRACTS</v>
      </c>
      <c r="C76" s="9"/>
      <c r="D76" s="6">
        <v>4730.9399999999996</v>
      </c>
      <c r="E76" s="3"/>
      <c r="F76" s="7">
        <f t="shared" si="12"/>
        <v>9.3373035633189119E-2</v>
      </c>
      <c r="G76" s="3"/>
      <c r="H76" s="6"/>
      <c r="I76" s="3"/>
      <c r="J76" s="7">
        <f t="shared" si="13"/>
        <v>0</v>
      </c>
      <c r="K76" s="3"/>
      <c r="L76" s="6">
        <f t="shared" si="14"/>
        <v>4730.9399999999996</v>
      </c>
      <c r="M76" s="3"/>
      <c r="N76" s="7">
        <f t="shared" si="15"/>
        <v>0</v>
      </c>
      <c r="O76" s="9"/>
      <c r="P76" s="6">
        <v>25837.01</v>
      </c>
      <c r="Q76" s="3"/>
      <c r="R76" s="7">
        <f t="shared" si="16"/>
        <v>1.6560617734325822E-2</v>
      </c>
      <c r="S76" s="3"/>
      <c r="T76" s="6">
        <v>5645</v>
      </c>
      <c r="U76" s="3"/>
      <c r="V76" s="7">
        <f t="shared" si="17"/>
        <v>2.6419541381098493E-3</v>
      </c>
      <c r="W76" s="3"/>
      <c r="X76" s="6">
        <f t="shared" si="18"/>
        <v>20192.009999999998</v>
      </c>
      <c r="Y76" s="3"/>
      <c r="Z76" s="7">
        <f t="shared" si="19"/>
        <v>3.5769725420726304</v>
      </c>
    </row>
    <row r="77" spans="1:26" s="70" customFormat="1" ht="15" hidden="1" customHeight="1" outlineLevel="2" x14ac:dyDescent="0.3">
      <c r="A77" s="21"/>
      <c r="B77" s="9" t="str">
        <f>CONCATENATE("          ","6375"," - ","OUTSIDE REPAIRS &amp; MAINTENANCE")</f>
        <v xml:space="preserve">          6375 - OUTSIDE REPAIRS &amp; MAINTENANCE</v>
      </c>
      <c r="C77" s="9"/>
      <c r="D77" s="6">
        <v>3548.12</v>
      </c>
      <c r="E77" s="3"/>
      <c r="F77" s="7">
        <f t="shared" si="12"/>
        <v>7.0028099107329836E-2</v>
      </c>
      <c r="G77" s="3"/>
      <c r="H77" s="6">
        <v>1655</v>
      </c>
      <c r="I77" s="3"/>
      <c r="J77" s="7">
        <f t="shared" si="13"/>
        <v>1.956819901626939E-2</v>
      </c>
      <c r="K77" s="3"/>
      <c r="L77" s="6">
        <f t="shared" si="14"/>
        <v>1893.12</v>
      </c>
      <c r="M77" s="3"/>
      <c r="N77" s="7">
        <f t="shared" si="15"/>
        <v>1.1438791540785498</v>
      </c>
      <c r="O77" s="9"/>
      <c r="P77" s="6">
        <v>58022.29</v>
      </c>
      <c r="Q77" s="3"/>
      <c r="R77" s="7">
        <f t="shared" si="16"/>
        <v>3.7190254010049766E-2</v>
      </c>
      <c r="S77" s="3"/>
      <c r="T77" s="6">
        <v>39177</v>
      </c>
      <c r="U77" s="3"/>
      <c r="V77" s="7">
        <f t="shared" si="17"/>
        <v>1.8335489330155812E-2</v>
      </c>
      <c r="W77" s="3"/>
      <c r="X77" s="6">
        <f t="shared" si="18"/>
        <v>18845.29</v>
      </c>
      <c r="Y77" s="3"/>
      <c r="Z77" s="7">
        <f t="shared" si="19"/>
        <v>0.48102943053322106</v>
      </c>
    </row>
    <row r="78" spans="1:26" s="69" customFormat="1" ht="15" customHeight="1" outlineLevel="1" collapsed="1" x14ac:dyDescent="0.3">
      <c r="A78" s="20"/>
      <c r="B78" s="11" t="str">
        <f>CONCATENATE("     ","Royalty &amp; Commissions                             ")</f>
        <v xml:space="preserve">     Royalty &amp; Commissions                             </v>
      </c>
      <c r="C78" s="11"/>
      <c r="D78" s="2">
        <f>SUM(OSRRefD22_14x_0)</f>
        <v>2013.15</v>
      </c>
      <c r="E78" s="2"/>
      <c r="F78" s="5">
        <f t="shared" si="12"/>
        <v>3.9732891705444306E-2</v>
      </c>
      <c r="G78" s="2"/>
      <c r="H78" s="2">
        <f>SUM(OSRRefH22_14x_0)</f>
        <v>0</v>
      </c>
      <c r="I78" s="2"/>
      <c r="J78" s="5">
        <f t="shared" si="13"/>
        <v>0</v>
      </c>
      <c r="K78" s="2"/>
      <c r="L78" s="2">
        <f t="shared" si="14"/>
        <v>2013.15</v>
      </c>
      <c r="M78" s="2"/>
      <c r="N78" s="5">
        <f t="shared" si="15"/>
        <v>0</v>
      </c>
      <c r="O78" s="11"/>
      <c r="P78" s="2">
        <f>SUM(OSRRefP22_14x_0)</f>
        <v>8199.57</v>
      </c>
      <c r="Q78" s="2"/>
      <c r="R78" s="5">
        <f t="shared" si="16"/>
        <v>5.2556369469937119E-3</v>
      </c>
      <c r="S78" s="2"/>
      <c r="T78" s="2">
        <f>SUM(OSRRefT22_14x_0)</f>
        <v>0</v>
      </c>
      <c r="U78" s="2"/>
      <c r="V78" s="5">
        <f t="shared" si="17"/>
        <v>0</v>
      </c>
      <c r="W78" s="2"/>
      <c r="X78" s="2">
        <f t="shared" si="18"/>
        <v>8199.57</v>
      </c>
      <c r="Y78" s="2"/>
      <c r="Z78" s="5">
        <f t="shared" si="19"/>
        <v>0</v>
      </c>
    </row>
    <row r="79" spans="1:26" s="70" customFormat="1" ht="15" hidden="1" customHeight="1" outlineLevel="2" x14ac:dyDescent="0.3">
      <c r="A79" s="21"/>
      <c r="B79" s="9" t="str">
        <f>CONCATENATE("          ","6254"," - ","ROYALTY &amp; COMMISSIONS")</f>
        <v xml:space="preserve">          6254 - ROYALTY &amp; COMMISSIONS</v>
      </c>
      <c r="C79" s="9"/>
      <c r="D79" s="6">
        <v>2013.15</v>
      </c>
      <c r="E79" s="3"/>
      <c r="F79" s="7">
        <f t="shared" si="12"/>
        <v>3.9732891705444306E-2</v>
      </c>
      <c r="G79" s="3"/>
      <c r="H79" s="6"/>
      <c r="I79" s="3"/>
      <c r="J79" s="7">
        <f t="shared" si="13"/>
        <v>0</v>
      </c>
      <c r="K79" s="3"/>
      <c r="L79" s="6">
        <f t="shared" si="14"/>
        <v>2013.15</v>
      </c>
      <c r="M79" s="3"/>
      <c r="N79" s="7">
        <f t="shared" si="15"/>
        <v>0</v>
      </c>
      <c r="O79" s="9"/>
      <c r="P79" s="6">
        <v>8199.57</v>
      </c>
      <c r="Q79" s="3"/>
      <c r="R79" s="7">
        <f t="shared" si="16"/>
        <v>5.2556369469937119E-3</v>
      </c>
      <c r="S79" s="3"/>
      <c r="T79" s="6"/>
      <c r="U79" s="3"/>
      <c r="V79" s="7">
        <f t="shared" si="17"/>
        <v>0</v>
      </c>
      <c r="W79" s="3"/>
      <c r="X79" s="6">
        <f t="shared" si="18"/>
        <v>8199.57</v>
      </c>
      <c r="Y79" s="3"/>
      <c r="Z79" s="7">
        <f t="shared" si="19"/>
        <v>0</v>
      </c>
    </row>
    <row r="80" spans="1:26" s="69" customFormat="1" ht="15" customHeight="1" outlineLevel="1" collapsed="1" x14ac:dyDescent="0.3">
      <c r="A80" s="20"/>
      <c r="B80" s="11" t="str">
        <f>CONCATENATE("     ","Services                                          ")</f>
        <v xml:space="preserve">     Services                                          </v>
      </c>
      <c r="C80" s="11"/>
      <c r="D80" s="2">
        <f>SUM(OSRRefD22_15x_0)</f>
        <v>39879.530000000006</v>
      </c>
      <c r="E80" s="2"/>
      <c r="F80" s="5">
        <f t="shared" si="12"/>
        <v>0.78708941050295189</v>
      </c>
      <c r="G80" s="2"/>
      <c r="H80" s="2">
        <f>SUM(OSRRefH22_15x_0)</f>
        <v>11092</v>
      </c>
      <c r="I80" s="2"/>
      <c r="J80" s="5">
        <f t="shared" si="13"/>
        <v>0.13114831630722665</v>
      </c>
      <c r="K80" s="2"/>
      <c r="L80" s="2">
        <f t="shared" si="14"/>
        <v>28787.530000000006</v>
      </c>
      <c r="M80" s="2"/>
      <c r="N80" s="5">
        <f t="shared" si="15"/>
        <v>2.5953416877028492</v>
      </c>
      <c r="O80" s="11"/>
      <c r="P80" s="2">
        <f>SUM(OSRRefP22_15x_0)</f>
        <v>113525.86</v>
      </c>
      <c r="Q80" s="2"/>
      <c r="R80" s="5">
        <f t="shared" si="16"/>
        <v>7.2766096789860388E-2</v>
      </c>
      <c r="S80" s="2"/>
      <c r="T80" s="2">
        <f>SUM(OSRRefT22_15x_0)</f>
        <v>129247</v>
      </c>
      <c r="U80" s="2"/>
      <c r="V80" s="5">
        <f t="shared" si="17"/>
        <v>6.0489751370820848E-2</v>
      </c>
      <c r="W80" s="2"/>
      <c r="X80" s="2">
        <f t="shared" si="18"/>
        <v>-15721.14</v>
      </c>
      <c r="Y80" s="2"/>
      <c r="Z80" s="5">
        <f t="shared" si="19"/>
        <v>-0.12163640161860623</v>
      </c>
    </row>
    <row r="81" spans="1:26" s="70" customFormat="1" ht="15" hidden="1" customHeight="1" outlineLevel="2" x14ac:dyDescent="0.3">
      <c r="A81" s="21"/>
      <c r="B81" s="9" t="str">
        <f>CONCATENATE("          ","6282"," - ","JANITORIAL/EXTERMINATOR EXPENS")</f>
        <v xml:space="preserve">          6282 - JANITORIAL/EXTERMINATOR EXPENS</v>
      </c>
      <c r="C81" s="9"/>
      <c r="D81" s="6">
        <v>1605.65</v>
      </c>
      <c r="E81" s="3"/>
      <c r="F81" s="7">
        <f t="shared" si="12"/>
        <v>3.1690195746390808E-2</v>
      </c>
      <c r="G81" s="3"/>
      <c r="H81" s="6">
        <v>1128</v>
      </c>
      <c r="I81" s="3"/>
      <c r="J81" s="7">
        <f t="shared" si="13"/>
        <v>1.3337116912599319E-2</v>
      </c>
      <c r="K81" s="3"/>
      <c r="L81" s="6">
        <f t="shared" si="14"/>
        <v>477.65000000000009</v>
      </c>
      <c r="M81" s="3"/>
      <c r="N81" s="7">
        <f t="shared" si="15"/>
        <v>0.42344858156028375</v>
      </c>
      <c r="O81" s="9"/>
      <c r="P81" s="6">
        <v>13461.56</v>
      </c>
      <c r="Q81" s="3"/>
      <c r="R81" s="7">
        <f t="shared" si="16"/>
        <v>8.6283880862255777E-3</v>
      </c>
      <c r="S81" s="3"/>
      <c r="T81" s="6">
        <v>13436</v>
      </c>
      <c r="U81" s="3"/>
      <c r="V81" s="7">
        <f t="shared" si="17"/>
        <v>6.2882720637101744E-3</v>
      </c>
      <c r="W81" s="3"/>
      <c r="X81" s="6">
        <f t="shared" si="18"/>
        <v>25.559999999999491</v>
      </c>
      <c r="Y81" s="3"/>
      <c r="Z81" s="7">
        <f t="shared" si="19"/>
        <v>1.9023518904435464E-3</v>
      </c>
    </row>
    <row r="82" spans="1:26" s="70" customFormat="1" ht="15" hidden="1" customHeight="1" outlineLevel="2" x14ac:dyDescent="0.3">
      <c r="A82" s="21"/>
      <c r="B82" s="9" t="str">
        <f>CONCATENATE("          ","6283"," - ","PLANT SERVICE")</f>
        <v xml:space="preserve">          6283 - PLANT SERVICE</v>
      </c>
      <c r="C82" s="9"/>
      <c r="D82" s="6"/>
      <c r="E82" s="3"/>
      <c r="F82" s="7">
        <f t="shared" si="12"/>
        <v>0</v>
      </c>
      <c r="G82" s="3"/>
      <c r="H82" s="6">
        <v>100</v>
      </c>
      <c r="I82" s="3"/>
      <c r="J82" s="7">
        <f t="shared" si="13"/>
        <v>1.182368520620507E-3</v>
      </c>
      <c r="K82" s="3"/>
      <c r="L82" s="6">
        <f t="shared" si="14"/>
        <v>-100</v>
      </c>
      <c r="M82" s="3"/>
      <c r="N82" s="7">
        <f t="shared" si="15"/>
        <v>-1</v>
      </c>
      <c r="O82" s="9"/>
      <c r="P82" s="6"/>
      <c r="Q82" s="3"/>
      <c r="R82" s="7">
        <f t="shared" si="16"/>
        <v>0</v>
      </c>
      <c r="S82" s="3"/>
      <c r="T82" s="6">
        <v>1200</v>
      </c>
      <c r="U82" s="3"/>
      <c r="V82" s="7">
        <f t="shared" si="17"/>
        <v>5.6162001164425488E-4</v>
      </c>
      <c r="W82" s="3"/>
      <c r="X82" s="6">
        <f t="shared" si="18"/>
        <v>-1200</v>
      </c>
      <c r="Y82" s="3"/>
      <c r="Z82" s="7">
        <f t="shared" si="19"/>
        <v>-1</v>
      </c>
    </row>
    <row r="83" spans="1:26" s="70" customFormat="1" ht="15" hidden="1" customHeight="1" outlineLevel="2" x14ac:dyDescent="0.3">
      <c r="A83" s="21"/>
      <c r="B83" s="9" t="str">
        <f>CONCATENATE("          ","6284"," - ","TRASH REMOVAL EXPENSE")</f>
        <v xml:space="preserve">          6284 - TRASH REMOVAL EXPENSE</v>
      </c>
      <c r="C83" s="9"/>
      <c r="D83" s="6"/>
      <c r="E83" s="3"/>
      <c r="F83" s="7">
        <f t="shared" si="12"/>
        <v>0</v>
      </c>
      <c r="G83" s="3"/>
      <c r="H83" s="6">
        <v>1000</v>
      </c>
      <c r="I83" s="3"/>
      <c r="J83" s="7">
        <f t="shared" si="13"/>
        <v>1.1823685206205071E-2</v>
      </c>
      <c r="K83" s="3"/>
      <c r="L83" s="6">
        <f t="shared" si="14"/>
        <v>-1000</v>
      </c>
      <c r="M83" s="3"/>
      <c r="N83" s="7">
        <f t="shared" si="15"/>
        <v>-1</v>
      </c>
      <c r="O83" s="9"/>
      <c r="P83" s="6"/>
      <c r="Q83" s="3"/>
      <c r="R83" s="7">
        <f t="shared" si="16"/>
        <v>0</v>
      </c>
      <c r="S83" s="3"/>
      <c r="T83" s="6">
        <v>12000</v>
      </c>
      <c r="U83" s="3"/>
      <c r="V83" s="7">
        <f t="shared" si="17"/>
        <v>5.6162001164425492E-3</v>
      </c>
      <c r="W83" s="3"/>
      <c r="X83" s="6">
        <f t="shared" si="18"/>
        <v>-12000</v>
      </c>
      <c r="Y83" s="3"/>
      <c r="Z83" s="7">
        <f t="shared" si="19"/>
        <v>-1</v>
      </c>
    </row>
    <row r="84" spans="1:26" s="70" customFormat="1" ht="15" hidden="1" customHeight="1" outlineLevel="2" x14ac:dyDescent="0.3">
      <c r="A84" s="21"/>
      <c r="B84" s="9" t="str">
        <f>CONCATENATE("          ","6285"," - ","JANITORIAL SERVICES")</f>
        <v xml:space="preserve">          6285 - JANITORIAL SERVICES</v>
      </c>
      <c r="C84" s="9"/>
      <c r="D84" s="6">
        <v>36736.550000000003</v>
      </c>
      <c r="E84" s="3"/>
      <c r="F84" s="7">
        <f t="shared" si="12"/>
        <v>0.72505742879648316</v>
      </c>
      <c r="G84" s="3"/>
      <c r="H84" s="6">
        <v>8224</v>
      </c>
      <c r="I84" s="3"/>
      <c r="J84" s="7">
        <f t="shared" si="13"/>
        <v>9.7237987135830498E-2</v>
      </c>
      <c r="K84" s="3"/>
      <c r="L84" s="6">
        <f t="shared" si="14"/>
        <v>28512.550000000003</v>
      </c>
      <c r="M84" s="3"/>
      <c r="N84" s="7">
        <f t="shared" si="15"/>
        <v>3.4669929474708177</v>
      </c>
      <c r="O84" s="9"/>
      <c r="P84" s="6">
        <v>92031.45</v>
      </c>
      <c r="Q84" s="3"/>
      <c r="R84" s="7">
        <f t="shared" si="16"/>
        <v>5.8988933432534196E-2</v>
      </c>
      <c r="S84" s="3"/>
      <c r="T84" s="6">
        <v>95255</v>
      </c>
      <c r="U84" s="3"/>
      <c r="V84" s="7">
        <f t="shared" si="17"/>
        <v>4.4580928507644585E-2</v>
      </c>
      <c r="W84" s="3"/>
      <c r="X84" s="6">
        <f t="shared" si="18"/>
        <v>-3223.5500000000029</v>
      </c>
      <c r="Y84" s="3"/>
      <c r="Z84" s="7">
        <f t="shared" si="19"/>
        <v>-3.3841268174898985E-2</v>
      </c>
    </row>
    <row r="85" spans="1:26" s="70" customFormat="1" ht="15" hidden="1" customHeight="1" outlineLevel="2" x14ac:dyDescent="0.3">
      <c r="A85" s="21"/>
      <c r="B85" s="9" t="str">
        <f>CONCATENATE("          ","6286"," - ","LAUNDRY EXPENSE")</f>
        <v xml:space="preserve">          6286 - LAUNDRY EXPENSE</v>
      </c>
      <c r="C85" s="9"/>
      <c r="D85" s="6">
        <v>1537.33</v>
      </c>
      <c r="E85" s="3"/>
      <c r="F85" s="7">
        <f t="shared" si="12"/>
        <v>3.0341785960077833E-2</v>
      </c>
      <c r="G85" s="3"/>
      <c r="H85" s="6">
        <v>640</v>
      </c>
      <c r="I85" s="3"/>
      <c r="J85" s="7">
        <f t="shared" si="13"/>
        <v>7.5671585319712449E-3</v>
      </c>
      <c r="K85" s="3"/>
      <c r="L85" s="6">
        <f t="shared" si="14"/>
        <v>897.32999999999993</v>
      </c>
      <c r="M85" s="3"/>
      <c r="N85" s="7">
        <f t="shared" si="15"/>
        <v>1.4020781249999998</v>
      </c>
      <c r="O85" s="9"/>
      <c r="P85" s="6">
        <v>8032.85</v>
      </c>
      <c r="Q85" s="3"/>
      <c r="R85" s="7">
        <f t="shared" si="16"/>
        <v>5.1487752711006111E-3</v>
      </c>
      <c r="S85" s="3"/>
      <c r="T85" s="6">
        <v>7356</v>
      </c>
      <c r="U85" s="3"/>
      <c r="V85" s="7">
        <f t="shared" si="17"/>
        <v>3.4427306713792826E-3</v>
      </c>
      <c r="W85" s="3"/>
      <c r="X85" s="6">
        <f t="shared" si="18"/>
        <v>676.85000000000036</v>
      </c>
      <c r="Y85" s="3"/>
      <c r="Z85" s="7">
        <f t="shared" si="19"/>
        <v>9.201332245785758E-2</v>
      </c>
    </row>
    <row r="86" spans="1:26" s="69" customFormat="1" ht="15" customHeight="1" outlineLevel="1" collapsed="1" x14ac:dyDescent="0.3">
      <c r="A86" s="20"/>
      <c r="B86" s="11" t="str">
        <f>CONCATENATE("     ","Subscriptions &amp; Dues                              ")</f>
        <v xml:space="preserve">     Subscriptions &amp; Dues                              </v>
      </c>
      <c r="C86" s="11"/>
      <c r="D86" s="2">
        <f>SUM(OSRRefD22_16x_0)</f>
        <v>560.5</v>
      </c>
      <c r="E86" s="2"/>
      <c r="F86" s="5">
        <f t="shared" si="12"/>
        <v>1.1062407570673588E-2</v>
      </c>
      <c r="G86" s="2"/>
      <c r="H86" s="2">
        <f>SUM(OSRRefH22_16x_0)</f>
        <v>610</v>
      </c>
      <c r="I86" s="2"/>
      <c r="J86" s="5">
        <f t="shared" si="13"/>
        <v>7.2124479757850928E-3</v>
      </c>
      <c r="K86" s="2"/>
      <c r="L86" s="2">
        <f t="shared" si="14"/>
        <v>-49.5</v>
      </c>
      <c r="M86" s="2"/>
      <c r="N86" s="5">
        <f t="shared" si="15"/>
        <v>-8.1147540983606561E-2</v>
      </c>
      <c r="O86" s="11"/>
      <c r="P86" s="2">
        <f>SUM(OSRRefP22_16x_0)</f>
        <v>7528.4</v>
      </c>
      <c r="Q86" s="2"/>
      <c r="R86" s="5">
        <f t="shared" si="16"/>
        <v>4.825440503800499E-3</v>
      </c>
      <c r="S86" s="2"/>
      <c r="T86" s="2">
        <f>SUM(OSRRefT22_16x_0)</f>
        <v>7090</v>
      </c>
      <c r="U86" s="2"/>
      <c r="V86" s="5">
        <f t="shared" si="17"/>
        <v>3.3182382354648059E-3</v>
      </c>
      <c r="W86" s="2"/>
      <c r="X86" s="2">
        <f t="shared" si="18"/>
        <v>438.39999999999964</v>
      </c>
      <c r="Y86" s="2"/>
      <c r="Z86" s="5">
        <f t="shared" si="19"/>
        <v>6.1833568406205873E-2</v>
      </c>
    </row>
    <row r="87" spans="1:26" s="70" customFormat="1" ht="15" hidden="1" customHeight="1" outlineLevel="2" x14ac:dyDescent="0.3">
      <c r="A87" s="21"/>
      <c r="B87" s="9" t="str">
        <f>CONCATENATE("          ","6275"," - ","SUBSCRIPTIONS")</f>
        <v xml:space="preserve">          6275 - SUBSCRIPTIONS</v>
      </c>
      <c r="C87" s="9"/>
      <c r="D87" s="6">
        <v>560.5</v>
      </c>
      <c r="E87" s="3"/>
      <c r="F87" s="7">
        <f t="shared" si="12"/>
        <v>1.1062407570673588E-2</v>
      </c>
      <c r="G87" s="3"/>
      <c r="H87" s="6">
        <v>610</v>
      </c>
      <c r="I87" s="3"/>
      <c r="J87" s="7">
        <f t="shared" si="13"/>
        <v>7.2124479757850928E-3</v>
      </c>
      <c r="K87" s="3"/>
      <c r="L87" s="6">
        <f t="shared" si="14"/>
        <v>-49.5</v>
      </c>
      <c r="M87" s="3"/>
      <c r="N87" s="7">
        <f t="shared" si="15"/>
        <v>-8.1147540983606561E-2</v>
      </c>
      <c r="O87" s="9"/>
      <c r="P87" s="6">
        <v>7528.4</v>
      </c>
      <c r="Q87" s="3"/>
      <c r="R87" s="7">
        <f t="shared" si="16"/>
        <v>4.825440503800499E-3</v>
      </c>
      <c r="S87" s="3"/>
      <c r="T87" s="6">
        <v>7090</v>
      </c>
      <c r="U87" s="3"/>
      <c r="V87" s="7">
        <f t="shared" si="17"/>
        <v>3.3182382354648059E-3</v>
      </c>
      <c r="W87" s="3"/>
      <c r="X87" s="6">
        <f t="shared" si="18"/>
        <v>438.39999999999964</v>
      </c>
      <c r="Y87" s="3"/>
      <c r="Z87" s="7">
        <f t="shared" si="19"/>
        <v>6.1833568406205873E-2</v>
      </c>
    </row>
    <row r="88" spans="1:26" s="69" customFormat="1" ht="15" customHeight="1" outlineLevel="1" collapsed="1" x14ac:dyDescent="0.3">
      <c r="A88" s="20"/>
      <c r="B88" s="11" t="str">
        <f>CONCATENATE("     ","Supplies                                          ")</f>
        <v xml:space="preserve">     Supplies                                          </v>
      </c>
      <c r="C88" s="11"/>
      <c r="D88" s="2">
        <f>SUM(OSRRefD22_17x_0)</f>
        <v>2191.59</v>
      </c>
      <c r="E88" s="2"/>
      <c r="F88" s="5">
        <f t="shared" si="12"/>
        <v>4.3254704385035737E-2</v>
      </c>
      <c r="G88" s="2"/>
      <c r="H88" s="2">
        <f>SUM(OSRRefH22_17x_0)</f>
        <v>1000</v>
      </c>
      <c r="I88" s="2"/>
      <c r="J88" s="5">
        <f t="shared" si="13"/>
        <v>1.1823685206205071E-2</v>
      </c>
      <c r="K88" s="2"/>
      <c r="L88" s="2">
        <f t="shared" si="14"/>
        <v>1191.5900000000001</v>
      </c>
      <c r="M88" s="2"/>
      <c r="N88" s="5">
        <f t="shared" si="15"/>
        <v>1.1915900000000001</v>
      </c>
      <c r="O88" s="11"/>
      <c r="P88" s="2">
        <f>SUM(OSRRefP22_17x_0)</f>
        <v>38359.39</v>
      </c>
      <c r="Q88" s="2"/>
      <c r="R88" s="5">
        <f t="shared" si="16"/>
        <v>2.4587024362026436E-2</v>
      </c>
      <c r="S88" s="2"/>
      <c r="T88" s="2">
        <f>SUM(OSRRefT22_17x_0)</f>
        <v>30873</v>
      </c>
      <c r="U88" s="2"/>
      <c r="V88" s="5">
        <f t="shared" si="17"/>
        <v>1.4449078849577569E-2</v>
      </c>
      <c r="W88" s="2"/>
      <c r="X88" s="2">
        <f t="shared" si="18"/>
        <v>7486.3899999999994</v>
      </c>
      <c r="Y88" s="2"/>
      <c r="Z88" s="5">
        <f t="shared" si="19"/>
        <v>0.24248987788682666</v>
      </c>
    </row>
    <row r="89" spans="1:26" s="70" customFormat="1" ht="15" hidden="1" customHeight="1" outlineLevel="2" x14ac:dyDescent="0.3">
      <c r="A89" s="21"/>
      <c r="B89" s="9" t="str">
        <f>CONCATENATE("          ","6234"," - ","EXPENDABLE SUPPLIES &amp; EQUIPMEN")</f>
        <v xml:space="preserve">          6234 - EXPENDABLE SUPPLIES &amp; EQUIPMEN</v>
      </c>
      <c r="C89" s="9"/>
      <c r="D89" s="6"/>
      <c r="E89" s="3"/>
      <c r="F89" s="7">
        <f t="shared" si="12"/>
        <v>0</v>
      </c>
      <c r="G89" s="3"/>
      <c r="H89" s="6"/>
      <c r="I89" s="3"/>
      <c r="J89" s="7">
        <f t="shared" si="13"/>
        <v>0</v>
      </c>
      <c r="K89" s="3"/>
      <c r="L89" s="6">
        <f t="shared" si="14"/>
        <v>0</v>
      </c>
      <c r="M89" s="3"/>
      <c r="N89" s="7">
        <f t="shared" si="15"/>
        <v>0</v>
      </c>
      <c r="O89" s="9"/>
      <c r="P89" s="6">
        <v>341.84</v>
      </c>
      <c r="Q89" s="3"/>
      <c r="R89" s="7">
        <f t="shared" si="16"/>
        <v>2.1910745733743725E-4</v>
      </c>
      <c r="S89" s="3"/>
      <c r="T89" s="6"/>
      <c r="U89" s="3"/>
      <c r="V89" s="7">
        <f t="shared" si="17"/>
        <v>0</v>
      </c>
      <c r="W89" s="3"/>
      <c r="X89" s="6">
        <f t="shared" si="18"/>
        <v>341.84</v>
      </c>
      <c r="Y89" s="3"/>
      <c r="Z89" s="7">
        <f t="shared" si="19"/>
        <v>0</v>
      </c>
    </row>
    <row r="90" spans="1:26" s="70" customFormat="1" ht="15" hidden="1" customHeight="1" outlineLevel="2" x14ac:dyDescent="0.3">
      <c r="A90" s="21"/>
      <c r="B90" s="9" t="str">
        <f>CONCATENATE("          ","6235"," - ","COVID-19 EXPENSES")</f>
        <v xml:space="preserve">          6235 - COVID-19 EXPENSES</v>
      </c>
      <c r="C90" s="9"/>
      <c r="D90" s="6"/>
      <c r="E90" s="3"/>
      <c r="F90" s="7">
        <f t="shared" ref="F90:F108" si="20">IF(D$12=0,0,D90/D$12)</f>
        <v>0</v>
      </c>
      <c r="G90" s="3"/>
      <c r="H90" s="6">
        <v>225</v>
      </c>
      <c r="I90" s="3"/>
      <c r="J90" s="7">
        <f t="shared" ref="J90:J108" si="21">IF(H$12=0,0,H90/H$12)</f>
        <v>2.6603291713961407E-3</v>
      </c>
      <c r="K90" s="3"/>
      <c r="L90" s="6">
        <f t="shared" ref="L90:L108" si="22">+D90-H90</f>
        <v>-225</v>
      </c>
      <c r="M90" s="3"/>
      <c r="N90" s="7">
        <f t="shared" ref="N90:N108" si="23">IF(H90=0,0,L90/H90)</f>
        <v>-1</v>
      </c>
      <c r="O90" s="9"/>
      <c r="P90" s="6">
        <v>619.08000000000004</v>
      </c>
      <c r="Q90" s="3"/>
      <c r="R90" s="7">
        <f t="shared" ref="R90:R108" si="24">IF(P$12=0,0,P90/P$12)</f>
        <v>3.9680857912608434E-4</v>
      </c>
      <c r="S90" s="3"/>
      <c r="T90" s="6">
        <v>3225</v>
      </c>
      <c r="U90" s="3"/>
      <c r="V90" s="7">
        <f t="shared" ref="V90:V108" si="25">IF(T$12=0,0,T90/T$12)</f>
        <v>1.5093537812939351E-3</v>
      </c>
      <c r="W90" s="3"/>
      <c r="X90" s="6">
        <f t="shared" ref="X90:X108" si="26">+P90-T90</f>
        <v>-2605.92</v>
      </c>
      <c r="Y90" s="3"/>
      <c r="Z90" s="7">
        <f t="shared" ref="Z90:Z108" si="27">IF(T90=0,0,X90/T90)</f>
        <v>-0.80803720930232559</v>
      </c>
    </row>
    <row r="91" spans="1:26" s="70" customFormat="1" ht="15" hidden="1" customHeight="1" outlineLevel="2" x14ac:dyDescent="0.3">
      <c r="A91" s="21"/>
      <c r="B91" s="9" t="str">
        <f>CONCATENATE("          ","6237"," - ","JANITORIAL SUPPLIES")</f>
        <v xml:space="preserve">          6237 - JANITORIAL SUPPLIES</v>
      </c>
      <c r="C91" s="9"/>
      <c r="D91" s="6">
        <v>721.05</v>
      </c>
      <c r="E91" s="3"/>
      <c r="F91" s="7">
        <f t="shared" si="20"/>
        <v>1.4231131095154666E-2</v>
      </c>
      <c r="G91" s="3"/>
      <c r="H91" s="6">
        <v>175</v>
      </c>
      <c r="I91" s="3"/>
      <c r="J91" s="7">
        <f t="shared" si="21"/>
        <v>2.069144911085887E-3</v>
      </c>
      <c r="K91" s="3"/>
      <c r="L91" s="6">
        <f t="shared" si="22"/>
        <v>546.04999999999995</v>
      </c>
      <c r="M91" s="3"/>
      <c r="N91" s="7">
        <f t="shared" si="23"/>
        <v>3.1202857142857141</v>
      </c>
      <c r="O91" s="9"/>
      <c r="P91" s="6">
        <v>9504.7800000000007</v>
      </c>
      <c r="Q91" s="3"/>
      <c r="R91" s="7">
        <f t="shared" si="24"/>
        <v>6.0922308049137812E-3</v>
      </c>
      <c r="S91" s="3"/>
      <c r="T91" s="6">
        <v>4128</v>
      </c>
      <c r="U91" s="3"/>
      <c r="V91" s="7">
        <f t="shared" si="25"/>
        <v>1.9319728400562369E-3</v>
      </c>
      <c r="W91" s="3"/>
      <c r="X91" s="6">
        <f t="shared" si="26"/>
        <v>5376.7800000000007</v>
      </c>
      <c r="Y91" s="3"/>
      <c r="Z91" s="7">
        <f t="shared" si="27"/>
        <v>1.302514534883721</v>
      </c>
    </row>
    <row r="92" spans="1:26" s="70" customFormat="1" ht="15" hidden="1" customHeight="1" outlineLevel="2" x14ac:dyDescent="0.3">
      <c r="A92" s="21"/>
      <c r="B92" s="9" t="str">
        <f>CONCATENATE("          ","6239"," - ","KITCHEN SUPPLIES")</f>
        <v xml:space="preserve">          6239 - KITCHEN SUPPLIES</v>
      </c>
      <c r="C92" s="9"/>
      <c r="D92" s="6">
        <v>434.43</v>
      </c>
      <c r="E92" s="3"/>
      <c r="F92" s="7">
        <f t="shared" si="20"/>
        <v>8.5742046760530367E-3</v>
      </c>
      <c r="G92" s="3"/>
      <c r="H92" s="6"/>
      <c r="I92" s="3"/>
      <c r="J92" s="7">
        <f t="shared" si="21"/>
        <v>0</v>
      </c>
      <c r="K92" s="3"/>
      <c r="L92" s="6">
        <f t="shared" si="22"/>
        <v>434.43</v>
      </c>
      <c r="M92" s="3"/>
      <c r="N92" s="7">
        <f t="shared" si="23"/>
        <v>0</v>
      </c>
      <c r="O92" s="9"/>
      <c r="P92" s="6">
        <v>9860.92</v>
      </c>
      <c r="Q92" s="3"/>
      <c r="R92" s="7">
        <f t="shared" si="24"/>
        <v>6.3205040609872511E-3</v>
      </c>
      <c r="S92" s="3"/>
      <c r="T92" s="6">
        <v>5349</v>
      </c>
      <c r="U92" s="3"/>
      <c r="V92" s="7">
        <f t="shared" si="25"/>
        <v>2.5034212019042663E-3</v>
      </c>
      <c r="W92" s="3"/>
      <c r="X92" s="6">
        <f t="shared" si="26"/>
        <v>4511.92</v>
      </c>
      <c r="Y92" s="3"/>
      <c r="Z92" s="7">
        <f t="shared" si="27"/>
        <v>0.84350719760702941</v>
      </c>
    </row>
    <row r="93" spans="1:26" s="70" customFormat="1" ht="15" hidden="1" customHeight="1" outlineLevel="2" x14ac:dyDescent="0.3">
      <c r="A93" s="21"/>
      <c r="B93" s="9" t="str">
        <f>CONCATENATE("          ","6241"," - ","OFFICE EXPENSE")</f>
        <v xml:space="preserve">          6241 - OFFICE EXPENSE</v>
      </c>
      <c r="C93" s="9"/>
      <c r="D93" s="6">
        <v>96.56</v>
      </c>
      <c r="E93" s="3"/>
      <c r="F93" s="7">
        <f t="shared" si="20"/>
        <v>1.9057735504446774E-3</v>
      </c>
      <c r="G93" s="3"/>
      <c r="H93" s="6"/>
      <c r="I93" s="3"/>
      <c r="J93" s="7">
        <f t="shared" si="21"/>
        <v>0</v>
      </c>
      <c r="K93" s="3"/>
      <c r="L93" s="6">
        <f t="shared" si="22"/>
        <v>96.56</v>
      </c>
      <c r="M93" s="3"/>
      <c r="N93" s="7">
        <f t="shared" si="23"/>
        <v>0</v>
      </c>
      <c r="O93" s="9"/>
      <c r="P93" s="6">
        <v>7709.96</v>
      </c>
      <c r="Q93" s="3"/>
      <c r="R93" s="7">
        <f t="shared" si="24"/>
        <v>4.9418140995007836E-3</v>
      </c>
      <c r="S93" s="3"/>
      <c r="T93" s="6">
        <v>3227</v>
      </c>
      <c r="U93" s="3"/>
      <c r="V93" s="7">
        <f t="shared" si="25"/>
        <v>1.5102898146466756E-3</v>
      </c>
      <c r="W93" s="3"/>
      <c r="X93" s="6">
        <f t="shared" si="26"/>
        <v>4482.96</v>
      </c>
      <c r="Y93" s="3"/>
      <c r="Z93" s="7">
        <f t="shared" si="27"/>
        <v>1.3892035946699721</v>
      </c>
    </row>
    <row r="94" spans="1:26" s="70" customFormat="1" ht="15" hidden="1" customHeight="1" outlineLevel="2" x14ac:dyDescent="0.3">
      <c r="A94" s="21"/>
      <c r="B94" s="9" t="str">
        <f>CONCATENATE("          ","6243"," - ","PAPER SUPPLIES")</f>
        <v xml:space="preserve">          6243 - PAPER SUPPLIES</v>
      </c>
      <c r="C94" s="9"/>
      <c r="D94" s="6">
        <v>430.91</v>
      </c>
      <c r="E94" s="3"/>
      <c r="F94" s="7">
        <f t="shared" si="20"/>
        <v>8.5047315723085753E-3</v>
      </c>
      <c r="G94" s="3"/>
      <c r="H94" s="6">
        <v>500</v>
      </c>
      <c r="I94" s="3"/>
      <c r="J94" s="7">
        <f t="shared" si="21"/>
        <v>5.9118426031025354E-3</v>
      </c>
      <c r="K94" s="3"/>
      <c r="L94" s="6">
        <f t="shared" si="22"/>
        <v>-69.089999999999975</v>
      </c>
      <c r="M94" s="3"/>
      <c r="N94" s="7">
        <f t="shared" si="23"/>
        <v>-0.13817999999999994</v>
      </c>
      <c r="O94" s="9"/>
      <c r="P94" s="6">
        <v>3913.13</v>
      </c>
      <c r="Q94" s="3"/>
      <c r="R94" s="7">
        <f t="shared" si="24"/>
        <v>2.5081791613937687E-3</v>
      </c>
      <c r="S94" s="3"/>
      <c r="T94" s="6">
        <v>8533</v>
      </c>
      <c r="U94" s="3"/>
      <c r="V94" s="7">
        <f t="shared" si="25"/>
        <v>3.9935862994670227E-3</v>
      </c>
      <c r="W94" s="3"/>
      <c r="X94" s="6">
        <f t="shared" si="26"/>
        <v>-4619.87</v>
      </c>
      <c r="Y94" s="3"/>
      <c r="Z94" s="7">
        <f t="shared" si="27"/>
        <v>-0.54141216453767727</v>
      </c>
    </row>
    <row r="95" spans="1:26" s="70" customFormat="1" ht="15" hidden="1" customHeight="1" outlineLevel="2" x14ac:dyDescent="0.3">
      <c r="A95" s="21"/>
      <c r="B95" s="9" t="str">
        <f>CONCATENATE("          ","6244"," - ","SAFETY SUPPLY EXPENSE")</f>
        <v xml:space="preserve">          6244 - SAFETY SUPPLY EXPENSE</v>
      </c>
      <c r="C95" s="9"/>
      <c r="D95" s="6"/>
      <c r="E95" s="3"/>
      <c r="F95" s="7">
        <f t="shared" si="20"/>
        <v>0</v>
      </c>
      <c r="G95" s="3"/>
      <c r="H95" s="6"/>
      <c r="I95" s="3"/>
      <c r="J95" s="7">
        <f t="shared" si="21"/>
        <v>0</v>
      </c>
      <c r="K95" s="3"/>
      <c r="L95" s="6">
        <f t="shared" si="22"/>
        <v>0</v>
      </c>
      <c r="M95" s="3"/>
      <c r="N95" s="7">
        <f t="shared" si="23"/>
        <v>0</v>
      </c>
      <c r="O95" s="9"/>
      <c r="P95" s="6"/>
      <c r="Q95" s="3"/>
      <c r="R95" s="7">
        <f t="shared" si="24"/>
        <v>0</v>
      </c>
      <c r="S95" s="3"/>
      <c r="T95" s="6">
        <v>150</v>
      </c>
      <c r="U95" s="3"/>
      <c r="V95" s="7">
        <f t="shared" si="25"/>
        <v>7.0202501455531859E-5</v>
      </c>
      <c r="W95" s="3"/>
      <c r="X95" s="6">
        <f t="shared" si="26"/>
        <v>-150</v>
      </c>
      <c r="Y95" s="3"/>
      <c r="Z95" s="7">
        <f t="shared" si="27"/>
        <v>-1</v>
      </c>
    </row>
    <row r="96" spans="1:26" s="70" customFormat="1" ht="15" hidden="1" customHeight="1" outlineLevel="2" x14ac:dyDescent="0.3">
      <c r="A96" s="21"/>
      <c r="B96" s="9" t="str">
        <f>CONCATENATE("          ","6245"," - ","PRINTING")</f>
        <v xml:space="preserve">          6245 - PRINTING</v>
      </c>
      <c r="C96" s="9"/>
      <c r="D96" s="6">
        <v>598.64</v>
      </c>
      <c r="E96" s="3"/>
      <c r="F96" s="7">
        <f t="shared" si="20"/>
        <v>1.1815164439086595E-2</v>
      </c>
      <c r="G96" s="3"/>
      <c r="H96" s="6">
        <v>100</v>
      </c>
      <c r="I96" s="3"/>
      <c r="J96" s="7">
        <f t="shared" si="21"/>
        <v>1.182368520620507E-3</v>
      </c>
      <c r="K96" s="3"/>
      <c r="L96" s="6">
        <f t="shared" si="22"/>
        <v>498.64</v>
      </c>
      <c r="M96" s="3"/>
      <c r="N96" s="7">
        <f t="shared" si="23"/>
        <v>4.9863999999999997</v>
      </c>
      <c r="O96" s="9"/>
      <c r="P96" s="6">
        <v>1669.64</v>
      </c>
      <c r="Q96" s="3"/>
      <c r="R96" s="7">
        <f t="shared" si="24"/>
        <v>1.0701807134006517E-3</v>
      </c>
      <c r="S96" s="3"/>
      <c r="T96" s="6">
        <v>2000</v>
      </c>
      <c r="U96" s="3"/>
      <c r="V96" s="7">
        <f t="shared" si="25"/>
        <v>9.3603335274042483E-4</v>
      </c>
      <c r="W96" s="3"/>
      <c r="X96" s="6">
        <f t="shared" si="26"/>
        <v>-330.3599999999999</v>
      </c>
      <c r="Y96" s="3"/>
      <c r="Z96" s="7">
        <f t="shared" si="27"/>
        <v>-0.16517999999999994</v>
      </c>
    </row>
    <row r="97" spans="1:26" s="70" customFormat="1" ht="15" hidden="1" customHeight="1" outlineLevel="2" x14ac:dyDescent="0.3">
      <c r="A97" s="21"/>
      <c r="B97" s="9" t="str">
        <f>CONCATENATE("          ","6247"," - ","STORE SUPPLIES")</f>
        <v xml:space="preserve">          6247 - STORE SUPPLIES</v>
      </c>
      <c r="C97" s="9"/>
      <c r="D97" s="6">
        <v>-90</v>
      </c>
      <c r="E97" s="3"/>
      <c r="F97" s="7">
        <f t="shared" si="20"/>
        <v>-1.7763009480118162E-3</v>
      </c>
      <c r="G97" s="3"/>
      <c r="H97" s="6"/>
      <c r="I97" s="3"/>
      <c r="J97" s="7">
        <f t="shared" si="21"/>
        <v>0</v>
      </c>
      <c r="K97" s="3"/>
      <c r="L97" s="6">
        <f t="shared" si="22"/>
        <v>-90</v>
      </c>
      <c r="M97" s="3"/>
      <c r="N97" s="7">
        <f t="shared" si="23"/>
        <v>0</v>
      </c>
      <c r="O97" s="9"/>
      <c r="P97" s="6">
        <v>1751.59</v>
      </c>
      <c r="Q97" s="3"/>
      <c r="R97" s="7">
        <f t="shared" si="24"/>
        <v>1.1227077907725301E-3</v>
      </c>
      <c r="S97" s="3"/>
      <c r="T97" s="6">
        <v>411</v>
      </c>
      <c r="U97" s="3"/>
      <c r="V97" s="7">
        <f t="shared" si="25"/>
        <v>1.9235485398815731E-4</v>
      </c>
      <c r="W97" s="3"/>
      <c r="X97" s="6">
        <f t="shared" si="26"/>
        <v>1340.59</v>
      </c>
      <c r="Y97" s="3"/>
      <c r="Z97" s="7">
        <f t="shared" si="27"/>
        <v>3.2617761557177611</v>
      </c>
    </row>
    <row r="98" spans="1:26" s="70" customFormat="1" ht="15" hidden="1" customHeight="1" outlineLevel="2" x14ac:dyDescent="0.3">
      <c r="A98" s="21"/>
      <c r="B98" s="9" t="str">
        <f>CONCATENATE("          ","6248"," - ","UNIFORMS")</f>
        <v xml:space="preserve">          6248 - UNIFORMS</v>
      </c>
      <c r="C98" s="9"/>
      <c r="D98" s="6"/>
      <c r="E98" s="3"/>
      <c r="F98" s="7">
        <f t="shared" si="20"/>
        <v>0</v>
      </c>
      <c r="G98" s="3"/>
      <c r="H98" s="6"/>
      <c r="I98" s="3"/>
      <c r="J98" s="7">
        <f t="shared" si="21"/>
        <v>0</v>
      </c>
      <c r="K98" s="3"/>
      <c r="L98" s="6">
        <f t="shared" si="22"/>
        <v>0</v>
      </c>
      <c r="M98" s="3"/>
      <c r="N98" s="7">
        <f t="shared" si="23"/>
        <v>0</v>
      </c>
      <c r="O98" s="9"/>
      <c r="P98" s="6">
        <v>2988.45</v>
      </c>
      <c r="Q98" s="3"/>
      <c r="R98" s="7">
        <f t="shared" si="24"/>
        <v>1.9154916945941503E-3</v>
      </c>
      <c r="S98" s="3"/>
      <c r="T98" s="6">
        <v>3850</v>
      </c>
      <c r="U98" s="3"/>
      <c r="V98" s="7">
        <f t="shared" si="25"/>
        <v>1.8018642040253179E-3</v>
      </c>
      <c r="W98" s="3"/>
      <c r="X98" s="6">
        <f t="shared" si="26"/>
        <v>-861.55000000000018</v>
      </c>
      <c r="Y98" s="3"/>
      <c r="Z98" s="7">
        <f t="shared" si="27"/>
        <v>-0.22377922077922083</v>
      </c>
    </row>
    <row r="99" spans="1:26" s="69" customFormat="1" ht="15" customHeight="1" outlineLevel="1" collapsed="1" x14ac:dyDescent="0.3">
      <c r="A99" s="20"/>
      <c r="B99" s="11" t="str">
        <f>CONCATENATE("     ","Telephone/Data Lines                              ")</f>
        <v xml:space="preserve">     Telephone/Data Lines                              </v>
      </c>
      <c r="C99" s="11"/>
      <c r="D99" s="2">
        <f>SUM(OSRRefD22_18x_0)</f>
        <v>287.35000000000002</v>
      </c>
      <c r="E99" s="2"/>
      <c r="F99" s="5">
        <f t="shared" si="20"/>
        <v>5.6713341934577265E-3</v>
      </c>
      <c r="G99" s="2"/>
      <c r="H99" s="2">
        <f>SUM(OSRRefH22_18x_0)</f>
        <v>360</v>
      </c>
      <c r="I99" s="2"/>
      <c r="J99" s="5">
        <f t="shared" si="21"/>
        <v>4.2565266742338251E-3</v>
      </c>
      <c r="K99" s="2"/>
      <c r="L99" s="2">
        <f t="shared" si="22"/>
        <v>-72.649999999999977</v>
      </c>
      <c r="M99" s="2"/>
      <c r="N99" s="5">
        <f t="shared" si="23"/>
        <v>-0.20180555555555549</v>
      </c>
      <c r="O99" s="11"/>
      <c r="P99" s="2">
        <f>SUM(OSRRefP22_18x_0)</f>
        <v>7875.74</v>
      </c>
      <c r="Q99" s="2"/>
      <c r="R99" s="5">
        <f t="shared" si="24"/>
        <v>5.0480732683441023E-3</v>
      </c>
      <c r="S99" s="2"/>
      <c r="T99" s="2">
        <f>SUM(OSRRefT22_18x_0)</f>
        <v>4920</v>
      </c>
      <c r="U99" s="2"/>
      <c r="V99" s="5">
        <f t="shared" si="25"/>
        <v>2.3026420477414451E-3</v>
      </c>
      <c r="W99" s="2"/>
      <c r="X99" s="2">
        <f t="shared" si="26"/>
        <v>2955.74</v>
      </c>
      <c r="Y99" s="2"/>
      <c r="Z99" s="5">
        <f t="shared" si="27"/>
        <v>0.60076016260162601</v>
      </c>
    </row>
    <row r="100" spans="1:26" s="70" customFormat="1" ht="15" hidden="1" customHeight="1" outlineLevel="2" x14ac:dyDescent="0.3">
      <c r="A100" s="21"/>
      <c r="B100" s="9" t="str">
        <f>CONCATENATE("          ","6303"," - ","DATA PHONE LINES")</f>
        <v xml:space="preserve">          6303 - DATA PHONE LINES</v>
      </c>
      <c r="C100" s="9"/>
      <c r="D100" s="6"/>
      <c r="E100" s="3"/>
      <c r="F100" s="7">
        <f t="shared" si="20"/>
        <v>0</v>
      </c>
      <c r="G100" s="3"/>
      <c r="H100" s="6">
        <v>135</v>
      </c>
      <c r="I100" s="3"/>
      <c r="J100" s="7">
        <f t="shared" si="21"/>
        <v>1.5961975028376844E-3</v>
      </c>
      <c r="K100" s="3"/>
      <c r="L100" s="6">
        <f t="shared" si="22"/>
        <v>-135</v>
      </c>
      <c r="M100" s="3"/>
      <c r="N100" s="7">
        <f t="shared" si="23"/>
        <v>-1</v>
      </c>
      <c r="O100" s="9"/>
      <c r="P100" s="6"/>
      <c r="Q100" s="3"/>
      <c r="R100" s="7">
        <f t="shared" si="24"/>
        <v>0</v>
      </c>
      <c r="S100" s="3"/>
      <c r="T100" s="6">
        <v>1620</v>
      </c>
      <c r="U100" s="3"/>
      <c r="V100" s="7">
        <f t="shared" si="25"/>
        <v>7.5818701571974409E-4</v>
      </c>
      <c r="W100" s="3"/>
      <c r="X100" s="6">
        <f t="shared" si="26"/>
        <v>-1620</v>
      </c>
      <c r="Y100" s="3"/>
      <c r="Z100" s="7">
        <f t="shared" si="27"/>
        <v>-1</v>
      </c>
    </row>
    <row r="101" spans="1:26" s="70" customFormat="1" ht="15" hidden="1" customHeight="1" outlineLevel="2" x14ac:dyDescent="0.3">
      <c r="A101" s="21"/>
      <c r="B101" s="9" t="str">
        <f>CONCATENATE("          ","6309"," - ","TELEPHONE")</f>
        <v xml:space="preserve">          6309 - TELEPHONE</v>
      </c>
      <c r="C101" s="9"/>
      <c r="D101" s="6">
        <v>287.35000000000002</v>
      </c>
      <c r="E101" s="3"/>
      <c r="F101" s="7">
        <f t="shared" si="20"/>
        <v>5.6713341934577265E-3</v>
      </c>
      <c r="G101" s="3"/>
      <c r="H101" s="6">
        <v>225</v>
      </c>
      <c r="I101" s="3"/>
      <c r="J101" s="7">
        <f t="shared" si="21"/>
        <v>2.6603291713961407E-3</v>
      </c>
      <c r="K101" s="3"/>
      <c r="L101" s="6">
        <f t="shared" si="22"/>
        <v>62.350000000000023</v>
      </c>
      <c r="M101" s="3"/>
      <c r="N101" s="7">
        <f t="shared" si="23"/>
        <v>0.2771111111111112</v>
      </c>
      <c r="O101" s="9"/>
      <c r="P101" s="6">
        <v>7875.74</v>
      </c>
      <c r="Q101" s="3"/>
      <c r="R101" s="7">
        <f t="shared" si="24"/>
        <v>5.0480732683441023E-3</v>
      </c>
      <c r="S101" s="3"/>
      <c r="T101" s="6">
        <v>3300</v>
      </c>
      <c r="U101" s="3"/>
      <c r="V101" s="7">
        <f t="shared" si="25"/>
        <v>1.544455032021701E-3</v>
      </c>
      <c r="W101" s="3"/>
      <c r="X101" s="6">
        <f t="shared" si="26"/>
        <v>4575.74</v>
      </c>
      <c r="Y101" s="3"/>
      <c r="Z101" s="7">
        <f t="shared" si="27"/>
        <v>1.3865878787878787</v>
      </c>
    </row>
    <row r="102" spans="1:26" s="69" customFormat="1" ht="15" customHeight="1" outlineLevel="1" collapsed="1" x14ac:dyDescent="0.3">
      <c r="A102" s="20"/>
      <c r="B102" s="11" t="str">
        <f>CONCATENATE("     ","Training                                          ")</f>
        <v xml:space="preserve">     Training                                          </v>
      </c>
      <c r="C102" s="11"/>
      <c r="D102" s="2">
        <f>SUM(OSRRefD22_19x_0)</f>
        <v>14.95</v>
      </c>
      <c r="E102" s="2"/>
      <c r="F102" s="5">
        <f t="shared" si="20"/>
        <v>2.9506332414196276E-4</v>
      </c>
      <c r="G102" s="2"/>
      <c r="H102" s="2">
        <f>SUM(OSRRefH22_19x_0)</f>
        <v>0</v>
      </c>
      <c r="I102" s="2"/>
      <c r="J102" s="5">
        <f t="shared" si="21"/>
        <v>0</v>
      </c>
      <c r="K102" s="2"/>
      <c r="L102" s="2">
        <f t="shared" si="22"/>
        <v>14.95</v>
      </c>
      <c r="M102" s="2"/>
      <c r="N102" s="5">
        <f t="shared" si="23"/>
        <v>0</v>
      </c>
      <c r="O102" s="11"/>
      <c r="P102" s="2">
        <f>SUM(OSRRefP22_19x_0)</f>
        <v>510.9</v>
      </c>
      <c r="Q102" s="2"/>
      <c r="R102" s="5">
        <f t="shared" si="24"/>
        <v>3.2746899120552508E-4</v>
      </c>
      <c r="S102" s="2"/>
      <c r="T102" s="2">
        <f>SUM(OSRRefT22_19x_0)</f>
        <v>5160</v>
      </c>
      <c r="U102" s="2"/>
      <c r="V102" s="5">
        <f t="shared" si="25"/>
        <v>2.4149660500702962E-3</v>
      </c>
      <c r="W102" s="2"/>
      <c r="X102" s="2">
        <f t="shared" si="26"/>
        <v>-4649.1000000000004</v>
      </c>
      <c r="Y102" s="2"/>
      <c r="Z102" s="5">
        <f t="shared" si="27"/>
        <v>-0.90098837209302329</v>
      </c>
    </row>
    <row r="103" spans="1:26" s="70" customFormat="1" ht="15" hidden="1" customHeight="1" outlineLevel="2" x14ac:dyDescent="0.3">
      <c r="A103" s="21"/>
      <c r="B103" s="9" t="str">
        <f>CONCATENATE("          ","6376"," - ","TRAINING")</f>
        <v xml:space="preserve">          6376 - TRAINING</v>
      </c>
      <c r="C103" s="9"/>
      <c r="D103" s="6">
        <v>14.95</v>
      </c>
      <c r="E103" s="3"/>
      <c r="F103" s="7">
        <f t="shared" si="20"/>
        <v>2.9506332414196276E-4</v>
      </c>
      <c r="G103" s="3"/>
      <c r="H103" s="6"/>
      <c r="I103" s="3"/>
      <c r="J103" s="7">
        <f t="shared" si="21"/>
        <v>0</v>
      </c>
      <c r="K103" s="3"/>
      <c r="L103" s="6">
        <f t="shared" si="22"/>
        <v>14.95</v>
      </c>
      <c r="M103" s="3"/>
      <c r="N103" s="7">
        <f t="shared" si="23"/>
        <v>0</v>
      </c>
      <c r="O103" s="9"/>
      <c r="P103" s="6">
        <v>510.9</v>
      </c>
      <c r="Q103" s="3"/>
      <c r="R103" s="7">
        <f t="shared" si="24"/>
        <v>3.2746899120552508E-4</v>
      </c>
      <c r="S103" s="3"/>
      <c r="T103" s="6">
        <v>5160</v>
      </c>
      <c r="U103" s="3"/>
      <c r="V103" s="7">
        <f t="shared" si="25"/>
        <v>2.4149660500702962E-3</v>
      </c>
      <c r="W103" s="3"/>
      <c r="X103" s="6">
        <f t="shared" si="26"/>
        <v>-4649.1000000000004</v>
      </c>
      <c r="Y103" s="3"/>
      <c r="Z103" s="7">
        <f t="shared" si="27"/>
        <v>-0.90098837209302329</v>
      </c>
    </row>
    <row r="104" spans="1:26" s="69" customFormat="1" ht="15" customHeight="1" outlineLevel="1" collapsed="1" x14ac:dyDescent="0.3">
      <c r="A104" s="20"/>
      <c r="B104" s="11" t="str">
        <f>CONCATENATE("     ","Travel                                            ")</f>
        <v xml:space="preserve">     Travel                                            </v>
      </c>
      <c r="C104" s="11"/>
      <c r="D104" s="2">
        <f>SUM(OSRRefD22_20x_0)</f>
        <v>0</v>
      </c>
      <c r="E104" s="2"/>
      <c r="F104" s="5">
        <f t="shared" si="20"/>
        <v>0</v>
      </c>
      <c r="G104" s="2"/>
      <c r="H104" s="2">
        <f>SUM(OSRRefH22_20x_0)</f>
        <v>0</v>
      </c>
      <c r="I104" s="2"/>
      <c r="J104" s="5">
        <f t="shared" si="21"/>
        <v>0</v>
      </c>
      <c r="K104" s="2"/>
      <c r="L104" s="2">
        <f t="shared" si="22"/>
        <v>0</v>
      </c>
      <c r="M104" s="2"/>
      <c r="N104" s="5">
        <f t="shared" si="23"/>
        <v>0</v>
      </c>
      <c r="O104" s="11"/>
      <c r="P104" s="2">
        <f>SUM(OSRRefP22_20x_0)</f>
        <v>141.24</v>
      </c>
      <c r="Q104" s="2"/>
      <c r="R104" s="5">
        <f t="shared" si="24"/>
        <v>9.0529889054351867E-5</v>
      </c>
      <c r="S104" s="2"/>
      <c r="T104" s="2">
        <f>SUM(OSRRefT22_20x_0)</f>
        <v>1200</v>
      </c>
      <c r="U104" s="2"/>
      <c r="V104" s="5">
        <f t="shared" si="25"/>
        <v>5.6162001164425488E-4</v>
      </c>
      <c r="W104" s="2"/>
      <c r="X104" s="2">
        <f t="shared" si="26"/>
        <v>-1058.76</v>
      </c>
      <c r="Y104" s="2"/>
      <c r="Z104" s="5">
        <f t="shared" si="27"/>
        <v>-0.88229999999999997</v>
      </c>
    </row>
    <row r="105" spans="1:26" s="70" customFormat="1" ht="15" hidden="1" customHeight="1" outlineLevel="2" x14ac:dyDescent="0.3">
      <c r="A105" s="21"/>
      <c r="B105" s="9" t="str">
        <f>CONCATENATE("          ","6292"," - ","TRAVEL/CONFERENCE")</f>
        <v xml:space="preserve">          6292 - TRAVEL/CONFERENCE</v>
      </c>
      <c r="C105" s="9"/>
      <c r="D105" s="6"/>
      <c r="E105" s="3"/>
      <c r="F105" s="7">
        <f t="shared" si="20"/>
        <v>0</v>
      </c>
      <c r="G105" s="3"/>
      <c r="H105" s="6"/>
      <c r="I105" s="3"/>
      <c r="J105" s="7">
        <f t="shared" si="21"/>
        <v>0</v>
      </c>
      <c r="K105" s="3"/>
      <c r="L105" s="6">
        <f t="shared" si="22"/>
        <v>0</v>
      </c>
      <c r="M105" s="3"/>
      <c r="N105" s="7">
        <f t="shared" si="23"/>
        <v>0</v>
      </c>
      <c r="O105" s="9"/>
      <c r="P105" s="6">
        <v>18.59</v>
      </c>
      <c r="Q105" s="3"/>
      <c r="R105" s="7">
        <f t="shared" si="24"/>
        <v>1.1915538356842262E-5</v>
      </c>
      <c r="S105" s="3"/>
      <c r="T105" s="6">
        <v>1200</v>
      </c>
      <c r="U105" s="3"/>
      <c r="V105" s="7">
        <f t="shared" si="25"/>
        <v>5.6162001164425488E-4</v>
      </c>
      <c r="W105" s="3"/>
      <c r="X105" s="6">
        <f t="shared" si="26"/>
        <v>-1181.4100000000001</v>
      </c>
      <c r="Y105" s="3"/>
      <c r="Z105" s="7">
        <f t="shared" si="27"/>
        <v>-0.98450833333333343</v>
      </c>
    </row>
    <row r="106" spans="1:26" s="70" customFormat="1" ht="15" hidden="1" customHeight="1" outlineLevel="2" x14ac:dyDescent="0.3">
      <c r="A106" s="21"/>
      <c r="B106" s="9" t="str">
        <f>CONCATENATE("          ","6298"," - ","VEHICLE MILEAGE")</f>
        <v xml:space="preserve">          6298 - VEHICLE MILEAGE</v>
      </c>
      <c r="C106" s="9"/>
      <c r="D106" s="6"/>
      <c r="E106" s="3"/>
      <c r="F106" s="7">
        <f t="shared" si="20"/>
        <v>0</v>
      </c>
      <c r="G106" s="3"/>
      <c r="H106" s="6"/>
      <c r="I106" s="3"/>
      <c r="J106" s="7">
        <f t="shared" si="21"/>
        <v>0</v>
      </c>
      <c r="K106" s="3"/>
      <c r="L106" s="6">
        <f t="shared" si="22"/>
        <v>0</v>
      </c>
      <c r="M106" s="3"/>
      <c r="N106" s="7">
        <f t="shared" si="23"/>
        <v>0</v>
      </c>
      <c r="O106" s="9"/>
      <c r="P106" s="6">
        <v>122.65</v>
      </c>
      <c r="Q106" s="3"/>
      <c r="R106" s="7">
        <f t="shared" si="24"/>
        <v>7.8614350697509596E-5</v>
      </c>
      <c r="S106" s="3"/>
      <c r="T106" s="6"/>
      <c r="U106" s="3"/>
      <c r="V106" s="7">
        <f t="shared" si="25"/>
        <v>0</v>
      </c>
      <c r="W106" s="3"/>
      <c r="X106" s="6">
        <f t="shared" si="26"/>
        <v>122.65</v>
      </c>
      <c r="Y106" s="3"/>
      <c r="Z106" s="7">
        <f t="shared" si="27"/>
        <v>0</v>
      </c>
    </row>
    <row r="107" spans="1:26" s="69" customFormat="1" ht="15" customHeight="1" outlineLevel="1" collapsed="1" x14ac:dyDescent="0.3">
      <c r="A107" s="20"/>
      <c r="B107" s="11" t="str">
        <f>CONCATENATE("     ","Utilities                                         ")</f>
        <v xml:space="preserve">     Utilities                                         </v>
      </c>
      <c r="C107" s="11"/>
      <c r="D107" s="2">
        <f>SUM(OSRRefD22_21x_0)</f>
        <v>13976.85</v>
      </c>
      <c r="E107" s="2"/>
      <c r="F107" s="5">
        <f t="shared" si="20"/>
        <v>0.27585657672465502</v>
      </c>
      <c r="G107" s="2"/>
      <c r="H107" s="2">
        <f>SUM(OSRRefH22_21x_0)</f>
        <v>8663</v>
      </c>
      <c r="I107" s="2"/>
      <c r="J107" s="5">
        <f t="shared" si="21"/>
        <v>0.10242858494135453</v>
      </c>
      <c r="K107" s="2"/>
      <c r="L107" s="2">
        <f t="shared" si="22"/>
        <v>5313.85</v>
      </c>
      <c r="M107" s="2"/>
      <c r="N107" s="5">
        <f t="shared" si="23"/>
        <v>0.61339605217592064</v>
      </c>
      <c r="O107" s="11"/>
      <c r="P107" s="2">
        <f>SUM(OSRRefP22_21x_0)</f>
        <v>122238.53</v>
      </c>
      <c r="Q107" s="2"/>
      <c r="R107" s="5">
        <f t="shared" si="24"/>
        <v>7.8350612850942095E-2</v>
      </c>
      <c r="S107" s="2"/>
      <c r="T107" s="2">
        <f>SUM(OSRRefT22_21x_0)</f>
        <v>104000</v>
      </c>
      <c r="U107" s="2"/>
      <c r="V107" s="5">
        <f t="shared" si="25"/>
        <v>4.8673734342502092E-2</v>
      </c>
      <c r="W107" s="2"/>
      <c r="X107" s="2">
        <f t="shared" si="26"/>
        <v>18238.53</v>
      </c>
      <c r="Y107" s="2"/>
      <c r="Z107" s="5">
        <f t="shared" si="27"/>
        <v>0.17537048076923076</v>
      </c>
    </row>
    <row r="108" spans="1:26" s="70" customFormat="1" ht="15" hidden="1" customHeight="1" outlineLevel="2" x14ac:dyDescent="0.3">
      <c r="A108" s="21"/>
      <c r="B108" s="9" t="str">
        <f>CONCATENATE("          ","6274"," - ","UTILITIES")</f>
        <v xml:space="preserve">          6274 - UTILITIES</v>
      </c>
      <c r="C108" s="9"/>
      <c r="D108" s="6">
        <v>13976.85</v>
      </c>
      <c r="E108" s="3"/>
      <c r="F108" s="7">
        <f t="shared" si="20"/>
        <v>0.27585657672465502</v>
      </c>
      <c r="G108" s="3"/>
      <c r="H108" s="6">
        <v>8663</v>
      </c>
      <c r="I108" s="3"/>
      <c r="J108" s="7">
        <f t="shared" si="21"/>
        <v>0.10242858494135453</v>
      </c>
      <c r="K108" s="3"/>
      <c r="L108" s="6">
        <f t="shared" si="22"/>
        <v>5313.85</v>
      </c>
      <c r="M108" s="3"/>
      <c r="N108" s="7">
        <f t="shared" si="23"/>
        <v>0.61339605217592064</v>
      </c>
      <c r="O108" s="9"/>
      <c r="P108" s="6">
        <v>122238.53</v>
      </c>
      <c r="Q108" s="3"/>
      <c r="R108" s="7">
        <f t="shared" si="24"/>
        <v>7.8350612850942095E-2</v>
      </c>
      <c r="S108" s="3"/>
      <c r="T108" s="6">
        <v>104000</v>
      </c>
      <c r="U108" s="3"/>
      <c r="V108" s="7">
        <f t="shared" si="25"/>
        <v>4.8673734342502092E-2</v>
      </c>
      <c r="W108" s="3"/>
      <c r="X108" s="6">
        <f t="shared" si="26"/>
        <v>18238.53</v>
      </c>
      <c r="Y108" s="3"/>
      <c r="Z108" s="7">
        <f t="shared" si="27"/>
        <v>0.17537048076923076</v>
      </c>
    </row>
    <row r="109" spans="1:26" s="65" customFormat="1" ht="15" customHeight="1" x14ac:dyDescent="0.3">
      <c r="A109" s="36"/>
      <c r="B109" s="36"/>
      <c r="C109" s="36"/>
      <c r="D109" s="2"/>
      <c r="E109" s="2"/>
      <c r="F109" s="5"/>
      <c r="G109" s="2"/>
      <c r="H109" s="2"/>
      <c r="I109" s="2"/>
      <c r="J109" s="5"/>
      <c r="K109" s="2"/>
      <c r="L109" s="2"/>
      <c r="M109" s="2"/>
      <c r="N109" s="5"/>
      <c r="O109" s="36"/>
      <c r="P109" s="2"/>
      <c r="Q109" s="2"/>
      <c r="R109" s="5"/>
      <c r="S109" s="2"/>
      <c r="T109" s="2"/>
      <c r="U109" s="2"/>
      <c r="V109" s="5"/>
      <c r="W109" s="2"/>
      <c r="X109" s="2"/>
      <c r="Y109" s="2"/>
      <c r="Z109" s="5"/>
    </row>
    <row r="110" spans="1:26" s="63" customFormat="1" ht="15" customHeight="1" collapsed="1" x14ac:dyDescent="0.3">
      <c r="A110" s="13"/>
      <c r="B110" s="28" t="s">
        <v>291</v>
      </c>
      <c r="C110" s="13"/>
      <c r="D110" s="8">
        <f>SUM(OSRRefD25x_0)</f>
        <v>20761.61</v>
      </c>
      <c r="E110" s="8"/>
      <c r="F110" s="14">
        <f>IF(D$12=0,0,D110/D$12)</f>
        <v>0.40976519472501782</v>
      </c>
      <c r="G110" s="8"/>
      <c r="H110" s="8">
        <f>SUM(OSRRefH25x_0)</f>
        <v>12000</v>
      </c>
      <c r="I110" s="8"/>
      <c r="J110" s="14">
        <f>IF(H$12=0,0,H110/H$12)</f>
        <v>0.14188422247446084</v>
      </c>
      <c r="K110" s="8"/>
      <c r="L110" s="8">
        <f>+D110-H110</f>
        <v>8761.61</v>
      </c>
      <c r="M110" s="8"/>
      <c r="N110" s="14">
        <f>IF(H110=0,0,L110/H110)</f>
        <v>0.73013416666666675</v>
      </c>
      <c r="O110" s="13"/>
      <c r="P110" s="8">
        <f>SUM(OSRRefP25x_0)</f>
        <v>228646.99</v>
      </c>
      <c r="Q110" s="8"/>
      <c r="R110" s="14">
        <f>IF(P$12=0,0,P110/P$12)</f>
        <v>0.14655470573004459</v>
      </c>
      <c r="S110" s="8"/>
      <c r="T110" s="8">
        <f>SUM(OSRRefT25x_0)</f>
        <v>175853.02000000002</v>
      </c>
      <c r="U110" s="8"/>
      <c r="V110" s="14">
        <f>IF(T$12=0,0,T110/T$12)</f>
        <v>8.2302145950064506E-2</v>
      </c>
      <c r="W110" s="8"/>
      <c r="X110" s="8">
        <f>+P110-T110</f>
        <v>52793.969999999972</v>
      </c>
      <c r="Y110" s="8"/>
      <c r="Z110" s="14">
        <f>IF(T110=0,0,X110/T110)</f>
        <v>0.30021645349053411</v>
      </c>
    </row>
    <row r="111" spans="1:26" s="70" customFormat="1" ht="15" hidden="1" customHeight="1" outlineLevel="1" x14ac:dyDescent="0.3">
      <c r="A111" s="48"/>
      <c r="B111" s="9" t="str">
        <f>CONCATENATE("          ","9150"," - ","MISC. INCOME")</f>
        <v xml:space="preserve">          9150 - MISC. INCOME</v>
      </c>
      <c r="C111" s="9"/>
      <c r="D111" s="3">
        <f>--20761.61</f>
        <v>20761.61</v>
      </c>
      <c r="E111" s="3"/>
      <c r="F111" s="26">
        <f>IF(D$12=0,0,D111/D$12)</f>
        <v>0.40976519472501782</v>
      </c>
      <c r="G111" s="3"/>
      <c r="H111" s="3"/>
      <c r="I111" s="3"/>
      <c r="J111" s="26">
        <f>IF(H$12=0,0,H111/H$12)</f>
        <v>0</v>
      </c>
      <c r="K111" s="3"/>
      <c r="L111" s="3">
        <f>+D111-H111</f>
        <v>20761.61</v>
      </c>
      <c r="M111" s="3"/>
      <c r="N111" s="26">
        <f>IF(H111=0,0,L111/H111)</f>
        <v>0</v>
      </c>
      <c r="O111" s="9"/>
      <c r="P111" s="3">
        <f>--228646.99</f>
        <v>228646.99</v>
      </c>
      <c r="Q111" s="3"/>
      <c r="R111" s="26">
        <f>IF(P$12=0,0,P111/P$12)</f>
        <v>0.14655470573004459</v>
      </c>
      <c r="S111" s="3"/>
      <c r="T111" s="3">
        <v>1000</v>
      </c>
      <c r="U111" s="3"/>
      <c r="V111" s="26">
        <f>IF(T$12=0,0,T111/T$12)</f>
        <v>4.6801667637021241E-4</v>
      </c>
      <c r="W111" s="3"/>
      <c r="X111" s="3">
        <f>+P111-T111</f>
        <v>227646.99</v>
      </c>
      <c r="Y111" s="3"/>
      <c r="Z111" s="26">
        <f>IF(T111=0,0,X111/T111)</f>
        <v>227.64698999999999</v>
      </c>
    </row>
    <row r="112" spans="1:26" s="70" customFormat="1" ht="15" hidden="1" customHeight="1" outlineLevel="1" x14ac:dyDescent="0.3">
      <c r="A112" s="48"/>
      <c r="B112" s="9" t="str">
        <f>CONCATENATE("          ","9151"," - ","MISC. INCOME")</f>
        <v xml:space="preserve">          9151 - MISC. INCOME</v>
      </c>
      <c r="C112" s="9"/>
      <c r="D112" s="3">
        <f>0</f>
        <v>0</v>
      </c>
      <c r="E112" s="3"/>
      <c r="F112" s="26">
        <f>IF(D$12=0,0,D112/D$12)</f>
        <v>0</v>
      </c>
      <c r="G112" s="3"/>
      <c r="H112" s="3">
        <v>12000</v>
      </c>
      <c r="I112" s="3"/>
      <c r="J112" s="26">
        <f>IF(H$12=0,0,H112/H$12)</f>
        <v>0.14188422247446084</v>
      </c>
      <c r="K112" s="3"/>
      <c r="L112" s="3">
        <f>+D112-H112</f>
        <v>-12000</v>
      </c>
      <c r="M112" s="3"/>
      <c r="N112" s="26">
        <f>IF(H112=0,0,L112/H112)</f>
        <v>-1</v>
      </c>
      <c r="O112" s="9"/>
      <c r="P112" s="3">
        <f>0</f>
        <v>0</v>
      </c>
      <c r="Q112" s="3"/>
      <c r="R112" s="26">
        <f>IF(P$12=0,0,P112/P$12)</f>
        <v>0</v>
      </c>
      <c r="S112" s="3"/>
      <c r="T112" s="3">
        <v>83840.89</v>
      </c>
      <c r="U112" s="3"/>
      <c r="V112" s="26">
        <f>IF(T$12=0,0,T112/T$12)</f>
        <v>3.9238934681720579E-2</v>
      </c>
      <c r="W112" s="3"/>
      <c r="X112" s="3">
        <f>+P112-T112</f>
        <v>-83840.89</v>
      </c>
      <c r="Y112" s="3"/>
      <c r="Z112" s="26">
        <f>IF(T112=0,0,X112/T112)</f>
        <v>-1</v>
      </c>
    </row>
    <row r="113" spans="1:26" s="70" customFormat="1" ht="15" hidden="1" customHeight="1" outlineLevel="1" x14ac:dyDescent="0.3">
      <c r="A113" s="48"/>
      <c r="B113" s="9" t="str">
        <f>CONCATENATE("          ","9160"," - ","MISC. INCOME")</f>
        <v xml:space="preserve">          9160 - MISC. INCOME</v>
      </c>
      <c r="C113" s="9"/>
      <c r="D113" s="3">
        <f>0</f>
        <v>0</v>
      </c>
      <c r="E113" s="3"/>
      <c r="F113" s="26">
        <f>IF(D$12=0,0,D113/D$12)</f>
        <v>0</v>
      </c>
      <c r="G113" s="3"/>
      <c r="H113" s="3"/>
      <c r="I113" s="3"/>
      <c r="J113" s="26">
        <f>IF(H$12=0,0,H113/H$12)</f>
        <v>0</v>
      </c>
      <c r="K113" s="3"/>
      <c r="L113" s="3">
        <f>+D113-H113</f>
        <v>0</v>
      </c>
      <c r="M113" s="3"/>
      <c r="N113" s="26">
        <f>IF(H113=0,0,L113/H113)</f>
        <v>0</v>
      </c>
      <c r="O113" s="9"/>
      <c r="P113" s="3">
        <f>0</f>
        <v>0</v>
      </c>
      <c r="Q113" s="3"/>
      <c r="R113" s="26">
        <f>IF(P$12=0,0,P113/P$12)</f>
        <v>0</v>
      </c>
      <c r="S113" s="3"/>
      <c r="T113" s="3">
        <v>91012.13</v>
      </c>
      <c r="U113" s="3"/>
      <c r="V113" s="26">
        <f>IF(T$12=0,0,T113/T$12)</f>
        <v>4.2595194591973702E-2</v>
      </c>
      <c r="W113" s="3"/>
      <c r="X113" s="3">
        <f>+P113-T113</f>
        <v>-91012.13</v>
      </c>
      <c r="Y113" s="3"/>
      <c r="Z113" s="26">
        <f>IF(T113=0,0,X113/T113)</f>
        <v>-1</v>
      </c>
    </row>
    <row r="114" spans="1:26" s="70" customFormat="1" ht="15" hidden="1" customHeight="1" outlineLevel="1" x14ac:dyDescent="0.3">
      <c r="A114" s="48"/>
      <c r="B114" s="9" t="str">
        <f>CONCATENATE("          ","9165"," - ","OTHER INCOME")</f>
        <v xml:space="preserve">          9165 - OTHER INCOME</v>
      </c>
      <c r="C114" s="9"/>
      <c r="D114" s="3">
        <f>0</f>
        <v>0</v>
      </c>
      <c r="E114" s="3"/>
      <c r="F114" s="26">
        <f>IF(D$12=0,0,D114/D$12)</f>
        <v>0</v>
      </c>
      <c r="G114" s="3"/>
      <c r="H114" s="3"/>
      <c r="I114" s="3"/>
      <c r="J114" s="26">
        <f>IF(H$12=0,0,H114/H$12)</f>
        <v>0</v>
      </c>
      <c r="K114" s="3"/>
      <c r="L114" s="3">
        <f>+D114-H114</f>
        <v>0</v>
      </c>
      <c r="M114" s="3"/>
      <c r="N114" s="26">
        <f>IF(H114=0,0,L114/H114)</f>
        <v>0</v>
      </c>
      <c r="O114" s="9"/>
      <c r="P114" s="3">
        <f>0</f>
        <v>0</v>
      </c>
      <c r="Q114" s="3"/>
      <c r="R114" s="26">
        <f>IF(P$12=0,0,P114/P$12)</f>
        <v>0</v>
      </c>
      <c r="S114" s="3"/>
      <c r="T114" s="3"/>
      <c r="U114" s="3"/>
      <c r="V114" s="26">
        <f>IF(T$12=0,0,T114/T$12)</f>
        <v>0</v>
      </c>
      <c r="W114" s="3"/>
      <c r="X114" s="3">
        <f>+P114-T114</f>
        <v>0</v>
      </c>
      <c r="Y114" s="3"/>
      <c r="Z114" s="26">
        <f>IF(T114=0,0,X114/T114)</f>
        <v>0</v>
      </c>
    </row>
    <row r="115" spans="1:26" ht="15" customHeight="1" x14ac:dyDescent="0.3">
      <c r="A115" s="12"/>
      <c r="B115" s="13"/>
      <c r="C115" s="13"/>
      <c r="D115" s="4"/>
      <c r="E115" s="4"/>
      <c r="F115" s="10"/>
      <c r="G115" s="4"/>
      <c r="H115" s="4"/>
      <c r="I115" s="4"/>
      <c r="J115" s="10"/>
      <c r="K115" s="4"/>
      <c r="L115" s="4"/>
      <c r="M115" s="4"/>
      <c r="N115" s="10"/>
      <c r="O115" s="13"/>
      <c r="P115" s="4"/>
      <c r="Q115" s="4"/>
      <c r="R115" s="10"/>
      <c r="S115" s="4"/>
      <c r="T115" s="4"/>
      <c r="U115" s="4"/>
      <c r="V115" s="10"/>
      <c r="W115" s="4"/>
      <c r="X115" s="4"/>
      <c r="Y115" s="4"/>
      <c r="Z115" s="10"/>
    </row>
    <row r="116" spans="1:26" s="63" customFormat="1" ht="15" customHeight="1" x14ac:dyDescent="0.3">
      <c r="A116" s="13"/>
      <c r="B116" s="27" t="s">
        <v>292</v>
      </c>
      <c r="C116" s="27"/>
      <c r="D116" s="23">
        <f>+D24-D26+D110</f>
        <v>-166545.43</v>
      </c>
      <c r="E116" s="15"/>
      <c r="F116" s="22">
        <f>IF(D$12=0,0,D116/D$12)</f>
        <v>-3.2870533910670616</v>
      </c>
      <c r="G116" s="15"/>
      <c r="H116" s="23">
        <f>+H24-H26+H110</f>
        <v>-93343.632873863738</v>
      </c>
      <c r="I116" s="15"/>
      <c r="J116" s="22">
        <f>IF(H$12=0,0,H116/H$12)</f>
        <v>-1.10366573110414</v>
      </c>
      <c r="K116" s="17"/>
      <c r="L116" s="23">
        <f>+D116-H116</f>
        <v>-73201.797126136255</v>
      </c>
      <c r="M116" s="17"/>
      <c r="N116" s="22">
        <f>IF(H116=0,0,L116/H116)</f>
        <v>0.78421842896402627</v>
      </c>
      <c r="O116" s="28"/>
      <c r="P116" s="23">
        <f>+P24-P26+P110</f>
        <v>-1158383.3399999996</v>
      </c>
      <c r="Q116" s="15"/>
      <c r="R116" s="22">
        <f>IF(P$12=0,0,P116/P$12)</f>
        <v>-0.74248311563728053</v>
      </c>
      <c r="S116" s="15"/>
      <c r="T116" s="23">
        <f>+T24-T26+T110</f>
        <v>-661656.50713981828</v>
      </c>
      <c r="U116" s="15"/>
      <c r="V116" s="22">
        <f>IF(T$12=0,0,T116/T$12)</f>
        <v>-0.3096662793703015</v>
      </c>
      <c r="W116" s="17"/>
      <c r="X116" s="23">
        <f>+P116-T116</f>
        <v>-496726.83286018134</v>
      </c>
      <c r="Y116" s="17"/>
      <c r="Z116" s="22">
        <f>IF(T116=0,0,X116/T116)</f>
        <v>0.75073218127546548</v>
      </c>
    </row>
    <row r="117" spans="1:26" ht="15" customHeight="1" x14ac:dyDescent="0.3">
      <c r="A117" s="12"/>
      <c r="B117" s="13"/>
      <c r="C117" s="12"/>
      <c r="D117" s="4"/>
      <c r="E117" s="4"/>
      <c r="F117" s="10"/>
      <c r="G117" s="4"/>
      <c r="H117" s="4"/>
      <c r="I117" s="4"/>
      <c r="J117" s="10"/>
      <c r="K117" s="4"/>
      <c r="L117" s="4"/>
      <c r="M117" s="4"/>
      <c r="N117" s="10"/>
      <c r="P117" s="4"/>
      <c r="Q117" s="4"/>
      <c r="R117" s="10"/>
      <c r="S117" s="4"/>
      <c r="T117" s="4"/>
      <c r="U117" s="4"/>
      <c r="V117" s="10"/>
      <c r="W117" s="4"/>
      <c r="X117" s="4"/>
      <c r="Y117" s="4"/>
      <c r="Z117" s="10"/>
    </row>
    <row r="118" spans="1:26" s="63" customFormat="1" ht="15" customHeight="1" x14ac:dyDescent="0.3">
      <c r="A118" s="49"/>
      <c r="B118" s="13" t="s">
        <v>293</v>
      </c>
      <c r="C118" s="13"/>
      <c r="D118" s="8">
        <v>-349571.33</v>
      </c>
      <c r="E118" s="8"/>
      <c r="F118" s="14">
        <f>IF(D$12=0,0,D118/D$12)</f>
        <v>-6.8993764986305717</v>
      </c>
      <c r="G118" s="8"/>
      <c r="H118" s="8">
        <v>-12096</v>
      </c>
      <c r="I118" s="8"/>
      <c r="J118" s="14">
        <f>IF(H$12=0,0,H118/H$12)</f>
        <v>-0.14301929625425652</v>
      </c>
      <c r="K118" s="8"/>
      <c r="L118" s="8">
        <f>+D118-H118</f>
        <v>-337475.33</v>
      </c>
      <c r="M118" s="8"/>
      <c r="N118" s="14">
        <f>IF(H118=0,0,L118/H118)</f>
        <v>27.89974619708995</v>
      </c>
      <c r="O118" s="13"/>
      <c r="P118" s="8">
        <v>-179867.44</v>
      </c>
      <c r="Q118" s="8"/>
      <c r="R118" s="14">
        <f>IF(P$12=0,0,P118/P$12)</f>
        <v>-0.11528872407030791</v>
      </c>
      <c r="S118" s="8"/>
      <c r="T118" s="8">
        <v>242286</v>
      </c>
      <c r="U118" s="8"/>
      <c r="V118" s="14">
        <f>IF(T$12=0,0,T118/T$12)</f>
        <v>0.11339388845103329</v>
      </c>
      <c r="W118" s="8"/>
      <c r="X118" s="8">
        <f>+P118-T118</f>
        <v>-422153.44</v>
      </c>
      <c r="Y118" s="8"/>
      <c r="Z118" s="14">
        <f>IF(T118=0,0,X118/T118)</f>
        <v>-1.7423765302163559</v>
      </c>
    </row>
    <row r="119" spans="1:26" ht="15" customHeight="1" x14ac:dyDescent="0.3">
      <c r="A119" s="12"/>
      <c r="B119" s="13"/>
      <c r="C119" s="13"/>
      <c r="D119" s="4"/>
      <c r="E119" s="4"/>
      <c r="F119" s="10"/>
      <c r="G119" s="4"/>
      <c r="H119" s="4"/>
      <c r="I119" s="4"/>
      <c r="J119" s="10"/>
      <c r="K119" s="4"/>
      <c r="L119" s="4"/>
      <c r="M119" s="4"/>
      <c r="N119" s="10"/>
      <c r="O119" s="13"/>
      <c r="P119" s="4"/>
      <c r="Q119" s="4"/>
      <c r="R119" s="10"/>
      <c r="S119" s="4"/>
      <c r="T119" s="4"/>
      <c r="U119" s="4"/>
      <c r="V119" s="10"/>
      <c r="W119" s="4"/>
      <c r="X119" s="4"/>
      <c r="Y119" s="4"/>
      <c r="Z119" s="10"/>
    </row>
    <row r="120" spans="1:26" s="63" customFormat="1" ht="15" customHeight="1" x14ac:dyDescent="0.3">
      <c r="A120" s="13"/>
      <c r="B120" s="27" t="s">
        <v>294</v>
      </c>
      <c r="C120" s="27"/>
      <c r="D120" s="30">
        <f>+D116-D118</f>
        <v>183025.90000000002</v>
      </c>
      <c r="E120" s="15"/>
      <c r="F120" s="35">
        <f>IF(D$12=0,0,D120/D$12)</f>
        <v>3.61232310756351</v>
      </c>
      <c r="G120" s="15"/>
      <c r="H120" s="30">
        <f>+H116-H118</f>
        <v>-81247.632873863738</v>
      </c>
      <c r="I120" s="15"/>
      <c r="J120" s="35">
        <f>IF(H$12=0,0,H120/H$12)</f>
        <v>-0.96064643484988343</v>
      </c>
      <c r="K120" s="17"/>
      <c r="L120" s="30">
        <f>D120-H120</f>
        <v>264273.53287386376</v>
      </c>
      <c r="M120" s="17"/>
      <c r="N120" s="35">
        <f>IF(H120=0,0,L120/H120)</f>
        <v>-3.2526920911547808</v>
      </c>
      <c r="O120" s="28"/>
      <c r="P120" s="30">
        <f>+P116-P118</f>
        <v>-978515.89999999967</v>
      </c>
      <c r="Q120" s="15"/>
      <c r="R120" s="35">
        <f>IF(P$12=0,0,P120/P$12)</f>
        <v>-0.62719439156697265</v>
      </c>
      <c r="S120" s="15"/>
      <c r="T120" s="30">
        <f>+T116-T118</f>
        <v>-903942.50713981828</v>
      </c>
      <c r="U120" s="15"/>
      <c r="V120" s="35">
        <f>IF(T$12=0,0,T120/T$12)</f>
        <v>-0.42306016782133476</v>
      </c>
      <c r="W120" s="17"/>
      <c r="X120" s="30">
        <f>P120-T120</f>
        <v>-74573.392860181397</v>
      </c>
      <c r="Y120" s="17"/>
      <c r="Z120" s="35">
        <f>IF(T120=0,0,X120/T120)</f>
        <v>8.2497937945346211E-2</v>
      </c>
    </row>
    <row r="121" spans="1:26" ht="15" customHeight="1" x14ac:dyDescent="0.3">
      <c r="A121" s="12"/>
      <c r="B121" s="12"/>
      <c r="C121" s="12"/>
      <c r="D121" s="4"/>
      <c r="E121" s="4"/>
      <c r="F121" s="10"/>
      <c r="G121" s="4"/>
      <c r="H121" s="4"/>
      <c r="I121" s="4"/>
      <c r="J121" s="10"/>
      <c r="K121" s="4"/>
      <c r="L121" s="4"/>
      <c r="M121" s="4"/>
      <c r="N121" s="10"/>
      <c r="P121" s="4"/>
      <c r="Q121" s="4"/>
      <c r="R121" s="10"/>
      <c r="S121" s="4"/>
      <c r="T121" s="4"/>
      <c r="U121" s="4"/>
      <c r="V121" s="10"/>
      <c r="W121" s="4"/>
      <c r="X121" s="4"/>
      <c r="Y121" s="4"/>
      <c r="Z121" s="10"/>
    </row>
    <row r="122" spans="1:26" ht="15" customHeight="1" x14ac:dyDescent="0.3">
      <c r="A122" s="12"/>
      <c r="B122" s="12"/>
      <c r="C122" s="12"/>
      <c r="D122" s="4"/>
      <c r="E122" s="4"/>
      <c r="F122" s="10"/>
      <c r="G122" s="4"/>
      <c r="H122" s="4"/>
      <c r="I122" s="4"/>
      <c r="J122" s="10"/>
      <c r="K122" s="4"/>
      <c r="L122" s="4"/>
      <c r="M122" s="4"/>
      <c r="N122" s="10"/>
      <c r="P122" s="4"/>
      <c r="Q122" s="4"/>
      <c r="R122" s="10"/>
      <c r="S122" s="4"/>
      <c r="T122" s="4"/>
      <c r="U122" s="4"/>
      <c r="V122" s="10"/>
      <c r="W122" s="4"/>
      <c r="X122" s="4"/>
      <c r="Y122" s="4"/>
      <c r="Z122" s="10"/>
    </row>
    <row r="123" spans="1:26" s="63" customFormat="1" ht="15" customHeight="1" x14ac:dyDescent="0.3">
      <c r="A123" s="13"/>
      <c r="B123" s="27" t="s">
        <v>297</v>
      </c>
      <c r="C123" s="27"/>
      <c r="D123" s="33">
        <f>SUM(D120:D122)</f>
        <v>183025.90000000002</v>
      </c>
      <c r="E123" s="15"/>
      <c r="F123" s="31">
        <f>IF(D$12=0,0,D123/D$12)</f>
        <v>3.61232310756351</v>
      </c>
      <c r="G123" s="15"/>
      <c r="H123" s="33">
        <f>SUM(H120:H122)</f>
        <v>-81247.632873863738</v>
      </c>
      <c r="I123" s="15"/>
      <c r="J123" s="31">
        <f>IF(H$12=0,0,H123/H$12)</f>
        <v>-0.96064643484988343</v>
      </c>
      <c r="K123" s="17"/>
      <c r="L123" s="33">
        <f>+D123-H123</f>
        <v>264273.53287386376</v>
      </c>
      <c r="M123" s="17"/>
      <c r="N123" s="31">
        <f>IF(H123=0,0,L123/H123)</f>
        <v>-3.2526920911547808</v>
      </c>
      <c r="O123" s="28"/>
      <c r="P123" s="33">
        <f>SUM(P120:P122)</f>
        <v>-978515.89999999967</v>
      </c>
      <c r="Q123" s="15"/>
      <c r="R123" s="31">
        <f>IF(P$12=0,0,P123/P$12)</f>
        <v>-0.62719439156697265</v>
      </c>
      <c r="S123" s="15"/>
      <c r="T123" s="33">
        <f>SUM(T120:T122)</f>
        <v>-903942.50713981828</v>
      </c>
      <c r="U123" s="15"/>
      <c r="V123" s="31">
        <f>IF(T$12=0,0,T123/T$12)</f>
        <v>-0.42306016782133476</v>
      </c>
      <c r="W123" s="17"/>
      <c r="X123" s="33">
        <f>+P123-T123</f>
        <v>-74573.392860181397</v>
      </c>
      <c r="Y123" s="17"/>
      <c r="Z123" s="31">
        <f>IF(T123=0,0,X123/T123)</f>
        <v>8.2497937945346211E-2</v>
      </c>
    </row>
    <row r="124" spans="1:26" ht="15" customHeight="1" x14ac:dyDescent="0.3">
      <c r="A124" s="12"/>
      <c r="C124" s="12"/>
      <c r="D124" s="19"/>
      <c r="E124" s="19"/>
      <c r="G124" s="19"/>
      <c r="H124" s="19"/>
      <c r="I124" s="19"/>
      <c r="J124" s="41"/>
      <c r="K124" s="19"/>
      <c r="L124" s="19"/>
      <c r="M124" s="19"/>
      <c r="P124" s="19"/>
      <c r="Q124" s="19"/>
      <c r="R124" s="41"/>
      <c r="S124" s="19"/>
      <c r="T124" s="19"/>
      <c r="U124" s="19"/>
      <c r="V124" s="41"/>
      <c r="W124" s="19"/>
      <c r="X124" s="19"/>
    </row>
    <row r="125" spans="1:26" ht="15" customHeight="1" x14ac:dyDescent="0.3">
      <c r="A125" s="12"/>
      <c r="B125" s="50">
        <v>44767.799532870369</v>
      </c>
      <c r="D125" s="19"/>
      <c r="E125" s="19"/>
      <c r="G125" s="19"/>
      <c r="H125" s="19"/>
      <c r="I125" s="19"/>
      <c r="J125" s="41"/>
      <c r="K125" s="19"/>
      <c r="L125" s="19"/>
      <c r="M125" s="19"/>
      <c r="P125" s="19"/>
      <c r="Q125" s="19"/>
      <c r="R125" s="41"/>
      <c r="S125" s="19"/>
      <c r="T125" s="19"/>
      <c r="U125" s="19"/>
      <c r="V125" s="41"/>
      <c r="W125" s="19"/>
      <c r="X125" s="19"/>
    </row>
    <row r="126" spans="1:26" ht="15" customHeight="1" x14ac:dyDescent="0.3">
      <c r="A126" s="12"/>
      <c r="B126" s="57" t="s">
        <v>298</v>
      </c>
      <c r="D126" s="19"/>
      <c r="E126" s="19"/>
      <c r="G126" s="19"/>
      <c r="H126" s="19"/>
      <c r="I126" s="19"/>
      <c r="J126" s="41"/>
      <c r="K126" s="19"/>
      <c r="L126" s="19"/>
      <c r="M126" s="19"/>
      <c r="P126" s="19"/>
      <c r="Q126" s="19"/>
      <c r="R126" s="41"/>
      <c r="S126" s="19"/>
      <c r="T126" s="19"/>
      <c r="U126" s="19"/>
      <c r="V126" s="41"/>
      <c r="W126" s="19"/>
      <c r="X126" s="19"/>
    </row>
    <row r="127" spans="1:26" ht="15" customHeight="1" x14ac:dyDescent="0.3">
      <c r="A127" s="12"/>
      <c r="B127" s="51"/>
      <c r="D127" s="19"/>
      <c r="E127" s="19"/>
      <c r="G127" s="19"/>
      <c r="H127" s="19"/>
      <c r="I127" s="19"/>
      <c r="J127" s="41"/>
      <c r="K127" s="19"/>
      <c r="L127" s="19"/>
      <c r="M127" s="19"/>
      <c r="P127" s="19"/>
      <c r="Q127" s="19"/>
      <c r="R127" s="41"/>
      <c r="S127" s="19"/>
      <c r="T127" s="19"/>
      <c r="U127" s="19"/>
      <c r="V127" s="41"/>
      <c r="W127" s="19"/>
      <c r="X127" s="19"/>
    </row>
    <row r="128" spans="1:26" ht="15" customHeight="1" x14ac:dyDescent="0.3">
      <c r="D128" s="19"/>
      <c r="E128" s="19"/>
      <c r="G128" s="19"/>
      <c r="H128" s="19"/>
      <c r="I128" s="19"/>
      <c r="J128" s="41"/>
      <c r="K128" s="19"/>
      <c r="L128" s="19"/>
      <c r="M128" s="19"/>
      <c r="P128" s="19"/>
      <c r="Q128" s="19"/>
      <c r="R128" s="41"/>
      <c r="S128" s="19"/>
      <c r="T128" s="19"/>
      <c r="U128" s="19"/>
      <c r="V128" s="41"/>
      <c r="W128" s="19"/>
      <c r="X128" s="19"/>
    </row>
  </sheetData>
  <pageMargins left="0.25" right="0.25" top="0.75" bottom="0.75" header="0.3" footer="0.3"/>
  <pageSetup scale="55" orientation="landscape" r:id="rId1"/>
  <headerFooter>
    <oddHeader>&amp;RPre-Audit</oddHeader>
    <oddFooter>&amp;L&amp;C&amp;R</oddFooter>
    <evenHeader>&amp;L&amp;C&amp;R</evenHeader>
    <evenFooter>&amp;L&amp;C&amp;R</even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84C463-7706-3242-8FE2-91ED5B31952D}">
  <sheetPr>
    <tabColor rgb="FF92D050"/>
    <outlinePr summaryBelow="0" summaryRight="0"/>
  </sheetPr>
  <dimension ref="A2:Z106"/>
  <sheetViews>
    <sheetView showGridLines="0" defaultGridColor="0" colorId="8" zoomScale="80" workbookViewId="0">
      <pane xSplit="3" ySplit="10" topLeftCell="D11" activePane="bottomRight" state="frozen"/>
      <selection activeCell="D78" sqref="D78"/>
      <selection pane="topRight" activeCell="D78" sqref="D78"/>
      <selection pane="bottomLeft" activeCell="D78" sqref="D78"/>
      <selection pane="bottomRight" activeCell="D78" sqref="D78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3" t="s">
        <v>276</v>
      </c>
    </row>
    <row r="3" spans="1:26" ht="15" customHeight="1" x14ac:dyDescent="0.3">
      <c r="D3" s="53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3" t="str">
        <f>CONCATENATE("Period ",RIGHT(202212,2),", ",2022)</f>
        <v>Period 12,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5"/>
      <c r="D5" s="60">
        <v>44742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5"/>
      <c r="B6" s="47"/>
      <c r="C6" s="47"/>
      <c r="D6" s="25" t="str">
        <f>CONCATENATE("Department ","405"," - ","Caffeine Lab")</f>
        <v>Department 405 - Caffeine Lab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4"/>
    </row>
    <row r="8" spans="1:26" ht="15" customHeight="1" x14ac:dyDescent="0.3">
      <c r="B8" s="54"/>
    </row>
    <row r="9" spans="1:26" ht="15" customHeight="1" x14ac:dyDescent="0.3">
      <c r="B9" s="12"/>
      <c r="C9" s="12"/>
      <c r="D9" s="16" t="s">
        <v>279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280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ht="15" customHeight="1" x14ac:dyDescent="0.3">
      <c r="A10" s="13"/>
      <c r="B10" s="52"/>
      <c r="C10" s="13"/>
      <c r="D10" s="40" t="s">
        <v>281</v>
      </c>
      <c r="E10" s="32"/>
      <c r="F10" s="39" t="s">
        <v>282</v>
      </c>
      <c r="G10" s="32"/>
      <c r="H10" s="45" t="s">
        <v>283</v>
      </c>
      <c r="I10" s="32"/>
      <c r="J10" s="42" t="s">
        <v>284</v>
      </c>
      <c r="K10" s="13"/>
      <c r="L10" s="40" t="s">
        <v>285</v>
      </c>
      <c r="M10" s="13"/>
      <c r="N10" s="39" t="s">
        <v>286</v>
      </c>
      <c r="O10" s="13"/>
      <c r="P10" s="55" t="s">
        <v>281</v>
      </c>
      <c r="Q10" s="32"/>
      <c r="R10" s="39" t="s">
        <v>282</v>
      </c>
      <c r="S10" s="32"/>
      <c r="T10" s="45" t="s">
        <v>283</v>
      </c>
      <c r="U10" s="32"/>
      <c r="V10" s="42" t="s">
        <v>284</v>
      </c>
      <c r="W10" s="13"/>
      <c r="X10" s="40" t="s">
        <v>285</v>
      </c>
      <c r="Y10" s="13"/>
      <c r="Z10" s="39" t="s">
        <v>286</v>
      </c>
    </row>
    <row r="11" spans="1:26" ht="16.5" customHeight="1" x14ac:dyDescent="0.3">
      <c r="A11" s="12"/>
      <c r="B11" s="58"/>
      <c r="C11" s="12"/>
      <c r="D11" s="12"/>
      <c r="E11" s="12"/>
      <c r="F11" s="10"/>
      <c r="G11" s="12"/>
      <c r="H11" s="12"/>
      <c r="I11" s="12"/>
      <c r="J11" s="43"/>
      <c r="K11" s="12"/>
      <c r="L11" s="12"/>
      <c r="M11" s="12"/>
      <c r="N11" s="10"/>
      <c r="P11" s="12"/>
      <c r="Q11" s="12"/>
      <c r="R11" s="10"/>
      <c r="S11" s="12"/>
      <c r="T11" s="12"/>
      <c r="U11" s="12"/>
      <c r="V11" s="43"/>
      <c r="W11" s="12"/>
      <c r="X11" s="12"/>
      <c r="Y11" s="12"/>
      <c r="Z11" s="10"/>
    </row>
    <row r="12" spans="1:26" s="63" customFormat="1" ht="15" customHeight="1" collapsed="1" x14ac:dyDescent="0.3">
      <c r="A12" s="13"/>
      <c r="B12" s="28" t="s">
        <v>287</v>
      </c>
      <c r="C12" s="13"/>
      <c r="D12" s="8">
        <f>SUM(OSRRefD13x_0)</f>
        <v>7412.63</v>
      </c>
      <c r="E12" s="8"/>
      <c r="F12" s="14"/>
      <c r="G12" s="8"/>
      <c r="H12" s="8">
        <f>SUM(OSRRefH13x_0)</f>
        <v>14389</v>
      </c>
      <c r="I12" s="8"/>
      <c r="J12" s="14"/>
      <c r="K12" s="8"/>
      <c r="L12" s="8">
        <f>+D12-H12</f>
        <v>-6976.37</v>
      </c>
      <c r="M12" s="8"/>
      <c r="N12" s="14">
        <f>IF(H12=0,0,L12/H12)</f>
        <v>-0.48484050316213773</v>
      </c>
      <c r="O12" s="13"/>
      <c r="P12" s="8">
        <f>SUM(OSRRefP13x_0)</f>
        <v>680983.08</v>
      </c>
      <c r="Q12" s="8"/>
      <c r="R12" s="14"/>
      <c r="S12" s="8"/>
      <c r="T12" s="8">
        <f>SUM(OSRRefT13x_0)</f>
        <v>497534</v>
      </c>
      <c r="U12" s="8"/>
      <c r="V12" s="14"/>
      <c r="W12" s="8"/>
      <c r="X12" s="8">
        <f>+P12-T12</f>
        <v>183449.07999999996</v>
      </c>
      <c r="Y12" s="8"/>
      <c r="Z12" s="14">
        <f>IF(T12=0,0,X12/T12)</f>
        <v>0.36871667061949526</v>
      </c>
    </row>
    <row r="13" spans="1:26" s="70" customFormat="1" ht="15" hidden="1" customHeight="1" outlineLevel="1" x14ac:dyDescent="0.3">
      <c r="A13" s="48"/>
      <c r="B13" s="9" t="str">
        <f>CONCATENATE("          ","4000"," - ","TAXABLE SALES")</f>
        <v xml:space="preserve">          4000 - TAXABLE SALES</v>
      </c>
      <c r="C13" s="9"/>
      <c r="D13" s="3">
        <f>0</f>
        <v>0</v>
      </c>
      <c r="E13" s="3"/>
      <c r="F13" s="26"/>
      <c r="G13" s="3"/>
      <c r="H13" s="3">
        <v>3013</v>
      </c>
      <c r="I13" s="3"/>
      <c r="J13" s="26"/>
      <c r="K13" s="3"/>
      <c r="L13" s="3">
        <f>+D13-H13</f>
        <v>-3013</v>
      </c>
      <c r="M13" s="3"/>
      <c r="N13" s="26">
        <f>IF(H13=0,0,L13/H13)</f>
        <v>-1</v>
      </c>
      <c r="O13" s="9"/>
      <c r="P13" s="3">
        <f>0</f>
        <v>0</v>
      </c>
      <c r="Q13" s="3"/>
      <c r="R13" s="26"/>
      <c r="S13" s="3"/>
      <c r="T13" s="3">
        <v>104188</v>
      </c>
      <c r="U13" s="3"/>
      <c r="V13" s="26"/>
      <c r="W13" s="3"/>
      <c r="X13" s="3">
        <f>+P13-T13</f>
        <v>-104188</v>
      </c>
      <c r="Y13" s="3"/>
      <c r="Z13" s="26">
        <f>IF(T13=0,0,X13/T13)</f>
        <v>-1</v>
      </c>
    </row>
    <row r="14" spans="1:26" s="70" customFormat="1" ht="15" hidden="1" customHeight="1" outlineLevel="1" x14ac:dyDescent="0.3">
      <c r="A14" s="48"/>
      <c r="B14" s="9" t="str">
        <f>CONCATENATE("          ","4051"," - ","TAXABLE SALES-FOOD")</f>
        <v xml:space="preserve">          4051 - TAXABLE SALES-FOOD</v>
      </c>
      <c r="C14" s="9"/>
      <c r="D14" s="3">
        <f>--616.78</f>
        <v>616.78</v>
      </c>
      <c r="E14" s="3"/>
      <c r="F14" s="26"/>
      <c r="G14" s="3"/>
      <c r="H14" s="3"/>
      <c r="I14" s="3"/>
      <c r="J14" s="26"/>
      <c r="K14" s="3"/>
      <c r="L14" s="3">
        <f>+D14-H14</f>
        <v>616.78</v>
      </c>
      <c r="M14" s="3"/>
      <c r="N14" s="26">
        <f>IF(H14=0,0,L14/H14)</f>
        <v>0</v>
      </c>
      <c r="O14" s="9"/>
      <c r="P14" s="3">
        <f>--65018.71</f>
        <v>65018.71</v>
      </c>
      <c r="Q14" s="3"/>
      <c r="R14" s="26"/>
      <c r="S14" s="3"/>
      <c r="T14" s="3"/>
      <c r="U14" s="3"/>
      <c r="V14" s="26"/>
      <c r="W14" s="3"/>
      <c r="X14" s="3">
        <f>+P14-T14</f>
        <v>65018.71</v>
      </c>
      <c r="Y14" s="3"/>
      <c r="Z14" s="26">
        <f>IF(T14=0,0,X14/T14)</f>
        <v>0</v>
      </c>
    </row>
    <row r="15" spans="1:26" s="70" customFormat="1" ht="15" hidden="1" customHeight="1" outlineLevel="1" x14ac:dyDescent="0.3">
      <c r="A15" s="48"/>
      <c r="B15" s="9" t="str">
        <f>CONCATENATE("          ","4100"," - ","NON-TAXABLE SALES")</f>
        <v xml:space="preserve">          4100 - NON-TAXABLE SALES</v>
      </c>
      <c r="C15" s="9"/>
      <c r="D15" s="3">
        <f>0</f>
        <v>0</v>
      </c>
      <c r="E15" s="3"/>
      <c r="F15" s="26"/>
      <c r="G15" s="3"/>
      <c r="H15" s="3">
        <v>11376</v>
      </c>
      <c r="I15" s="3"/>
      <c r="J15" s="26"/>
      <c r="K15" s="3"/>
      <c r="L15" s="3">
        <f>+D15-H15</f>
        <v>-11376</v>
      </c>
      <c r="M15" s="3"/>
      <c r="N15" s="26">
        <f>IF(H15=0,0,L15/H15)</f>
        <v>-1</v>
      </c>
      <c r="O15" s="9"/>
      <c r="P15" s="3">
        <f>0</f>
        <v>0</v>
      </c>
      <c r="Q15" s="3"/>
      <c r="R15" s="26"/>
      <c r="S15" s="3"/>
      <c r="T15" s="3">
        <v>393346</v>
      </c>
      <c r="U15" s="3"/>
      <c r="V15" s="26"/>
      <c r="W15" s="3"/>
      <c r="X15" s="3">
        <f>+P15-T15</f>
        <v>-393346</v>
      </c>
      <c r="Y15" s="3"/>
      <c r="Z15" s="26">
        <f>IF(T15=0,0,X15/T15)</f>
        <v>-1</v>
      </c>
    </row>
    <row r="16" spans="1:26" s="70" customFormat="1" ht="15" hidden="1" customHeight="1" outlineLevel="1" x14ac:dyDescent="0.3">
      <c r="A16" s="48"/>
      <c r="B16" s="9" t="str">
        <f>CONCATENATE("          ","4151"," - ","NON-TAXABLE SALES-FOOD")</f>
        <v xml:space="preserve">          4151 - NON-TAXABLE SALES-FOOD</v>
      </c>
      <c r="C16" s="9"/>
      <c r="D16" s="3">
        <f>--6795.85</f>
        <v>6795.85</v>
      </c>
      <c r="E16" s="3"/>
      <c r="F16" s="26"/>
      <c r="G16" s="3"/>
      <c r="H16" s="3"/>
      <c r="I16" s="3"/>
      <c r="J16" s="26"/>
      <c r="K16" s="3"/>
      <c r="L16" s="3">
        <f>+D16-H16</f>
        <v>6795.85</v>
      </c>
      <c r="M16" s="3"/>
      <c r="N16" s="26">
        <f>IF(H16=0,0,L16/H16)</f>
        <v>0</v>
      </c>
      <c r="O16" s="9"/>
      <c r="P16" s="3">
        <f>--615964.37</f>
        <v>615964.37</v>
      </c>
      <c r="Q16" s="3"/>
      <c r="R16" s="26"/>
      <c r="S16" s="3"/>
      <c r="T16" s="3"/>
      <c r="U16" s="3"/>
      <c r="V16" s="26"/>
      <c r="W16" s="3"/>
      <c r="X16" s="3">
        <f>+P16-T16</f>
        <v>615964.37</v>
      </c>
      <c r="Y16" s="3"/>
      <c r="Z16" s="26">
        <f>IF(T16=0,0,X16/T16)</f>
        <v>0</v>
      </c>
    </row>
    <row r="17" spans="1:26" ht="15" customHeight="1" x14ac:dyDescent="0.3">
      <c r="A17" s="12"/>
      <c r="B17" s="13"/>
      <c r="C17" s="12"/>
      <c r="D17" s="4"/>
      <c r="E17" s="4"/>
      <c r="F17" s="10"/>
      <c r="G17" s="4"/>
      <c r="H17" s="4"/>
      <c r="I17" s="4"/>
      <c r="J17" s="10"/>
      <c r="K17" s="4"/>
      <c r="L17" s="4"/>
      <c r="M17" s="4"/>
      <c r="N17" s="10"/>
      <c r="P17" s="4"/>
      <c r="Q17" s="4"/>
      <c r="R17" s="10"/>
      <c r="S17" s="4"/>
      <c r="T17" s="4"/>
      <c r="U17" s="4"/>
      <c r="V17" s="10"/>
      <c r="W17" s="4"/>
      <c r="X17" s="4"/>
      <c r="Y17" s="4"/>
      <c r="Z17" s="10"/>
    </row>
    <row r="18" spans="1:26" s="63" customFormat="1" ht="15" customHeight="1" collapsed="1" x14ac:dyDescent="0.3">
      <c r="A18" s="13"/>
      <c r="B18" s="28" t="s">
        <v>288</v>
      </c>
      <c r="C18" s="13"/>
      <c r="D18" s="8">
        <f>SUM(OSRRefD16x_0)</f>
        <v>9038.17</v>
      </c>
      <c r="E18" s="8"/>
      <c r="F18" s="14">
        <f>IF(D$12=0,0,D18/D$12)</f>
        <v>1.2192932872678117</v>
      </c>
      <c r="G18" s="8"/>
      <c r="H18" s="8">
        <f>SUM(OSRRefH16x_0)</f>
        <v>5468</v>
      </c>
      <c r="I18" s="8"/>
      <c r="J18" s="14">
        <f>IF(H$12=0,0,H18/H$12)</f>
        <v>0.38001250955591076</v>
      </c>
      <c r="K18" s="8"/>
      <c r="L18" s="8">
        <f>+D18-H18</f>
        <v>3570.17</v>
      </c>
      <c r="M18" s="8"/>
      <c r="N18" s="14">
        <f>IF(H18=0,0,L18/H18)</f>
        <v>0.65292062911485005</v>
      </c>
      <c r="O18" s="13"/>
      <c r="P18" s="8">
        <f>SUM(OSRRefP16x_0)</f>
        <v>304095.15999999997</v>
      </c>
      <c r="Q18" s="8"/>
      <c r="R18" s="14">
        <f>IF(P$12=0,0,P18/P$12)</f>
        <v>0.44655318014656104</v>
      </c>
      <c r="S18" s="8"/>
      <c r="T18" s="8">
        <f>SUM(OSRRefT16x_0)</f>
        <v>189062</v>
      </c>
      <c r="U18" s="8"/>
      <c r="V18" s="14">
        <f>IF(T$12=0,0,T18/T$12)</f>
        <v>0.37999815088014083</v>
      </c>
      <c r="W18" s="8"/>
      <c r="X18" s="8">
        <f>+P18-T18</f>
        <v>115033.15999999997</v>
      </c>
      <c r="Y18" s="8"/>
      <c r="Z18" s="14">
        <f>IF(T18=0,0,X18/T18)</f>
        <v>0.60844146364684593</v>
      </c>
    </row>
    <row r="19" spans="1:26" s="70" customFormat="1" ht="15" hidden="1" customHeight="1" outlineLevel="1" x14ac:dyDescent="0.3">
      <c r="A19" s="48"/>
      <c r="B19" s="9" t="str">
        <f>CONCATENATE("          ","5000"," - ","PURCHASES @ COST")</f>
        <v xml:space="preserve">          5000 - PURCHASES @ COST</v>
      </c>
      <c r="C19" s="9"/>
      <c r="D19" s="3"/>
      <c r="E19" s="3"/>
      <c r="F19" s="26">
        <f>IF(D$12=0,0,D19/D$12)</f>
        <v>0</v>
      </c>
      <c r="G19" s="3"/>
      <c r="H19" s="3">
        <v>5468</v>
      </c>
      <c r="I19" s="3"/>
      <c r="J19" s="26">
        <f>IF(H$12=0,0,H19/H$12)</f>
        <v>0.38001250955591076</v>
      </c>
      <c r="K19" s="3"/>
      <c r="L19" s="3">
        <f>+D19-H19</f>
        <v>-5468</v>
      </c>
      <c r="M19" s="3"/>
      <c r="N19" s="26">
        <f>IF(H19=0,0,L19/H19)</f>
        <v>-1</v>
      </c>
      <c r="O19" s="9"/>
      <c r="P19" s="3"/>
      <c r="Q19" s="3"/>
      <c r="R19" s="26">
        <f>IF(P$12=0,0,P19/P$12)</f>
        <v>0</v>
      </c>
      <c r="S19" s="3"/>
      <c r="T19" s="3">
        <v>189062</v>
      </c>
      <c r="U19" s="3"/>
      <c r="V19" s="26">
        <f>IF(T$12=0,0,T19/T$12)</f>
        <v>0.37999815088014083</v>
      </c>
      <c r="W19" s="3"/>
      <c r="X19" s="3">
        <f>+P19-T19</f>
        <v>-189062</v>
      </c>
      <c r="Y19" s="3"/>
      <c r="Z19" s="26">
        <f>IF(T19=0,0,X19/T19)</f>
        <v>-1</v>
      </c>
    </row>
    <row r="20" spans="1:26" s="70" customFormat="1" ht="15" hidden="1" customHeight="1" outlineLevel="1" x14ac:dyDescent="0.3">
      <c r="A20" s="48"/>
      <c r="B20" s="9" t="str">
        <f>CONCATENATE("          ","5053"," - ","PURCHASES @ COST-FOOD")</f>
        <v xml:space="preserve">          5053 - PURCHASES @ COST-FOOD</v>
      </c>
      <c r="C20" s="9"/>
      <c r="D20" s="3">
        <v>1961.27</v>
      </c>
      <c r="E20" s="3"/>
      <c r="F20" s="26">
        <f>IF(D$12=0,0,D20/D$12)</f>
        <v>0.26458490441314353</v>
      </c>
      <c r="G20" s="3"/>
      <c r="H20" s="3"/>
      <c r="I20" s="3"/>
      <c r="J20" s="26">
        <f>IF(H$12=0,0,H20/H$12)</f>
        <v>0</v>
      </c>
      <c r="K20" s="3"/>
      <c r="L20" s="3">
        <f>+D20-H20</f>
        <v>1961.27</v>
      </c>
      <c r="M20" s="3"/>
      <c r="N20" s="26">
        <f>IF(H20=0,0,L20/H20)</f>
        <v>0</v>
      </c>
      <c r="O20" s="9"/>
      <c r="P20" s="3">
        <v>212457.61</v>
      </c>
      <c r="Q20" s="3"/>
      <c r="R20" s="26">
        <f>IF(P$12=0,0,P20/P$12)</f>
        <v>0.31198662087169626</v>
      </c>
      <c r="S20" s="3"/>
      <c r="T20" s="3"/>
      <c r="U20" s="3"/>
      <c r="V20" s="26">
        <f>IF(T$12=0,0,T20/T$12)</f>
        <v>0</v>
      </c>
      <c r="W20" s="3"/>
      <c r="X20" s="3">
        <f>+P20-T20</f>
        <v>212457.61</v>
      </c>
      <c r="Y20" s="3"/>
      <c r="Z20" s="26">
        <f>IF(T20=0,0,X20/T20)</f>
        <v>0</v>
      </c>
    </row>
    <row r="21" spans="1:26" s="70" customFormat="1" ht="15" hidden="1" customHeight="1" outlineLevel="1" x14ac:dyDescent="0.3">
      <c r="A21" s="48"/>
      <c r="B21" s="9" t="str">
        <f>CONCATENATE("          ","5059"," - ","PURCHASES @ COST-FOOD")</f>
        <v xml:space="preserve">          5059 - PURCHASES @ COST-FOOD</v>
      </c>
      <c r="C21" s="9"/>
      <c r="D21" s="3">
        <v>7076.9</v>
      </c>
      <c r="E21" s="3"/>
      <c r="F21" s="26">
        <f>IF(D$12=0,0,D21/D$12)</f>
        <v>0.9547083828546683</v>
      </c>
      <c r="G21" s="3"/>
      <c r="H21" s="3"/>
      <c r="I21" s="3"/>
      <c r="J21" s="26">
        <f>IF(H$12=0,0,H21/H$12)</f>
        <v>0</v>
      </c>
      <c r="K21" s="3"/>
      <c r="L21" s="3">
        <f>+D21-H21</f>
        <v>7076.9</v>
      </c>
      <c r="M21" s="3"/>
      <c r="N21" s="26">
        <f>IF(H21=0,0,L21/H21)</f>
        <v>0</v>
      </c>
      <c r="O21" s="9"/>
      <c r="P21" s="3">
        <v>91637.55</v>
      </c>
      <c r="Q21" s="3"/>
      <c r="R21" s="26">
        <f>IF(P$12=0,0,P21/P$12)</f>
        <v>0.13456655927486483</v>
      </c>
      <c r="S21" s="3"/>
      <c r="T21" s="3"/>
      <c r="U21" s="3"/>
      <c r="V21" s="26">
        <f>IF(T$12=0,0,T21/T$12)</f>
        <v>0</v>
      </c>
      <c r="W21" s="3"/>
      <c r="X21" s="3">
        <f>+P21-T21</f>
        <v>91637.55</v>
      </c>
      <c r="Y21" s="3"/>
      <c r="Z21" s="26">
        <f>IF(T21=0,0,X21/T21)</f>
        <v>0</v>
      </c>
    </row>
    <row r="22" spans="1:26" ht="15" customHeight="1" x14ac:dyDescent="0.3">
      <c r="A22" s="12"/>
      <c r="B22" s="13"/>
      <c r="C22" s="13"/>
      <c r="D22" s="4"/>
      <c r="E22" s="4"/>
      <c r="F22" s="10"/>
      <c r="G22" s="4"/>
      <c r="H22" s="4"/>
      <c r="I22" s="4"/>
      <c r="J22" s="10"/>
      <c r="K22" s="4"/>
      <c r="L22" s="4"/>
      <c r="M22" s="4"/>
      <c r="N22" s="10"/>
      <c r="O22" s="13"/>
      <c r="P22" s="4"/>
      <c r="Q22" s="4"/>
      <c r="R22" s="10"/>
      <c r="S22" s="4"/>
      <c r="T22" s="4"/>
      <c r="U22" s="4"/>
      <c r="V22" s="10"/>
      <c r="W22" s="4"/>
      <c r="X22" s="4"/>
      <c r="Y22" s="4"/>
      <c r="Z22" s="10"/>
    </row>
    <row r="23" spans="1:26" s="63" customFormat="1" ht="15" customHeight="1" x14ac:dyDescent="0.3">
      <c r="A23" s="13"/>
      <c r="B23" s="27" t="s">
        <v>289</v>
      </c>
      <c r="C23" s="27"/>
      <c r="D23" s="23">
        <f>D12-D18</f>
        <v>-1625.54</v>
      </c>
      <c r="E23" s="15"/>
      <c r="F23" s="22">
        <f>IF(D$12=0,0,D23/D$12)</f>
        <v>-0.21929328726781183</v>
      </c>
      <c r="G23" s="15"/>
      <c r="H23" s="23">
        <f>H12-H18</f>
        <v>8921</v>
      </c>
      <c r="I23" s="15"/>
      <c r="J23" s="22">
        <f>IF(H$12=0,0,H23/H$12)</f>
        <v>0.61998749044408918</v>
      </c>
      <c r="K23" s="17"/>
      <c r="L23" s="23">
        <f>+D23-H23</f>
        <v>-10546.54</v>
      </c>
      <c r="M23" s="17"/>
      <c r="N23" s="22">
        <f>IF(H23=0,0,L23/H23)</f>
        <v>-1.1822149983185744</v>
      </c>
      <c r="O23" s="28"/>
      <c r="P23" s="23">
        <f>P12-P18</f>
        <v>376887.92</v>
      </c>
      <c r="Q23" s="15"/>
      <c r="R23" s="22">
        <f>IF(P$12=0,0,P23/P$12)</f>
        <v>0.55344681985343891</v>
      </c>
      <c r="S23" s="15"/>
      <c r="T23" s="23">
        <f>T12-T18</f>
        <v>308472</v>
      </c>
      <c r="U23" s="15"/>
      <c r="V23" s="22">
        <f>IF(T$12=0,0,T23/T$12)</f>
        <v>0.62000184911985912</v>
      </c>
      <c r="W23" s="17"/>
      <c r="X23" s="23">
        <f>+P23-T23</f>
        <v>68415.919999999984</v>
      </c>
      <c r="Y23" s="17"/>
      <c r="Z23" s="22">
        <f>IF(T23=0,0,X23/T23)</f>
        <v>0.22178972483726234</v>
      </c>
    </row>
    <row r="24" spans="1:26" ht="15" customHeight="1" x14ac:dyDescent="0.3">
      <c r="A24" s="12"/>
      <c r="B24" s="13"/>
      <c r="C24" s="12"/>
      <c r="D24" s="2"/>
      <c r="E24" s="2"/>
      <c r="F24" s="5"/>
      <c r="G24" s="2"/>
      <c r="H24" s="2"/>
      <c r="I24" s="2"/>
      <c r="J24" s="5"/>
      <c r="K24" s="2"/>
      <c r="L24" s="2"/>
      <c r="M24" s="2"/>
      <c r="N24" s="5"/>
      <c r="O24" s="36"/>
      <c r="P24" s="2"/>
      <c r="Q24" s="2"/>
      <c r="R24" s="5"/>
      <c r="S24" s="2"/>
      <c r="T24" s="2"/>
      <c r="U24" s="2"/>
      <c r="V24" s="5"/>
      <c r="W24" s="2"/>
      <c r="X24" s="2"/>
      <c r="Y24" s="2"/>
      <c r="Z24" s="5"/>
    </row>
    <row r="25" spans="1:26" s="63" customFormat="1" ht="15" customHeight="1" x14ac:dyDescent="0.3">
      <c r="A25" s="13"/>
      <c r="B25" s="28" t="s">
        <v>290</v>
      </c>
      <c r="C25" s="13"/>
      <c r="D25" s="24" cm="1">
        <f t="array" ref="D25">SUM(OSRRefD22x_0)</f>
        <v>51631.38</v>
      </c>
      <c r="E25" s="24"/>
      <c r="F25" s="34">
        <f t="shared" ref="F25:F56" si="0">IF(D$12=0,0,D25/D$12)</f>
        <v>6.9653253973286127</v>
      </c>
      <c r="G25" s="24"/>
      <c r="H25" s="24" cm="1">
        <f t="array" ref="H25">SUM(OSRRefH22x_0)</f>
        <v>25762.653577846151</v>
      </c>
      <c r="I25" s="24"/>
      <c r="J25" s="34">
        <f t="shared" ref="J25:J56" si="1">IF(H$12=0,0,H25/H$12)</f>
        <v>1.7904408630096706</v>
      </c>
      <c r="K25" s="8"/>
      <c r="L25" s="24">
        <f t="shared" ref="L25:L56" si="2">+D25-H25</f>
        <v>25868.726422153846</v>
      </c>
      <c r="M25" s="8"/>
      <c r="N25" s="34">
        <f t="shared" ref="N25:N56" si="3">IF(H25=0,0,L25/H25)</f>
        <v>1.0041173105086858</v>
      </c>
      <c r="O25" s="13"/>
      <c r="P25" s="24" cm="1">
        <f t="array" ref="P25">SUM(OSRRefP22x_0)</f>
        <v>462881.17000000004</v>
      </c>
      <c r="Q25" s="24"/>
      <c r="R25" s="34">
        <f t="shared" ref="R25:R56" si="4">IF(P$12=0,0,P25/P$12)</f>
        <v>0.67972492062504708</v>
      </c>
      <c r="S25" s="24"/>
      <c r="T25" s="24" cm="1">
        <f t="array" ref="T25">SUM(OSRRefT22x_0)</f>
        <v>407412.21732599998</v>
      </c>
      <c r="U25" s="24"/>
      <c r="V25" s="34">
        <f t="shared" ref="V25:V56" si="5">IF(T$12=0,0,T25/T$12)</f>
        <v>0.8188630672999232</v>
      </c>
      <c r="W25" s="8"/>
      <c r="X25" s="24">
        <f t="shared" ref="X25:X56" si="6">+P25-T25</f>
        <v>55468.952674000058</v>
      </c>
      <c r="Y25" s="8"/>
      <c r="Z25" s="34">
        <f t="shared" ref="Z25:Z56" si="7">IF(T25=0,0,X25/T25)</f>
        <v>0.13614945825155592</v>
      </c>
    </row>
    <row r="26" spans="1:26" s="69" customFormat="1" ht="15" customHeight="1" outlineLevel="1" collapsed="1" x14ac:dyDescent="0.3">
      <c r="A26" s="20"/>
      <c r="B26" s="11" t="str">
        <f>CONCATENATE("     ","*Benefits                                         ")</f>
        <v xml:space="preserve">     *Benefits                                         </v>
      </c>
      <c r="C26" s="11"/>
      <c r="D26" s="2">
        <f>SUM(OSRRefD22_0x_0)</f>
        <v>4394.4399999999996</v>
      </c>
      <c r="E26" s="2"/>
      <c r="F26" s="5">
        <f t="shared" si="0"/>
        <v>0.59283142420436463</v>
      </c>
      <c r="G26" s="2"/>
      <c r="H26" s="2">
        <f>SUM(OSRRefH22_0x_0)</f>
        <v>3684.570816307692</v>
      </c>
      <c r="I26" s="2"/>
      <c r="J26" s="5">
        <f t="shared" si="1"/>
        <v>0.25606858129874849</v>
      </c>
      <c r="K26" s="2"/>
      <c r="L26" s="2">
        <f t="shared" si="2"/>
        <v>709.86918369230762</v>
      </c>
      <c r="M26" s="2"/>
      <c r="N26" s="5">
        <f t="shared" si="3"/>
        <v>0.19265993763791123</v>
      </c>
      <c r="O26" s="11"/>
      <c r="P26" s="2">
        <f>SUM(OSRRefP22_0x_0)</f>
        <v>57539.210000000006</v>
      </c>
      <c r="Q26" s="2"/>
      <c r="R26" s="5">
        <f t="shared" si="4"/>
        <v>8.4494331342270662E-2</v>
      </c>
      <c r="S26" s="2"/>
      <c r="T26" s="2">
        <f>SUM(OSRRefT22_0x_0)</f>
        <v>50512.011525999995</v>
      </c>
      <c r="U26" s="2"/>
      <c r="V26" s="5">
        <f t="shared" si="5"/>
        <v>0.10152474308489469</v>
      </c>
      <c r="W26" s="2"/>
      <c r="X26" s="2">
        <f t="shared" si="6"/>
        <v>7027.1984740000116</v>
      </c>
      <c r="Y26" s="2"/>
      <c r="Z26" s="5">
        <f t="shared" si="7"/>
        <v>0.13911935521282714</v>
      </c>
    </row>
    <row r="27" spans="1:26" s="70" customFormat="1" ht="15" hidden="1" customHeight="1" outlineLevel="2" x14ac:dyDescent="0.3">
      <c r="A27" s="21"/>
      <c r="B27" s="9" t="str">
        <f>CONCATENATE("          ","6111"," - ","F.I.C.A.")</f>
        <v xml:space="preserve">          6111 - F.I.C.A.</v>
      </c>
      <c r="C27" s="9"/>
      <c r="D27" s="6">
        <v>853.46</v>
      </c>
      <c r="E27" s="3"/>
      <c r="F27" s="7">
        <f t="shared" si="0"/>
        <v>0.11513592341719471</v>
      </c>
      <c r="G27" s="3"/>
      <c r="H27" s="6">
        <v>367.28748553846202</v>
      </c>
      <c r="I27" s="3"/>
      <c r="J27" s="7">
        <f t="shared" si="1"/>
        <v>2.5525574087043021E-2</v>
      </c>
      <c r="K27" s="3"/>
      <c r="L27" s="6">
        <f t="shared" si="2"/>
        <v>486.17251446153801</v>
      </c>
      <c r="M27" s="3"/>
      <c r="N27" s="7">
        <f t="shared" si="3"/>
        <v>1.323683854212415</v>
      </c>
      <c r="O27" s="9"/>
      <c r="P27" s="6">
        <v>10244.15</v>
      </c>
      <c r="Q27" s="3"/>
      <c r="R27" s="7">
        <f t="shared" si="4"/>
        <v>1.5043178459000774E-2</v>
      </c>
      <c r="S27" s="3"/>
      <c r="T27" s="6">
        <v>4949.5165260000003</v>
      </c>
      <c r="U27" s="3"/>
      <c r="V27" s="7">
        <f t="shared" si="5"/>
        <v>9.9480970667331289E-3</v>
      </c>
      <c r="W27" s="3"/>
      <c r="X27" s="6">
        <f t="shared" si="6"/>
        <v>5294.6334739999993</v>
      </c>
      <c r="Y27" s="3"/>
      <c r="Z27" s="7">
        <f t="shared" si="7"/>
        <v>1.0697274059369408</v>
      </c>
    </row>
    <row r="28" spans="1:26" s="70" customFormat="1" ht="15" hidden="1" customHeight="1" outlineLevel="2" x14ac:dyDescent="0.3">
      <c r="A28" s="21"/>
      <c r="B28" s="9" t="str">
        <f>CONCATENATE("          ","6112"," - ","COMPENSATION INSURANCE")</f>
        <v xml:space="preserve">          6112 - COMPENSATION INSURANCE</v>
      </c>
      <c r="C28" s="9"/>
      <c r="D28" s="6"/>
      <c r="E28" s="3"/>
      <c r="F28" s="7">
        <f t="shared" si="0"/>
        <v>0</v>
      </c>
      <c r="G28" s="3"/>
      <c r="H28" s="6">
        <v>450.23121330769197</v>
      </c>
      <c r="I28" s="3"/>
      <c r="J28" s="7">
        <f t="shared" si="1"/>
        <v>3.1289958531356729E-2</v>
      </c>
      <c r="K28" s="3"/>
      <c r="L28" s="6">
        <f t="shared" si="2"/>
        <v>-450.23121330769197</v>
      </c>
      <c r="M28" s="3"/>
      <c r="N28" s="7">
        <f t="shared" si="3"/>
        <v>-1</v>
      </c>
      <c r="O28" s="9"/>
      <c r="P28" s="6">
        <v>8314.1</v>
      </c>
      <c r="Q28" s="3"/>
      <c r="R28" s="7">
        <f t="shared" si="4"/>
        <v>1.2208967071546038E-2</v>
      </c>
      <c r="S28" s="3"/>
      <c r="T28" s="6">
        <v>8363.5574859999997</v>
      </c>
      <c r="U28" s="3"/>
      <c r="V28" s="7">
        <f t="shared" si="5"/>
        <v>1.6810022000506498E-2</v>
      </c>
      <c r="W28" s="3"/>
      <c r="X28" s="6">
        <f t="shared" si="6"/>
        <v>-49.457485999999335</v>
      </c>
      <c r="Y28" s="3"/>
      <c r="Z28" s="7">
        <f t="shared" si="7"/>
        <v>-5.9134508351006915E-3</v>
      </c>
    </row>
    <row r="29" spans="1:26" s="70" customFormat="1" ht="15" hidden="1" customHeight="1" outlineLevel="2" x14ac:dyDescent="0.3">
      <c r="A29" s="21"/>
      <c r="B29" s="9" t="str">
        <f>CONCATENATE("          ","6113"," - ","GROUP INSURANCE")</f>
        <v xml:space="preserve">          6113 - GROUP INSURANCE</v>
      </c>
      <c r="C29" s="9"/>
      <c r="D29" s="6">
        <v>2033.2</v>
      </c>
      <c r="E29" s="3"/>
      <c r="F29" s="7">
        <f t="shared" si="0"/>
        <v>0.27428861281353584</v>
      </c>
      <c r="G29" s="3"/>
      <c r="H29" s="6">
        <v>1977</v>
      </c>
      <c r="I29" s="3"/>
      <c r="J29" s="7">
        <f t="shared" si="1"/>
        <v>0.13739662241990408</v>
      </c>
      <c r="K29" s="3"/>
      <c r="L29" s="6">
        <f t="shared" si="2"/>
        <v>56.200000000000045</v>
      </c>
      <c r="M29" s="3"/>
      <c r="N29" s="7">
        <f t="shared" si="3"/>
        <v>2.8426909458775945E-2</v>
      </c>
      <c r="O29" s="9"/>
      <c r="P29" s="6">
        <v>19799.03</v>
      </c>
      <c r="Q29" s="3"/>
      <c r="R29" s="7">
        <f t="shared" si="4"/>
        <v>2.907418786381594E-2</v>
      </c>
      <c r="S29" s="3"/>
      <c r="T29" s="6">
        <v>23724</v>
      </c>
      <c r="U29" s="3"/>
      <c r="V29" s="7">
        <f t="shared" si="5"/>
        <v>4.7683173411264358E-2</v>
      </c>
      <c r="W29" s="3"/>
      <c r="X29" s="6">
        <f t="shared" si="6"/>
        <v>-3924.9700000000012</v>
      </c>
      <c r="Y29" s="3"/>
      <c r="Z29" s="7">
        <f t="shared" si="7"/>
        <v>-0.16544301129657735</v>
      </c>
    </row>
    <row r="30" spans="1:26" s="70" customFormat="1" ht="15" hidden="1" customHeight="1" outlineLevel="2" x14ac:dyDescent="0.3">
      <c r="A30" s="21"/>
      <c r="B30" s="9" t="str">
        <f>CONCATENATE("          ","6114"," - ","STATE UNEMPLOYMENT INSURANCE")</f>
        <v xml:space="preserve">          6114 - STATE UNEMPLOYMENT INSURANCE</v>
      </c>
      <c r="C30" s="9"/>
      <c r="D30" s="6"/>
      <c r="E30" s="3"/>
      <c r="F30" s="7">
        <f t="shared" si="0"/>
        <v>0</v>
      </c>
      <c r="G30" s="3"/>
      <c r="H30" s="6">
        <v>24.946848230769199</v>
      </c>
      <c r="I30" s="3"/>
      <c r="J30" s="7">
        <f t="shared" si="1"/>
        <v>1.7337444041121133E-3</v>
      </c>
      <c r="K30" s="3"/>
      <c r="L30" s="6">
        <f t="shared" si="2"/>
        <v>-24.946848230769199</v>
      </c>
      <c r="M30" s="3"/>
      <c r="N30" s="7">
        <f t="shared" si="3"/>
        <v>-1</v>
      </c>
      <c r="O30" s="9"/>
      <c r="P30" s="6">
        <v>600.47</v>
      </c>
      <c r="Q30" s="3"/>
      <c r="R30" s="7">
        <f t="shared" si="4"/>
        <v>8.8176933852747127E-4</v>
      </c>
      <c r="S30" s="3"/>
      <c r="T30" s="6">
        <v>463.41611399999999</v>
      </c>
      <c r="U30" s="3"/>
      <c r="V30" s="7">
        <f t="shared" si="5"/>
        <v>9.3142602113624397E-4</v>
      </c>
      <c r="W30" s="3"/>
      <c r="X30" s="6">
        <f t="shared" si="6"/>
        <v>137.05388600000003</v>
      </c>
      <c r="Y30" s="3"/>
      <c r="Z30" s="7">
        <f t="shared" si="7"/>
        <v>0.29574691483429949</v>
      </c>
    </row>
    <row r="31" spans="1:26" s="70" customFormat="1" ht="15" hidden="1" customHeight="1" outlineLevel="2" x14ac:dyDescent="0.3">
      <c r="A31" s="21"/>
      <c r="B31" s="9" t="str">
        <f>CONCATENATE("          ","6115"," - ","P.E.R.S.")</f>
        <v xml:space="preserve">          6115 - P.E.R.S.</v>
      </c>
      <c r="C31" s="9"/>
      <c r="D31" s="6">
        <v>293.76</v>
      </c>
      <c r="E31" s="3"/>
      <c r="F31" s="7">
        <f t="shared" si="0"/>
        <v>3.9629659108845305E-2</v>
      </c>
      <c r="G31" s="3"/>
      <c r="H31" s="6">
        <v>412.736492307692</v>
      </c>
      <c r="I31" s="3"/>
      <c r="J31" s="7">
        <f t="shared" si="1"/>
        <v>2.868416792742317E-2</v>
      </c>
      <c r="K31" s="3"/>
      <c r="L31" s="6">
        <f t="shared" si="2"/>
        <v>-118.97649230769201</v>
      </c>
      <c r="M31" s="3"/>
      <c r="N31" s="7">
        <f t="shared" si="3"/>
        <v>-0.28826259496094159</v>
      </c>
      <c r="O31" s="9"/>
      <c r="P31" s="6">
        <v>4876.22</v>
      </c>
      <c r="Q31" s="3"/>
      <c r="R31" s="7">
        <f t="shared" si="4"/>
        <v>7.1605597014245941E-3</v>
      </c>
      <c r="S31" s="3"/>
      <c r="T31" s="6">
        <v>5185.3872000000001</v>
      </c>
      <c r="U31" s="3"/>
      <c r="V31" s="7">
        <f t="shared" si="5"/>
        <v>1.0422176574867246E-2</v>
      </c>
      <c r="W31" s="3"/>
      <c r="X31" s="6">
        <f t="shared" si="6"/>
        <v>-309.16719999999987</v>
      </c>
      <c r="Y31" s="3"/>
      <c r="Z31" s="7">
        <f t="shared" si="7"/>
        <v>-5.9622779953635838E-2</v>
      </c>
    </row>
    <row r="32" spans="1:26" s="70" customFormat="1" ht="15" hidden="1" customHeight="1" outlineLevel="2" x14ac:dyDescent="0.3">
      <c r="A32" s="21"/>
      <c r="B32" s="9" t="str">
        <f>CONCATENATE("          ","6116"," - ","EDUCATIONAL BENEFITS")</f>
        <v xml:space="preserve">          6116 - EDUCATIONAL BENEFITS</v>
      </c>
      <c r="C32" s="9"/>
      <c r="D32" s="6"/>
      <c r="E32" s="3"/>
      <c r="F32" s="7">
        <f t="shared" si="0"/>
        <v>0</v>
      </c>
      <c r="G32" s="3"/>
      <c r="H32" s="6">
        <v>0</v>
      </c>
      <c r="I32" s="3"/>
      <c r="J32" s="7">
        <f t="shared" si="1"/>
        <v>0</v>
      </c>
      <c r="K32" s="3"/>
      <c r="L32" s="6">
        <f t="shared" si="2"/>
        <v>0</v>
      </c>
      <c r="M32" s="3"/>
      <c r="N32" s="7">
        <f t="shared" si="3"/>
        <v>0</v>
      </c>
      <c r="O32" s="9"/>
      <c r="P32" s="6"/>
      <c r="Q32" s="3"/>
      <c r="R32" s="7">
        <f t="shared" si="4"/>
        <v>0</v>
      </c>
      <c r="S32" s="3"/>
      <c r="T32" s="6">
        <v>0</v>
      </c>
      <c r="U32" s="3"/>
      <c r="V32" s="7">
        <f t="shared" si="5"/>
        <v>0</v>
      </c>
      <c r="W32" s="3"/>
      <c r="X32" s="6">
        <f t="shared" si="6"/>
        <v>0</v>
      </c>
      <c r="Y32" s="3"/>
      <c r="Z32" s="7">
        <f t="shared" si="7"/>
        <v>0</v>
      </c>
    </row>
    <row r="33" spans="1:26" s="70" customFormat="1" ht="15" hidden="1" customHeight="1" outlineLevel="2" x14ac:dyDescent="0.3">
      <c r="A33" s="21"/>
      <c r="B33" s="9" t="str">
        <f>CONCATENATE("          ","6118"," - ","VACATION")</f>
        <v xml:space="preserve">          6118 - VACATION</v>
      </c>
      <c r="C33" s="9"/>
      <c r="D33" s="6">
        <v>339.74</v>
      </c>
      <c r="E33" s="3"/>
      <c r="F33" s="7">
        <f t="shared" si="0"/>
        <v>4.5832585735427235E-2</v>
      </c>
      <c r="G33" s="3"/>
      <c r="H33" s="6">
        <v>143.977846153846</v>
      </c>
      <c r="I33" s="3"/>
      <c r="J33" s="7">
        <f t="shared" si="1"/>
        <v>1.0006105090961568E-2</v>
      </c>
      <c r="K33" s="3"/>
      <c r="L33" s="6">
        <f t="shared" si="2"/>
        <v>195.76215384615401</v>
      </c>
      <c r="M33" s="3"/>
      <c r="N33" s="7">
        <f t="shared" si="3"/>
        <v>1.3596685814911722</v>
      </c>
      <c r="O33" s="9"/>
      <c r="P33" s="6">
        <v>4141.9399999999996</v>
      </c>
      <c r="Q33" s="3"/>
      <c r="R33" s="7">
        <f t="shared" si="4"/>
        <v>6.082295025597405E-3</v>
      </c>
      <c r="S33" s="3"/>
      <c r="T33" s="6">
        <v>1808.856</v>
      </c>
      <c r="U33" s="3"/>
      <c r="V33" s="7">
        <f t="shared" si="5"/>
        <v>3.6356429912327601E-3</v>
      </c>
      <c r="W33" s="3"/>
      <c r="X33" s="6">
        <f t="shared" si="6"/>
        <v>2333.0839999999998</v>
      </c>
      <c r="Y33" s="3"/>
      <c r="Z33" s="7">
        <f t="shared" si="7"/>
        <v>1.289811903213965</v>
      </c>
    </row>
    <row r="34" spans="1:26" s="70" customFormat="1" ht="15" hidden="1" customHeight="1" outlineLevel="2" x14ac:dyDescent="0.3">
      <c r="A34" s="21"/>
      <c r="B34" s="9" t="str">
        <f>CONCATENATE("          ","6119"," - ","SICK LEAVE")</f>
        <v xml:space="preserve">          6119 - SICK LEAVE</v>
      </c>
      <c r="C34" s="9"/>
      <c r="D34" s="6">
        <v>407.04</v>
      </c>
      <c r="E34" s="3"/>
      <c r="F34" s="7">
        <f t="shared" si="0"/>
        <v>5.4911684516831413E-2</v>
      </c>
      <c r="G34" s="3"/>
      <c r="H34" s="6">
        <v>308.39093076923098</v>
      </c>
      <c r="I34" s="3"/>
      <c r="J34" s="7">
        <f t="shared" si="1"/>
        <v>2.1432408837947805E-2</v>
      </c>
      <c r="K34" s="3"/>
      <c r="L34" s="6">
        <f t="shared" si="2"/>
        <v>98.649069230769044</v>
      </c>
      <c r="M34" s="3"/>
      <c r="N34" s="7">
        <f t="shared" si="3"/>
        <v>0.31988317226030283</v>
      </c>
      <c r="O34" s="9"/>
      <c r="P34" s="6">
        <v>4871.97</v>
      </c>
      <c r="Q34" s="3"/>
      <c r="R34" s="7">
        <f t="shared" si="4"/>
        <v>7.1543187240423077E-3</v>
      </c>
      <c r="S34" s="3"/>
      <c r="T34" s="6">
        <v>6017.2781999999997</v>
      </c>
      <c r="U34" s="3"/>
      <c r="V34" s="7">
        <f t="shared" si="5"/>
        <v>1.209420501915447E-2</v>
      </c>
      <c r="W34" s="3"/>
      <c r="X34" s="6">
        <f t="shared" si="6"/>
        <v>-1145.3081999999995</v>
      </c>
      <c r="Y34" s="3"/>
      <c r="Z34" s="7">
        <f t="shared" si="7"/>
        <v>-0.19033658772831868</v>
      </c>
    </row>
    <row r="35" spans="1:26" s="70" customFormat="1" ht="15" hidden="1" customHeight="1" outlineLevel="2" x14ac:dyDescent="0.3">
      <c r="A35" s="21"/>
      <c r="B35" s="9" t="str">
        <f>CONCATENATE("          ","6156"," - ","EMPLOYEE MEALS")</f>
        <v xml:space="preserve">          6156 - EMPLOYEE MEALS</v>
      </c>
      <c r="C35" s="9"/>
      <c r="D35" s="6">
        <v>467.24</v>
      </c>
      <c r="E35" s="3"/>
      <c r="F35" s="7">
        <f t="shared" si="0"/>
        <v>6.3032958612530235E-2</v>
      </c>
      <c r="G35" s="3"/>
      <c r="H35" s="6"/>
      <c r="I35" s="3"/>
      <c r="J35" s="7">
        <f t="shared" si="1"/>
        <v>0</v>
      </c>
      <c r="K35" s="3"/>
      <c r="L35" s="6">
        <f t="shared" si="2"/>
        <v>467.24</v>
      </c>
      <c r="M35" s="3"/>
      <c r="N35" s="7">
        <f t="shared" si="3"/>
        <v>0</v>
      </c>
      <c r="O35" s="9"/>
      <c r="P35" s="6">
        <v>4691.33</v>
      </c>
      <c r="Q35" s="3"/>
      <c r="R35" s="7">
        <f t="shared" si="4"/>
        <v>6.8890551583161222E-3</v>
      </c>
      <c r="S35" s="3"/>
      <c r="T35" s="6"/>
      <c r="U35" s="3"/>
      <c r="V35" s="7">
        <f t="shared" si="5"/>
        <v>0</v>
      </c>
      <c r="W35" s="3"/>
      <c r="X35" s="6">
        <f t="shared" si="6"/>
        <v>4691.33</v>
      </c>
      <c r="Y35" s="3"/>
      <c r="Z35" s="7">
        <f t="shared" si="7"/>
        <v>0</v>
      </c>
    </row>
    <row r="36" spans="1:26" s="69" customFormat="1" ht="15" customHeight="1" outlineLevel="1" collapsed="1" x14ac:dyDescent="0.3">
      <c r="A36" s="20"/>
      <c r="B36" s="11" t="str">
        <f>CONCATENATE("     ","*Payroll                                          ")</f>
        <v xml:space="preserve">     *Payroll                                          </v>
      </c>
      <c r="C36" s="11"/>
      <c r="D36" s="2">
        <f>SUM(OSRRefD22_1x_0)</f>
        <v>10304.67</v>
      </c>
      <c r="E36" s="2"/>
      <c r="F36" s="5">
        <f t="shared" si="0"/>
        <v>1.3901503245137017</v>
      </c>
      <c r="G36" s="2"/>
      <c r="H36" s="2">
        <f>SUM(OSRRefH22_1x_0)</f>
        <v>11427.082761538461</v>
      </c>
      <c r="I36" s="2"/>
      <c r="J36" s="5">
        <f t="shared" si="1"/>
        <v>0.79415405945781226</v>
      </c>
      <c r="K36" s="2"/>
      <c r="L36" s="2">
        <f t="shared" si="2"/>
        <v>-1122.4127615384605</v>
      </c>
      <c r="M36" s="2"/>
      <c r="N36" s="5">
        <f t="shared" si="3"/>
        <v>-9.822391112071957E-2</v>
      </c>
      <c r="O36" s="11"/>
      <c r="P36" s="2">
        <f>SUM(OSRRefP22_1x_0)</f>
        <v>236581</v>
      </c>
      <c r="Q36" s="2"/>
      <c r="R36" s="5">
        <f t="shared" si="4"/>
        <v>0.34741098119501002</v>
      </c>
      <c r="S36" s="2"/>
      <c r="T36" s="2">
        <f>SUM(OSRRefT22_1x_0)</f>
        <v>212848.2058</v>
      </c>
      <c r="U36" s="2"/>
      <c r="V36" s="5">
        <f t="shared" si="5"/>
        <v>0.42780635253068133</v>
      </c>
      <c r="W36" s="2"/>
      <c r="X36" s="2">
        <f t="shared" si="6"/>
        <v>23732.794200000004</v>
      </c>
      <c r="Y36" s="2"/>
      <c r="Z36" s="5">
        <f t="shared" si="7"/>
        <v>0.11150103009231006</v>
      </c>
    </row>
    <row r="37" spans="1:26" s="70" customFormat="1" ht="15" hidden="1" customHeight="1" outlineLevel="2" x14ac:dyDescent="0.3">
      <c r="A37" s="21"/>
      <c r="B37" s="9" t="str">
        <f>CONCATENATE("          ","6001"," - ","ADMINISTRATIVE SALARIES")</f>
        <v xml:space="preserve">          6001 - ADMINISTRATIVE SALARIES</v>
      </c>
      <c r="C37" s="9"/>
      <c r="D37" s="6"/>
      <c r="E37" s="3"/>
      <c r="F37" s="7">
        <f t="shared" si="0"/>
        <v>0</v>
      </c>
      <c r="G37" s="3"/>
      <c r="H37" s="6">
        <v>0</v>
      </c>
      <c r="I37" s="3"/>
      <c r="J37" s="7">
        <f t="shared" si="1"/>
        <v>0</v>
      </c>
      <c r="K37" s="3"/>
      <c r="L37" s="6">
        <f t="shared" si="2"/>
        <v>0</v>
      </c>
      <c r="M37" s="3"/>
      <c r="N37" s="7">
        <f t="shared" si="3"/>
        <v>0</v>
      </c>
      <c r="O37" s="9"/>
      <c r="P37" s="6"/>
      <c r="Q37" s="3"/>
      <c r="R37" s="7">
        <f t="shared" si="4"/>
        <v>0</v>
      </c>
      <c r="S37" s="3"/>
      <c r="T37" s="6">
        <v>0</v>
      </c>
      <c r="U37" s="3"/>
      <c r="V37" s="7">
        <f t="shared" si="5"/>
        <v>0</v>
      </c>
      <c r="W37" s="3"/>
      <c r="X37" s="6">
        <f t="shared" si="6"/>
        <v>0</v>
      </c>
      <c r="Y37" s="3"/>
      <c r="Z37" s="7">
        <f t="shared" si="7"/>
        <v>0</v>
      </c>
    </row>
    <row r="38" spans="1:26" s="70" customFormat="1" ht="15" hidden="1" customHeight="1" outlineLevel="2" x14ac:dyDescent="0.3">
      <c r="A38" s="21"/>
      <c r="B38" s="9" t="str">
        <f>CONCATENATE("          ","6002"," - ","STAFF SALARIES")</f>
        <v xml:space="preserve">          6002 - STAFF SALARIES</v>
      </c>
      <c r="C38" s="9"/>
      <c r="D38" s="6">
        <v>4677.8900000000003</v>
      </c>
      <c r="E38" s="3"/>
      <c r="F38" s="7">
        <f t="shared" si="0"/>
        <v>0.63107021394565765</v>
      </c>
      <c r="G38" s="3"/>
      <c r="H38" s="6">
        <v>4559.2984615384603</v>
      </c>
      <c r="I38" s="3"/>
      <c r="J38" s="7">
        <f t="shared" si="1"/>
        <v>0.31685999454711655</v>
      </c>
      <c r="K38" s="3"/>
      <c r="L38" s="6">
        <f t="shared" si="2"/>
        <v>118.59153846154004</v>
      </c>
      <c r="M38" s="3"/>
      <c r="N38" s="7">
        <f t="shared" si="3"/>
        <v>2.6010918008978794E-2</v>
      </c>
      <c r="O38" s="9"/>
      <c r="P38" s="6">
        <v>64245.25</v>
      </c>
      <c r="Q38" s="3"/>
      <c r="R38" s="7">
        <f t="shared" si="4"/>
        <v>9.4341918157496665E-2</v>
      </c>
      <c r="S38" s="3"/>
      <c r="T38" s="6">
        <v>57280.44</v>
      </c>
      <c r="U38" s="3"/>
      <c r="V38" s="7">
        <f t="shared" si="5"/>
        <v>0.11512869472237074</v>
      </c>
      <c r="W38" s="3"/>
      <c r="X38" s="6">
        <f t="shared" si="6"/>
        <v>6964.8099999999977</v>
      </c>
      <c r="Y38" s="3"/>
      <c r="Z38" s="7">
        <f t="shared" si="7"/>
        <v>0.12159141933965587</v>
      </c>
    </row>
    <row r="39" spans="1:26" s="70" customFormat="1" ht="15" hidden="1" customHeight="1" outlineLevel="2" x14ac:dyDescent="0.3">
      <c r="A39" s="21"/>
      <c r="B39" s="9" t="str">
        <f>CONCATENATE("          ","6003"," - ","STAFF HOURLY-9 MONTH")</f>
        <v xml:space="preserve">          6003 - STAFF HOURLY-9 MONTH</v>
      </c>
      <c r="C39" s="9"/>
      <c r="D39" s="6"/>
      <c r="E39" s="3"/>
      <c r="F39" s="7">
        <f t="shared" si="0"/>
        <v>0</v>
      </c>
      <c r="G39" s="3"/>
      <c r="H39" s="6">
        <v>0</v>
      </c>
      <c r="I39" s="3"/>
      <c r="J39" s="7">
        <f t="shared" si="1"/>
        <v>0</v>
      </c>
      <c r="K39" s="3"/>
      <c r="L39" s="6">
        <f t="shared" si="2"/>
        <v>0</v>
      </c>
      <c r="M39" s="3"/>
      <c r="N39" s="7">
        <f t="shared" si="3"/>
        <v>0</v>
      </c>
      <c r="O39" s="9"/>
      <c r="P39" s="6"/>
      <c r="Q39" s="3"/>
      <c r="R39" s="7">
        <f t="shared" si="4"/>
        <v>0</v>
      </c>
      <c r="S39" s="3"/>
      <c r="T39" s="6">
        <v>0</v>
      </c>
      <c r="U39" s="3"/>
      <c r="V39" s="7">
        <f t="shared" si="5"/>
        <v>0</v>
      </c>
      <c r="W39" s="3"/>
      <c r="X39" s="6">
        <f t="shared" si="6"/>
        <v>0</v>
      </c>
      <c r="Y39" s="3"/>
      <c r="Z39" s="7">
        <f t="shared" si="7"/>
        <v>0</v>
      </c>
    </row>
    <row r="40" spans="1:26" s="70" customFormat="1" ht="15" hidden="1" customHeight="1" outlineLevel="2" x14ac:dyDescent="0.3">
      <c r="A40" s="21"/>
      <c r="B40" s="9" t="str">
        <f>CONCATENATE("          ","6004"," - ","STAFF HOURLY")</f>
        <v xml:space="preserve">          6004 - STAFF HOURLY</v>
      </c>
      <c r="C40" s="9"/>
      <c r="D40" s="6">
        <v>1767.95</v>
      </c>
      <c r="E40" s="3"/>
      <c r="F40" s="7">
        <f t="shared" si="0"/>
        <v>0.23850509198489606</v>
      </c>
      <c r="G40" s="3"/>
      <c r="H40" s="6">
        <v>0</v>
      </c>
      <c r="I40" s="3"/>
      <c r="J40" s="7">
        <f t="shared" si="1"/>
        <v>0</v>
      </c>
      <c r="K40" s="3"/>
      <c r="L40" s="6">
        <f t="shared" si="2"/>
        <v>1767.95</v>
      </c>
      <c r="M40" s="3"/>
      <c r="N40" s="7">
        <f t="shared" si="3"/>
        <v>0</v>
      </c>
      <c r="O40" s="9"/>
      <c r="P40" s="6">
        <v>28226.89</v>
      </c>
      <c r="Q40" s="3"/>
      <c r="R40" s="7">
        <f t="shared" si="4"/>
        <v>4.1450207544069965E-2</v>
      </c>
      <c r="S40" s="3"/>
      <c r="T40" s="6">
        <v>0</v>
      </c>
      <c r="U40" s="3"/>
      <c r="V40" s="7">
        <f t="shared" si="5"/>
        <v>0</v>
      </c>
      <c r="W40" s="3"/>
      <c r="X40" s="6">
        <f t="shared" si="6"/>
        <v>28226.89</v>
      </c>
      <c r="Y40" s="3"/>
      <c r="Z40" s="7">
        <f t="shared" si="7"/>
        <v>0</v>
      </c>
    </row>
    <row r="41" spans="1:26" s="70" customFormat="1" ht="15" hidden="1" customHeight="1" outlineLevel="2" x14ac:dyDescent="0.3">
      <c r="A41" s="21"/>
      <c r="B41" s="9" t="str">
        <f>CONCATENATE("          ","6005"," - ","TEMPORARY WAGES-HOURLY")</f>
        <v xml:space="preserve">          6005 - TEMPORARY WAGES-HOURLY</v>
      </c>
      <c r="C41" s="9"/>
      <c r="D41" s="6">
        <v>1111.1400000000001</v>
      </c>
      <c r="E41" s="3"/>
      <c r="F41" s="7">
        <f t="shared" si="0"/>
        <v>0.14989821426403316</v>
      </c>
      <c r="G41" s="3"/>
      <c r="H41" s="6">
        <v>6867.7843000000003</v>
      </c>
      <c r="I41" s="3"/>
      <c r="J41" s="7">
        <f t="shared" si="1"/>
        <v>0.4772940649106957</v>
      </c>
      <c r="K41" s="3"/>
      <c r="L41" s="6">
        <f t="shared" si="2"/>
        <v>-5756.6442999999999</v>
      </c>
      <c r="M41" s="3"/>
      <c r="N41" s="7">
        <f t="shared" si="3"/>
        <v>-0.83820982845952219</v>
      </c>
      <c r="O41" s="9"/>
      <c r="P41" s="6">
        <v>27742.37</v>
      </c>
      <c r="Q41" s="3"/>
      <c r="R41" s="7">
        <f t="shared" si="4"/>
        <v>4.0738706753183945E-2</v>
      </c>
      <c r="S41" s="3"/>
      <c r="T41" s="6">
        <v>76054.101299999995</v>
      </c>
      <c r="U41" s="3"/>
      <c r="V41" s="7">
        <f t="shared" si="5"/>
        <v>0.15286211856878121</v>
      </c>
      <c r="W41" s="3"/>
      <c r="X41" s="6">
        <f t="shared" si="6"/>
        <v>-48311.731299999999</v>
      </c>
      <c r="Y41" s="3"/>
      <c r="Z41" s="7">
        <f t="shared" si="7"/>
        <v>-0.63522848175447444</v>
      </c>
    </row>
    <row r="42" spans="1:26" s="70" customFormat="1" ht="15" hidden="1" customHeight="1" outlineLevel="2" x14ac:dyDescent="0.3">
      <c r="A42" s="21"/>
      <c r="B42" s="9" t="str">
        <f>CONCATENATE("          ","6006"," - ","TEMPORARY PART TIME")</f>
        <v xml:space="preserve">          6006 - TEMPORARY PART TIME</v>
      </c>
      <c r="C42" s="9"/>
      <c r="D42" s="6"/>
      <c r="E42" s="3"/>
      <c r="F42" s="7">
        <f t="shared" si="0"/>
        <v>0</v>
      </c>
      <c r="G42" s="3"/>
      <c r="H42" s="6">
        <v>0</v>
      </c>
      <c r="I42" s="3"/>
      <c r="J42" s="7">
        <f t="shared" si="1"/>
        <v>0</v>
      </c>
      <c r="K42" s="3"/>
      <c r="L42" s="6">
        <f t="shared" si="2"/>
        <v>0</v>
      </c>
      <c r="M42" s="3"/>
      <c r="N42" s="7">
        <f t="shared" si="3"/>
        <v>0</v>
      </c>
      <c r="O42" s="9"/>
      <c r="P42" s="6"/>
      <c r="Q42" s="3"/>
      <c r="R42" s="7">
        <f t="shared" si="4"/>
        <v>0</v>
      </c>
      <c r="S42" s="3"/>
      <c r="T42" s="6">
        <v>0</v>
      </c>
      <c r="U42" s="3"/>
      <c r="V42" s="7">
        <f t="shared" si="5"/>
        <v>0</v>
      </c>
      <c r="W42" s="3"/>
      <c r="X42" s="6">
        <f t="shared" si="6"/>
        <v>0</v>
      </c>
      <c r="Y42" s="3"/>
      <c r="Z42" s="7">
        <f t="shared" si="7"/>
        <v>0</v>
      </c>
    </row>
    <row r="43" spans="1:26" s="70" customFormat="1" ht="15" hidden="1" customHeight="1" outlineLevel="2" x14ac:dyDescent="0.3">
      <c r="A43" s="21"/>
      <c r="B43" s="9" t="str">
        <f>CONCATENATE("          ","6007"," - ","STUDENT HOURLY")</f>
        <v xml:space="preserve">          6007 - STUDENT HOURLY</v>
      </c>
      <c r="C43" s="9"/>
      <c r="D43" s="6">
        <v>2747.69</v>
      </c>
      <c r="E43" s="3"/>
      <c r="F43" s="7">
        <f t="shared" si="0"/>
        <v>0.37067680431911482</v>
      </c>
      <c r="G43" s="3"/>
      <c r="H43" s="6">
        <v>0</v>
      </c>
      <c r="I43" s="3"/>
      <c r="J43" s="7">
        <f t="shared" si="1"/>
        <v>0</v>
      </c>
      <c r="K43" s="3"/>
      <c r="L43" s="6">
        <f t="shared" si="2"/>
        <v>2747.69</v>
      </c>
      <c r="M43" s="3"/>
      <c r="N43" s="7">
        <f t="shared" si="3"/>
        <v>0</v>
      </c>
      <c r="O43" s="9"/>
      <c r="P43" s="6">
        <v>116366.49</v>
      </c>
      <c r="Q43" s="3"/>
      <c r="R43" s="7">
        <f t="shared" si="4"/>
        <v>0.17088014874025947</v>
      </c>
      <c r="S43" s="3"/>
      <c r="T43" s="6">
        <v>4247.63</v>
      </c>
      <c r="U43" s="3"/>
      <c r="V43" s="7">
        <f t="shared" si="5"/>
        <v>8.5373662905449677E-3</v>
      </c>
      <c r="W43" s="3"/>
      <c r="X43" s="6">
        <f t="shared" si="6"/>
        <v>112118.86</v>
      </c>
      <c r="Y43" s="3"/>
      <c r="Z43" s="7">
        <f t="shared" si="7"/>
        <v>26.395627679435353</v>
      </c>
    </row>
    <row r="44" spans="1:26" s="70" customFormat="1" ht="15" hidden="1" customHeight="1" outlineLevel="2" x14ac:dyDescent="0.3">
      <c r="A44" s="21"/>
      <c r="B44" s="9" t="str">
        <f>CONCATENATE("          ","6008"," - ","STUDENT HOURLY-FICA EXEMPT")</f>
        <v xml:space="preserve">          6008 - STUDENT HOURLY-FICA EXEMPT</v>
      </c>
      <c r="C44" s="9"/>
      <c r="D44" s="6"/>
      <c r="E44" s="3"/>
      <c r="F44" s="7">
        <f t="shared" si="0"/>
        <v>0</v>
      </c>
      <c r="G44" s="3"/>
      <c r="H44" s="6">
        <v>0</v>
      </c>
      <c r="I44" s="3"/>
      <c r="J44" s="7">
        <f t="shared" si="1"/>
        <v>0</v>
      </c>
      <c r="K44" s="3"/>
      <c r="L44" s="6">
        <f t="shared" si="2"/>
        <v>0</v>
      </c>
      <c r="M44" s="3"/>
      <c r="N44" s="7">
        <f t="shared" si="3"/>
        <v>0</v>
      </c>
      <c r="O44" s="9"/>
      <c r="P44" s="6"/>
      <c r="Q44" s="3"/>
      <c r="R44" s="7">
        <f t="shared" si="4"/>
        <v>0</v>
      </c>
      <c r="S44" s="3"/>
      <c r="T44" s="6">
        <v>75266.034499999994</v>
      </c>
      <c r="U44" s="3"/>
      <c r="V44" s="7">
        <f t="shared" si="5"/>
        <v>0.15127817294898438</v>
      </c>
      <c r="W44" s="3"/>
      <c r="X44" s="6">
        <f t="shared" si="6"/>
        <v>-75266.034499999994</v>
      </c>
      <c r="Y44" s="3"/>
      <c r="Z44" s="7">
        <f t="shared" si="7"/>
        <v>-1</v>
      </c>
    </row>
    <row r="45" spans="1:26" s="70" customFormat="1" ht="15" hidden="1" customHeight="1" outlineLevel="2" x14ac:dyDescent="0.3">
      <c r="A45" s="21"/>
      <c r="B45" s="9" t="str">
        <f>CONCATENATE("          ","6009"," - ","TEMPORARY-SEASONAL")</f>
        <v xml:space="preserve">          6009 - TEMPORARY-SEASONAL</v>
      </c>
      <c r="C45" s="9"/>
      <c r="D45" s="6"/>
      <c r="E45" s="3"/>
      <c r="F45" s="7">
        <f t="shared" si="0"/>
        <v>0</v>
      </c>
      <c r="G45" s="3"/>
      <c r="H45" s="6">
        <v>0</v>
      </c>
      <c r="I45" s="3"/>
      <c r="J45" s="7">
        <f t="shared" si="1"/>
        <v>0</v>
      </c>
      <c r="K45" s="3"/>
      <c r="L45" s="6">
        <f t="shared" si="2"/>
        <v>0</v>
      </c>
      <c r="M45" s="3"/>
      <c r="N45" s="7">
        <f t="shared" si="3"/>
        <v>0</v>
      </c>
      <c r="O45" s="9"/>
      <c r="P45" s="6"/>
      <c r="Q45" s="3"/>
      <c r="R45" s="7">
        <f t="shared" si="4"/>
        <v>0</v>
      </c>
      <c r="S45" s="3"/>
      <c r="T45" s="6">
        <v>0</v>
      </c>
      <c r="U45" s="3"/>
      <c r="V45" s="7">
        <f t="shared" si="5"/>
        <v>0</v>
      </c>
      <c r="W45" s="3"/>
      <c r="X45" s="6">
        <f t="shared" si="6"/>
        <v>0</v>
      </c>
      <c r="Y45" s="3"/>
      <c r="Z45" s="7">
        <f t="shared" si="7"/>
        <v>0</v>
      </c>
    </row>
    <row r="46" spans="1:26" s="70" customFormat="1" ht="15" hidden="1" customHeight="1" outlineLevel="2" x14ac:dyDescent="0.3">
      <c r="A46" s="21"/>
      <c r="B46" s="9" t="str">
        <f>CONCATENATE("          ","6010"," - ","GRATUITY")</f>
        <v xml:space="preserve">          6010 - GRATUITY</v>
      </c>
      <c r="C46" s="9"/>
      <c r="D46" s="6"/>
      <c r="E46" s="3"/>
      <c r="F46" s="7">
        <f t="shared" si="0"/>
        <v>0</v>
      </c>
      <c r="G46" s="3"/>
      <c r="H46" s="6">
        <v>0</v>
      </c>
      <c r="I46" s="3"/>
      <c r="J46" s="7">
        <f t="shared" si="1"/>
        <v>0</v>
      </c>
      <c r="K46" s="3"/>
      <c r="L46" s="6">
        <f t="shared" si="2"/>
        <v>0</v>
      </c>
      <c r="M46" s="3"/>
      <c r="N46" s="7">
        <f t="shared" si="3"/>
        <v>0</v>
      </c>
      <c r="O46" s="9"/>
      <c r="P46" s="6"/>
      <c r="Q46" s="3"/>
      <c r="R46" s="7">
        <f t="shared" si="4"/>
        <v>0</v>
      </c>
      <c r="S46" s="3"/>
      <c r="T46" s="6">
        <v>0</v>
      </c>
      <c r="U46" s="3"/>
      <c r="V46" s="7">
        <f t="shared" si="5"/>
        <v>0</v>
      </c>
      <c r="W46" s="3"/>
      <c r="X46" s="6">
        <f t="shared" si="6"/>
        <v>0</v>
      </c>
      <c r="Y46" s="3"/>
      <c r="Z46" s="7">
        <f t="shared" si="7"/>
        <v>0</v>
      </c>
    </row>
    <row r="47" spans="1:26" s="69" customFormat="1" ht="15" customHeight="1" outlineLevel="1" collapsed="1" x14ac:dyDescent="0.3">
      <c r="A47" s="20"/>
      <c r="B47" s="11" t="str">
        <f>CONCATENATE("     ","Advertising/Promo                                 ")</f>
        <v xml:space="preserve">     Advertising/Promo                                 </v>
      </c>
      <c r="C47" s="11"/>
      <c r="D47" s="2">
        <f>SUM(OSRRefD22_2x_0)</f>
        <v>696.78</v>
      </c>
      <c r="E47" s="2"/>
      <c r="F47" s="5">
        <f t="shared" si="0"/>
        <v>9.3999025986728046E-2</v>
      </c>
      <c r="G47" s="2"/>
      <c r="H47" s="2">
        <f>SUM(OSRRefH22_2x_0)</f>
        <v>0</v>
      </c>
      <c r="I47" s="2"/>
      <c r="J47" s="5">
        <f t="shared" si="1"/>
        <v>0</v>
      </c>
      <c r="K47" s="2"/>
      <c r="L47" s="2">
        <f t="shared" si="2"/>
        <v>696.78</v>
      </c>
      <c r="M47" s="2"/>
      <c r="N47" s="5">
        <f t="shared" si="3"/>
        <v>0</v>
      </c>
      <c r="O47" s="11"/>
      <c r="P47" s="2">
        <f>SUM(OSRRefP22_2x_0)</f>
        <v>1009.63</v>
      </c>
      <c r="Q47" s="2"/>
      <c r="R47" s="5">
        <f t="shared" si="4"/>
        <v>1.4826065869360514E-3</v>
      </c>
      <c r="S47" s="2"/>
      <c r="T47" s="2">
        <f>SUM(OSRRefT22_2x_0)</f>
        <v>0</v>
      </c>
      <c r="U47" s="2"/>
      <c r="V47" s="5">
        <f t="shared" si="5"/>
        <v>0</v>
      </c>
      <c r="W47" s="2"/>
      <c r="X47" s="2">
        <f t="shared" si="6"/>
        <v>1009.63</v>
      </c>
      <c r="Y47" s="2"/>
      <c r="Z47" s="5">
        <f t="shared" si="7"/>
        <v>0</v>
      </c>
    </row>
    <row r="48" spans="1:26" s="70" customFormat="1" ht="15" hidden="1" customHeight="1" outlineLevel="2" x14ac:dyDescent="0.3">
      <c r="A48" s="21"/>
      <c r="B48" s="9" t="str">
        <f>CONCATENATE("          ","6362"," - ","ADVERTISING EXPENSE")</f>
        <v xml:space="preserve">          6362 - ADVERTISING EXPENSE</v>
      </c>
      <c r="C48" s="9"/>
      <c r="D48" s="6">
        <v>696.78</v>
      </c>
      <c r="E48" s="3"/>
      <c r="F48" s="7">
        <f t="shared" si="0"/>
        <v>9.3999025986728046E-2</v>
      </c>
      <c r="G48" s="3"/>
      <c r="H48" s="6"/>
      <c r="I48" s="3"/>
      <c r="J48" s="7">
        <f t="shared" si="1"/>
        <v>0</v>
      </c>
      <c r="K48" s="3"/>
      <c r="L48" s="6">
        <f t="shared" si="2"/>
        <v>696.78</v>
      </c>
      <c r="M48" s="3"/>
      <c r="N48" s="7">
        <f t="shared" si="3"/>
        <v>0</v>
      </c>
      <c r="O48" s="9"/>
      <c r="P48" s="6">
        <v>1009.63</v>
      </c>
      <c r="Q48" s="3"/>
      <c r="R48" s="7">
        <f t="shared" si="4"/>
        <v>1.4826065869360514E-3</v>
      </c>
      <c r="S48" s="3"/>
      <c r="T48" s="6"/>
      <c r="U48" s="3"/>
      <c r="V48" s="7">
        <f t="shared" si="5"/>
        <v>0</v>
      </c>
      <c r="W48" s="3"/>
      <c r="X48" s="6">
        <f t="shared" si="6"/>
        <v>1009.63</v>
      </c>
      <c r="Y48" s="3"/>
      <c r="Z48" s="7">
        <f t="shared" si="7"/>
        <v>0</v>
      </c>
    </row>
    <row r="49" spans="1:26" s="69" customFormat="1" ht="15" customHeight="1" outlineLevel="1" collapsed="1" x14ac:dyDescent="0.3">
      <c r="A49" s="20"/>
      <c r="B49" s="11" t="str">
        <f>CONCATENATE("     ","Bad Debts/Over/Short                              ")</f>
        <v xml:space="preserve">     Bad Debts/Over/Short                              </v>
      </c>
      <c r="C49" s="11"/>
      <c r="D49" s="2">
        <f>SUM(OSRRefD22_3x_0)</f>
        <v>-12.03</v>
      </c>
      <c r="E49" s="2"/>
      <c r="F49" s="5">
        <f t="shared" si="0"/>
        <v>-1.6229057702866593E-3</v>
      </c>
      <c r="G49" s="2"/>
      <c r="H49" s="2">
        <f>SUM(OSRRefH22_3x_0)</f>
        <v>0</v>
      </c>
      <c r="I49" s="2"/>
      <c r="J49" s="5">
        <f t="shared" si="1"/>
        <v>0</v>
      </c>
      <c r="K49" s="2"/>
      <c r="L49" s="2">
        <f t="shared" si="2"/>
        <v>-12.03</v>
      </c>
      <c r="M49" s="2"/>
      <c r="N49" s="5">
        <f t="shared" si="3"/>
        <v>0</v>
      </c>
      <c r="O49" s="11"/>
      <c r="P49" s="2">
        <f>SUM(OSRRefP22_3x_0)</f>
        <v>-22.2</v>
      </c>
      <c r="Q49" s="2"/>
      <c r="R49" s="5">
        <f t="shared" si="4"/>
        <v>-3.2599928914533385E-5</v>
      </c>
      <c r="S49" s="2"/>
      <c r="T49" s="2">
        <f>SUM(OSRRefT22_3x_0)</f>
        <v>0</v>
      </c>
      <c r="U49" s="2"/>
      <c r="V49" s="5">
        <f t="shared" si="5"/>
        <v>0</v>
      </c>
      <c r="W49" s="2"/>
      <c r="X49" s="2">
        <f t="shared" si="6"/>
        <v>-22.2</v>
      </c>
      <c r="Y49" s="2"/>
      <c r="Z49" s="5">
        <f t="shared" si="7"/>
        <v>0</v>
      </c>
    </row>
    <row r="50" spans="1:26" s="70" customFormat="1" ht="15" hidden="1" customHeight="1" outlineLevel="2" x14ac:dyDescent="0.3">
      <c r="A50" s="21"/>
      <c r="B50" s="9" t="str">
        <f>CONCATENATE("          ","6272"," - ","CASH (OVER/SHORT)")</f>
        <v xml:space="preserve">          6272 - CASH (OVER/SHORT)</v>
      </c>
      <c r="C50" s="9"/>
      <c r="D50" s="6">
        <v>-12.03</v>
      </c>
      <c r="E50" s="3"/>
      <c r="F50" s="7">
        <f t="shared" si="0"/>
        <v>-1.6229057702866593E-3</v>
      </c>
      <c r="G50" s="3"/>
      <c r="H50" s="6"/>
      <c r="I50" s="3"/>
      <c r="J50" s="7">
        <f t="shared" si="1"/>
        <v>0</v>
      </c>
      <c r="K50" s="3"/>
      <c r="L50" s="6">
        <f t="shared" si="2"/>
        <v>-12.03</v>
      </c>
      <c r="M50" s="3"/>
      <c r="N50" s="7">
        <f t="shared" si="3"/>
        <v>0</v>
      </c>
      <c r="O50" s="9"/>
      <c r="P50" s="6">
        <v>-22.2</v>
      </c>
      <c r="Q50" s="3"/>
      <c r="R50" s="7">
        <f t="shared" si="4"/>
        <v>-3.2599928914533385E-5</v>
      </c>
      <c r="S50" s="3"/>
      <c r="T50" s="6"/>
      <c r="U50" s="3"/>
      <c r="V50" s="7">
        <f t="shared" si="5"/>
        <v>0</v>
      </c>
      <c r="W50" s="3"/>
      <c r="X50" s="6">
        <f t="shared" si="6"/>
        <v>-22.2</v>
      </c>
      <c r="Y50" s="3"/>
      <c r="Z50" s="7">
        <f t="shared" si="7"/>
        <v>0</v>
      </c>
    </row>
    <row r="51" spans="1:26" s="69" customFormat="1" ht="15" customHeight="1" outlineLevel="1" collapsed="1" x14ac:dyDescent="0.3">
      <c r="A51" s="20"/>
      <c r="B51" s="11" t="str">
        <f>CONCATENATE("     ","Bank/card Fees                                    ")</f>
        <v xml:space="preserve">     Bank/card Fees                                    </v>
      </c>
      <c r="C51" s="11"/>
      <c r="D51" s="2">
        <f>SUM(OSRRefD22_4x_0)</f>
        <v>483.95</v>
      </c>
      <c r="E51" s="2"/>
      <c r="F51" s="5">
        <f t="shared" si="0"/>
        <v>6.528721924607056E-2</v>
      </c>
      <c r="G51" s="2"/>
      <c r="H51" s="2">
        <f>SUM(OSRRefH22_4x_0)</f>
        <v>550</v>
      </c>
      <c r="I51" s="2"/>
      <c r="J51" s="5">
        <f t="shared" si="1"/>
        <v>3.8223643060671345E-2</v>
      </c>
      <c r="K51" s="2"/>
      <c r="L51" s="2">
        <f t="shared" si="2"/>
        <v>-66.050000000000011</v>
      </c>
      <c r="M51" s="2"/>
      <c r="N51" s="5">
        <f t="shared" si="3"/>
        <v>-0.12009090909090911</v>
      </c>
      <c r="O51" s="11"/>
      <c r="P51" s="2">
        <f>SUM(OSRRefP22_4x_0)</f>
        <v>23852.34</v>
      </c>
      <c r="Q51" s="2"/>
      <c r="R51" s="5">
        <f t="shared" si="4"/>
        <v>3.5026332812850509E-2</v>
      </c>
      <c r="S51" s="2"/>
      <c r="T51" s="2">
        <f>SUM(OSRRefT22_4x_0)</f>
        <v>19008</v>
      </c>
      <c r="U51" s="2"/>
      <c r="V51" s="5">
        <f t="shared" si="5"/>
        <v>3.8204424220254295E-2</v>
      </c>
      <c r="W51" s="2"/>
      <c r="X51" s="2">
        <f t="shared" si="6"/>
        <v>4844.34</v>
      </c>
      <c r="Y51" s="2"/>
      <c r="Z51" s="5">
        <f t="shared" si="7"/>
        <v>0.25485795454545457</v>
      </c>
    </row>
    <row r="52" spans="1:26" s="70" customFormat="1" ht="15" hidden="1" customHeight="1" outlineLevel="2" x14ac:dyDescent="0.3">
      <c r="A52" s="21"/>
      <c r="B52" s="9" t="str">
        <f>CONCATENATE("          ","6381"," - ","BANK/CREDIT CARD FEES")</f>
        <v xml:space="preserve">          6381 - BANK/CREDIT CARD FEES</v>
      </c>
      <c r="C52" s="9"/>
      <c r="D52" s="6">
        <v>483.95</v>
      </c>
      <c r="E52" s="3"/>
      <c r="F52" s="7">
        <f t="shared" si="0"/>
        <v>6.528721924607056E-2</v>
      </c>
      <c r="G52" s="3"/>
      <c r="H52" s="6">
        <v>550</v>
      </c>
      <c r="I52" s="3"/>
      <c r="J52" s="7">
        <f t="shared" si="1"/>
        <v>3.8223643060671345E-2</v>
      </c>
      <c r="K52" s="3"/>
      <c r="L52" s="6">
        <f t="shared" si="2"/>
        <v>-66.050000000000011</v>
      </c>
      <c r="M52" s="3"/>
      <c r="N52" s="7">
        <f t="shared" si="3"/>
        <v>-0.12009090909090911</v>
      </c>
      <c r="O52" s="9"/>
      <c r="P52" s="6">
        <v>23852.34</v>
      </c>
      <c r="Q52" s="3"/>
      <c r="R52" s="7">
        <f t="shared" si="4"/>
        <v>3.5026332812850509E-2</v>
      </c>
      <c r="S52" s="3"/>
      <c r="T52" s="6">
        <v>19008</v>
      </c>
      <c r="U52" s="3"/>
      <c r="V52" s="7">
        <f t="shared" si="5"/>
        <v>3.8204424220254295E-2</v>
      </c>
      <c r="W52" s="3"/>
      <c r="X52" s="6">
        <f t="shared" si="6"/>
        <v>4844.34</v>
      </c>
      <c r="Y52" s="3"/>
      <c r="Z52" s="7">
        <f t="shared" si="7"/>
        <v>0.25485795454545457</v>
      </c>
    </row>
    <row r="53" spans="1:26" s="69" customFormat="1" ht="15" customHeight="1" outlineLevel="1" collapsed="1" x14ac:dyDescent="0.3">
      <c r="A53" s="20"/>
      <c r="B53" s="11" t="str">
        <f>CONCATENATE("     ","Depreciation                                      ")</f>
        <v xml:space="preserve">     Depreciation                                      </v>
      </c>
      <c r="C53" s="11"/>
      <c r="D53" s="2">
        <f>SUM(OSRRefD22_5x_0)</f>
        <v>5231.49</v>
      </c>
      <c r="E53" s="2"/>
      <c r="F53" s="5">
        <f t="shared" si="0"/>
        <v>0.70575355845361221</v>
      </c>
      <c r="G53" s="2"/>
      <c r="H53" s="2">
        <f>SUM(OSRRefH22_5x_0)</f>
        <v>4733</v>
      </c>
      <c r="I53" s="2"/>
      <c r="J53" s="5">
        <f t="shared" si="1"/>
        <v>0.32893182292028633</v>
      </c>
      <c r="K53" s="2"/>
      <c r="L53" s="2">
        <f t="shared" si="2"/>
        <v>498.48999999999978</v>
      </c>
      <c r="M53" s="2"/>
      <c r="N53" s="5">
        <f t="shared" si="3"/>
        <v>0.10532220578914003</v>
      </c>
      <c r="O53" s="11"/>
      <c r="P53" s="2">
        <f>SUM(OSRRefP22_5x_0)</f>
        <v>57246.559999999998</v>
      </c>
      <c r="Q53" s="2"/>
      <c r="R53" s="5">
        <f t="shared" si="4"/>
        <v>8.4064584982052715E-2</v>
      </c>
      <c r="S53" s="2"/>
      <c r="T53" s="2">
        <f>SUM(OSRRefT22_5x_0)</f>
        <v>56796</v>
      </c>
      <c r="U53" s="2"/>
      <c r="V53" s="5">
        <f t="shared" si="5"/>
        <v>0.1141550125217573</v>
      </c>
      <c r="W53" s="2"/>
      <c r="X53" s="2">
        <f t="shared" si="6"/>
        <v>450.55999999999767</v>
      </c>
      <c r="Y53" s="2"/>
      <c r="Z53" s="5">
        <f t="shared" si="7"/>
        <v>7.9329530248608646E-3</v>
      </c>
    </row>
    <row r="54" spans="1:26" s="70" customFormat="1" ht="15" hidden="1" customHeight="1" outlineLevel="2" x14ac:dyDescent="0.3">
      <c r="A54" s="21"/>
      <c r="B54" s="9" t="str">
        <f>CONCATENATE("          ","6321"," - ","BUILDING DEPRECIATION")</f>
        <v xml:space="preserve">          6321 - BUILDING DEPRECIATION</v>
      </c>
      <c r="C54" s="9"/>
      <c r="D54" s="6">
        <v>4626.5</v>
      </c>
      <c r="E54" s="3"/>
      <c r="F54" s="7">
        <f t="shared" si="0"/>
        <v>0.62413745188954528</v>
      </c>
      <c r="G54" s="3"/>
      <c r="H54" s="6"/>
      <c r="I54" s="3"/>
      <c r="J54" s="7">
        <f t="shared" si="1"/>
        <v>0</v>
      </c>
      <c r="K54" s="3"/>
      <c r="L54" s="6">
        <f t="shared" si="2"/>
        <v>4626.5</v>
      </c>
      <c r="M54" s="3"/>
      <c r="N54" s="7">
        <f t="shared" si="3"/>
        <v>0</v>
      </c>
      <c r="O54" s="9"/>
      <c r="P54" s="6">
        <v>55518</v>
      </c>
      <c r="Q54" s="3"/>
      <c r="R54" s="7">
        <f t="shared" si="4"/>
        <v>8.1526254661129033E-2</v>
      </c>
      <c r="S54" s="3"/>
      <c r="T54" s="6"/>
      <c r="U54" s="3"/>
      <c r="V54" s="7">
        <f t="shared" si="5"/>
        <v>0</v>
      </c>
      <c r="W54" s="3"/>
      <c r="X54" s="6">
        <f t="shared" si="6"/>
        <v>55518</v>
      </c>
      <c r="Y54" s="3"/>
      <c r="Z54" s="7">
        <f t="shared" si="7"/>
        <v>0</v>
      </c>
    </row>
    <row r="55" spans="1:26" s="70" customFormat="1" ht="15" hidden="1" customHeight="1" outlineLevel="2" x14ac:dyDescent="0.3">
      <c r="A55" s="21"/>
      <c r="B55" s="9" t="str">
        <f>CONCATENATE("          ","6322"," - ","EQUIPMENT DEPRECIATION EXPENSE")</f>
        <v xml:space="preserve">          6322 - EQUIPMENT DEPRECIATION EXPENSE</v>
      </c>
      <c r="C55" s="9"/>
      <c r="D55" s="6">
        <v>604.99</v>
      </c>
      <c r="E55" s="3"/>
      <c r="F55" s="7">
        <f t="shared" si="0"/>
        <v>8.1616106564067009E-2</v>
      </c>
      <c r="G55" s="3"/>
      <c r="H55" s="6">
        <v>4733</v>
      </c>
      <c r="I55" s="3"/>
      <c r="J55" s="7">
        <f t="shared" si="1"/>
        <v>0.32893182292028633</v>
      </c>
      <c r="K55" s="3"/>
      <c r="L55" s="6">
        <f t="shared" si="2"/>
        <v>-4128.01</v>
      </c>
      <c r="M55" s="3"/>
      <c r="N55" s="7">
        <f t="shared" si="3"/>
        <v>-0.87217620959222486</v>
      </c>
      <c r="O55" s="9"/>
      <c r="P55" s="6">
        <v>1728.56</v>
      </c>
      <c r="Q55" s="3"/>
      <c r="R55" s="7">
        <f t="shared" si="4"/>
        <v>2.5383303209236857E-3</v>
      </c>
      <c r="S55" s="3"/>
      <c r="T55" s="6">
        <v>56796</v>
      </c>
      <c r="U55" s="3"/>
      <c r="V55" s="7">
        <f t="shared" si="5"/>
        <v>0.1141550125217573</v>
      </c>
      <c r="W55" s="3"/>
      <c r="X55" s="6">
        <f t="shared" si="6"/>
        <v>-55067.44</v>
      </c>
      <c r="Y55" s="3"/>
      <c r="Z55" s="7">
        <f t="shared" si="7"/>
        <v>-0.96956546235650398</v>
      </c>
    </row>
    <row r="56" spans="1:26" s="69" customFormat="1" ht="15" customHeight="1" outlineLevel="1" collapsed="1" x14ac:dyDescent="0.3">
      <c r="A56" s="20"/>
      <c r="B56" s="11" t="str">
        <f>CONCATENATE("     ","Employees' Appreciation                           ")</f>
        <v xml:space="preserve">     Employees' Appreciation                           </v>
      </c>
      <c r="C56" s="11"/>
      <c r="D56" s="2">
        <f>SUM(OSRRefD22_6x_0)</f>
        <v>0</v>
      </c>
      <c r="E56" s="2"/>
      <c r="F56" s="5">
        <f t="shared" si="0"/>
        <v>0</v>
      </c>
      <c r="G56" s="2"/>
      <c r="H56" s="2">
        <f>SUM(OSRRefH22_6x_0)</f>
        <v>0</v>
      </c>
      <c r="I56" s="2"/>
      <c r="J56" s="5">
        <f t="shared" si="1"/>
        <v>0</v>
      </c>
      <c r="K56" s="2"/>
      <c r="L56" s="2">
        <f t="shared" si="2"/>
        <v>0</v>
      </c>
      <c r="M56" s="2"/>
      <c r="N56" s="5">
        <f t="shared" si="3"/>
        <v>0</v>
      </c>
      <c r="O56" s="11"/>
      <c r="P56" s="2">
        <f>SUM(OSRRefP22_6x_0)</f>
        <v>246.92</v>
      </c>
      <c r="Q56" s="2"/>
      <c r="R56" s="5">
        <f t="shared" si="4"/>
        <v>3.6259344358453079E-4</v>
      </c>
      <c r="S56" s="2"/>
      <c r="T56" s="2">
        <f>SUM(OSRRefT22_6x_0)</f>
        <v>140</v>
      </c>
      <c r="U56" s="2"/>
      <c r="V56" s="5">
        <f t="shared" si="5"/>
        <v>2.8138780465254638E-4</v>
      </c>
      <c r="W56" s="2"/>
      <c r="X56" s="2">
        <f t="shared" si="6"/>
        <v>106.91999999999999</v>
      </c>
      <c r="Y56" s="2"/>
      <c r="Z56" s="5">
        <f t="shared" si="7"/>
        <v>0.76371428571428568</v>
      </c>
    </row>
    <row r="57" spans="1:26" s="70" customFormat="1" ht="15" hidden="1" customHeight="1" outlineLevel="2" x14ac:dyDescent="0.3">
      <c r="A57" s="21"/>
      <c r="B57" s="9" t="str">
        <f>CONCATENATE("          ","6277"," - ","EMPLOYEE APPRECIATION")</f>
        <v xml:space="preserve">          6277 - EMPLOYEE APPRECIATION</v>
      </c>
      <c r="C57" s="9"/>
      <c r="D57" s="6"/>
      <c r="E57" s="3"/>
      <c r="F57" s="7">
        <f t="shared" ref="F57:F89" si="8">IF(D$12=0,0,D57/D$12)</f>
        <v>0</v>
      </c>
      <c r="G57" s="3"/>
      <c r="H57" s="6"/>
      <c r="I57" s="3"/>
      <c r="J57" s="7">
        <f t="shared" ref="J57:J89" si="9">IF(H$12=0,0,H57/H$12)</f>
        <v>0</v>
      </c>
      <c r="K57" s="3"/>
      <c r="L57" s="6">
        <f t="shared" ref="L57:L89" si="10">+D57-H57</f>
        <v>0</v>
      </c>
      <c r="M57" s="3"/>
      <c r="N57" s="7">
        <f t="shared" ref="N57:N89" si="11">IF(H57=0,0,L57/H57)</f>
        <v>0</v>
      </c>
      <c r="O57" s="9"/>
      <c r="P57" s="6">
        <v>246.92</v>
      </c>
      <c r="Q57" s="3"/>
      <c r="R57" s="7">
        <f t="shared" ref="R57:R89" si="12">IF(P$12=0,0,P57/P$12)</f>
        <v>3.6259344358453079E-4</v>
      </c>
      <c r="S57" s="3"/>
      <c r="T57" s="6">
        <v>140</v>
      </c>
      <c r="U57" s="3"/>
      <c r="V57" s="7">
        <f t="shared" ref="V57:V89" si="13">IF(T$12=0,0,T57/T$12)</f>
        <v>2.8138780465254638E-4</v>
      </c>
      <c r="W57" s="3"/>
      <c r="X57" s="6">
        <f t="shared" ref="X57:X89" si="14">+P57-T57</f>
        <v>106.91999999999999</v>
      </c>
      <c r="Y57" s="3"/>
      <c r="Z57" s="7">
        <f t="shared" ref="Z57:Z89" si="15">IF(T57=0,0,X57/T57)</f>
        <v>0.76371428571428568</v>
      </c>
    </row>
    <row r="58" spans="1:26" s="69" customFormat="1" ht="15" customHeight="1" outlineLevel="1" collapsed="1" x14ac:dyDescent="0.3">
      <c r="A58" s="20"/>
      <c r="B58" s="11" t="str">
        <f>CONCATENATE("     ","General                                           ")</f>
        <v xml:space="preserve">     General                                           </v>
      </c>
      <c r="C58" s="11"/>
      <c r="D58" s="2">
        <f>SUM(OSRRefD22_7x_0)</f>
        <v>99.95</v>
      </c>
      <c r="E58" s="2"/>
      <c r="F58" s="5">
        <f t="shared" si="8"/>
        <v>1.3483743286795646E-2</v>
      </c>
      <c r="G58" s="2"/>
      <c r="H58" s="2">
        <f>SUM(OSRRefH22_7x_0)</f>
        <v>0</v>
      </c>
      <c r="I58" s="2"/>
      <c r="J58" s="5">
        <f t="shared" si="9"/>
        <v>0</v>
      </c>
      <c r="K58" s="2"/>
      <c r="L58" s="2">
        <f t="shared" si="10"/>
        <v>99.95</v>
      </c>
      <c r="M58" s="2"/>
      <c r="N58" s="5">
        <f t="shared" si="11"/>
        <v>0</v>
      </c>
      <c r="O58" s="11"/>
      <c r="P58" s="2">
        <f>SUM(OSRRefP22_7x_0)</f>
        <v>1443.2</v>
      </c>
      <c r="Q58" s="2"/>
      <c r="R58" s="5">
        <f t="shared" si="12"/>
        <v>2.1192890724979541E-3</v>
      </c>
      <c r="S58" s="2"/>
      <c r="T58" s="2">
        <f>SUM(OSRRefT22_7x_0)</f>
        <v>500</v>
      </c>
      <c r="U58" s="2"/>
      <c r="V58" s="5">
        <f t="shared" si="13"/>
        <v>1.0049564451876656E-3</v>
      </c>
      <c r="W58" s="2"/>
      <c r="X58" s="2">
        <f t="shared" si="14"/>
        <v>943.2</v>
      </c>
      <c r="Y58" s="2"/>
      <c r="Z58" s="5">
        <f t="shared" si="15"/>
        <v>1.8864000000000001</v>
      </c>
    </row>
    <row r="59" spans="1:26" s="70" customFormat="1" ht="15" hidden="1" customHeight="1" outlineLevel="2" x14ac:dyDescent="0.3">
      <c r="A59" s="21"/>
      <c r="B59" s="9" t="str">
        <f>CONCATENATE("          ","6279"," - ","GENERAL EXPENSE")</f>
        <v xml:space="preserve">          6279 - GENERAL EXPENSE</v>
      </c>
      <c r="C59" s="9"/>
      <c r="D59" s="6">
        <v>99.95</v>
      </c>
      <c r="E59" s="3"/>
      <c r="F59" s="7">
        <f t="shared" si="8"/>
        <v>1.3483743286795646E-2</v>
      </c>
      <c r="G59" s="3"/>
      <c r="H59" s="6"/>
      <c r="I59" s="3"/>
      <c r="J59" s="7">
        <f t="shared" si="9"/>
        <v>0</v>
      </c>
      <c r="K59" s="3"/>
      <c r="L59" s="6">
        <f t="shared" si="10"/>
        <v>99.95</v>
      </c>
      <c r="M59" s="3"/>
      <c r="N59" s="7">
        <f t="shared" si="11"/>
        <v>0</v>
      </c>
      <c r="O59" s="9"/>
      <c r="P59" s="6">
        <v>1443.2</v>
      </c>
      <c r="Q59" s="3"/>
      <c r="R59" s="7">
        <f t="shared" si="12"/>
        <v>2.1192890724979541E-3</v>
      </c>
      <c r="S59" s="3"/>
      <c r="T59" s="6">
        <v>500</v>
      </c>
      <c r="U59" s="3"/>
      <c r="V59" s="7">
        <f t="shared" si="13"/>
        <v>1.0049564451876656E-3</v>
      </c>
      <c r="W59" s="3"/>
      <c r="X59" s="6">
        <f t="shared" si="14"/>
        <v>943.2</v>
      </c>
      <c r="Y59" s="3"/>
      <c r="Z59" s="7">
        <f t="shared" si="15"/>
        <v>1.8864000000000001</v>
      </c>
    </row>
    <row r="60" spans="1:26" s="69" customFormat="1" ht="15" customHeight="1" outlineLevel="1" collapsed="1" x14ac:dyDescent="0.3">
      <c r="A60" s="20"/>
      <c r="B60" s="11" t="str">
        <f>CONCATENATE("     ","Rent                                              ")</f>
        <v xml:space="preserve">     Rent                                              </v>
      </c>
      <c r="C60" s="11"/>
      <c r="D60" s="2">
        <f>SUM(OSRRefD22_8x_0)</f>
        <v>1850</v>
      </c>
      <c r="E60" s="2"/>
      <c r="F60" s="5">
        <f t="shared" si="8"/>
        <v>0.24957403782463175</v>
      </c>
      <c r="G60" s="2"/>
      <c r="H60" s="2">
        <f>SUM(OSRRefH22_8x_0)</f>
        <v>1850</v>
      </c>
      <c r="I60" s="2"/>
      <c r="J60" s="5">
        <f t="shared" si="9"/>
        <v>0.12857043574953089</v>
      </c>
      <c r="K60" s="2"/>
      <c r="L60" s="2">
        <f t="shared" si="10"/>
        <v>0</v>
      </c>
      <c r="M60" s="2"/>
      <c r="N60" s="5">
        <f t="shared" si="11"/>
        <v>0</v>
      </c>
      <c r="O60" s="11"/>
      <c r="P60" s="2">
        <f>SUM(OSRRefP22_8x_0)</f>
        <v>22200</v>
      </c>
      <c r="Q60" s="2"/>
      <c r="R60" s="5">
        <f t="shared" si="12"/>
        <v>3.2599928914533387E-2</v>
      </c>
      <c r="S60" s="2"/>
      <c r="T60" s="2">
        <f>SUM(OSRRefT22_8x_0)</f>
        <v>22200</v>
      </c>
      <c r="U60" s="2"/>
      <c r="V60" s="5">
        <f t="shared" si="13"/>
        <v>4.4620066166332351E-2</v>
      </c>
      <c r="W60" s="2"/>
      <c r="X60" s="2">
        <f t="shared" si="14"/>
        <v>0</v>
      </c>
      <c r="Y60" s="2"/>
      <c r="Z60" s="5">
        <f t="shared" si="15"/>
        <v>0</v>
      </c>
    </row>
    <row r="61" spans="1:26" s="70" customFormat="1" ht="15" hidden="1" customHeight="1" outlineLevel="2" x14ac:dyDescent="0.3">
      <c r="A61" s="21"/>
      <c r="B61" s="9" t="str">
        <f>CONCATENATE("          ","6273"," - ","RENT")</f>
        <v xml:space="preserve">          6273 - RENT</v>
      </c>
      <c r="C61" s="9"/>
      <c r="D61" s="6">
        <v>1850</v>
      </c>
      <c r="E61" s="3"/>
      <c r="F61" s="7">
        <f t="shared" si="8"/>
        <v>0.24957403782463175</v>
      </c>
      <c r="G61" s="3"/>
      <c r="H61" s="6">
        <v>1850</v>
      </c>
      <c r="I61" s="3"/>
      <c r="J61" s="7">
        <f t="shared" si="9"/>
        <v>0.12857043574953089</v>
      </c>
      <c r="K61" s="3"/>
      <c r="L61" s="6">
        <f t="shared" si="10"/>
        <v>0</v>
      </c>
      <c r="M61" s="3"/>
      <c r="N61" s="7">
        <f t="shared" si="11"/>
        <v>0</v>
      </c>
      <c r="O61" s="9"/>
      <c r="P61" s="6">
        <v>22200</v>
      </c>
      <c r="Q61" s="3"/>
      <c r="R61" s="7">
        <f t="shared" si="12"/>
        <v>3.2599928914533387E-2</v>
      </c>
      <c r="S61" s="3"/>
      <c r="T61" s="6">
        <v>22200</v>
      </c>
      <c r="U61" s="3"/>
      <c r="V61" s="7">
        <f t="shared" si="13"/>
        <v>4.4620066166332351E-2</v>
      </c>
      <c r="W61" s="3"/>
      <c r="X61" s="6">
        <f t="shared" si="14"/>
        <v>0</v>
      </c>
      <c r="Y61" s="3"/>
      <c r="Z61" s="7">
        <f t="shared" si="15"/>
        <v>0</v>
      </c>
    </row>
    <row r="62" spans="1:26" s="69" customFormat="1" ht="15" customHeight="1" outlineLevel="1" collapsed="1" x14ac:dyDescent="0.3">
      <c r="A62" s="20"/>
      <c r="B62" s="11" t="str">
        <f>CONCATENATE("     ","Repair and Maintenance                            ")</f>
        <v xml:space="preserve">     Repair and Maintenance                            </v>
      </c>
      <c r="C62" s="11"/>
      <c r="D62" s="2">
        <f>SUM(OSRRefD22_9x_0)</f>
        <v>190.41</v>
      </c>
      <c r="E62" s="2"/>
      <c r="F62" s="5">
        <f t="shared" si="8"/>
        <v>2.5687239211993583E-2</v>
      </c>
      <c r="G62" s="2"/>
      <c r="H62" s="2">
        <f>SUM(OSRRefH22_9x_0)</f>
        <v>500</v>
      </c>
      <c r="I62" s="2"/>
      <c r="J62" s="5">
        <f t="shared" si="9"/>
        <v>3.4748766418792133E-2</v>
      </c>
      <c r="K62" s="2"/>
      <c r="L62" s="2">
        <f t="shared" si="10"/>
        <v>-309.59000000000003</v>
      </c>
      <c r="M62" s="2"/>
      <c r="N62" s="5">
        <f t="shared" si="11"/>
        <v>-0.61918000000000006</v>
      </c>
      <c r="O62" s="11"/>
      <c r="P62" s="2">
        <f>SUM(OSRRefP22_9x_0)</f>
        <v>8754.1299999999992</v>
      </c>
      <c r="Q62" s="2"/>
      <c r="R62" s="5">
        <f t="shared" si="12"/>
        <v>1.2855135842729013E-2</v>
      </c>
      <c r="S62" s="2"/>
      <c r="T62" s="2">
        <f>SUM(OSRRefT22_9x_0)</f>
        <v>6600</v>
      </c>
      <c r="U62" s="2"/>
      <c r="V62" s="5">
        <f t="shared" si="13"/>
        <v>1.3265425076477185E-2</v>
      </c>
      <c r="W62" s="2"/>
      <c r="X62" s="2">
        <f t="shared" si="14"/>
        <v>2154.1299999999992</v>
      </c>
      <c r="Y62" s="2"/>
      <c r="Z62" s="5">
        <f t="shared" si="15"/>
        <v>0.32638333333333319</v>
      </c>
    </row>
    <row r="63" spans="1:26" s="70" customFormat="1" ht="15" hidden="1" customHeight="1" outlineLevel="2" x14ac:dyDescent="0.3">
      <c r="A63" s="21"/>
      <c r="B63" s="9" t="str">
        <f>CONCATENATE("          ","6373"," - ","MAINTENANCE CONTRACTS")</f>
        <v xml:space="preserve">          6373 - MAINTENANCE CONTRACTS</v>
      </c>
      <c r="C63" s="9"/>
      <c r="D63" s="6"/>
      <c r="E63" s="3"/>
      <c r="F63" s="7">
        <f t="shared" si="8"/>
        <v>0</v>
      </c>
      <c r="G63" s="3"/>
      <c r="H63" s="6"/>
      <c r="I63" s="3"/>
      <c r="J63" s="7">
        <f t="shared" si="9"/>
        <v>0</v>
      </c>
      <c r="K63" s="3"/>
      <c r="L63" s="6">
        <f t="shared" si="10"/>
        <v>0</v>
      </c>
      <c r="M63" s="3"/>
      <c r="N63" s="7">
        <f t="shared" si="11"/>
        <v>0</v>
      </c>
      <c r="O63" s="9"/>
      <c r="P63" s="6">
        <v>221.64</v>
      </c>
      <c r="Q63" s="3"/>
      <c r="R63" s="7">
        <f t="shared" si="12"/>
        <v>3.2547064164942246E-4</v>
      </c>
      <c r="S63" s="3"/>
      <c r="T63" s="6">
        <v>600</v>
      </c>
      <c r="U63" s="3"/>
      <c r="V63" s="7">
        <f t="shared" si="13"/>
        <v>1.2059477342251986E-3</v>
      </c>
      <c r="W63" s="3"/>
      <c r="X63" s="6">
        <f t="shared" si="14"/>
        <v>-378.36</v>
      </c>
      <c r="Y63" s="3"/>
      <c r="Z63" s="7">
        <f t="shared" si="15"/>
        <v>-0.63060000000000005</v>
      </c>
    </row>
    <row r="64" spans="1:26" s="70" customFormat="1" ht="15" hidden="1" customHeight="1" outlineLevel="2" x14ac:dyDescent="0.3">
      <c r="A64" s="21"/>
      <c r="B64" s="9" t="str">
        <f>CONCATENATE("          ","6375"," - ","OUTSIDE REPAIRS &amp; MAINTENANCE")</f>
        <v xml:space="preserve">          6375 - OUTSIDE REPAIRS &amp; MAINTENANCE</v>
      </c>
      <c r="C64" s="9"/>
      <c r="D64" s="6">
        <v>190.41</v>
      </c>
      <c r="E64" s="3"/>
      <c r="F64" s="7">
        <f t="shared" si="8"/>
        <v>2.5687239211993583E-2</v>
      </c>
      <c r="G64" s="3"/>
      <c r="H64" s="6">
        <v>500</v>
      </c>
      <c r="I64" s="3"/>
      <c r="J64" s="7">
        <f t="shared" si="9"/>
        <v>3.4748766418792133E-2</v>
      </c>
      <c r="K64" s="3"/>
      <c r="L64" s="6">
        <f t="shared" si="10"/>
        <v>-309.59000000000003</v>
      </c>
      <c r="M64" s="3"/>
      <c r="N64" s="7">
        <f t="shared" si="11"/>
        <v>-0.61918000000000006</v>
      </c>
      <c r="O64" s="9"/>
      <c r="P64" s="6">
        <v>8532.49</v>
      </c>
      <c r="Q64" s="3"/>
      <c r="R64" s="7">
        <f t="shared" si="12"/>
        <v>1.2529665201079593E-2</v>
      </c>
      <c r="S64" s="3"/>
      <c r="T64" s="6">
        <v>6000</v>
      </c>
      <c r="U64" s="3"/>
      <c r="V64" s="7">
        <f t="shared" si="13"/>
        <v>1.2059477342251986E-2</v>
      </c>
      <c r="W64" s="3"/>
      <c r="X64" s="6">
        <f t="shared" si="14"/>
        <v>2532.4899999999998</v>
      </c>
      <c r="Y64" s="3"/>
      <c r="Z64" s="7">
        <f t="shared" si="15"/>
        <v>0.42208166666666663</v>
      </c>
    </row>
    <row r="65" spans="1:26" s="69" customFormat="1" ht="15" customHeight="1" outlineLevel="1" collapsed="1" x14ac:dyDescent="0.3">
      <c r="A65" s="20"/>
      <c r="B65" s="11" t="str">
        <f>CONCATENATE("     ","Services                                          ")</f>
        <v xml:space="preserve">     Services                                          </v>
      </c>
      <c r="C65" s="11"/>
      <c r="D65" s="2">
        <f>SUM(OSRRefD22_10x_0)</f>
        <v>27998.76</v>
      </c>
      <c r="E65" s="2"/>
      <c r="F65" s="5">
        <f t="shared" si="8"/>
        <v>3.7771695066393436</v>
      </c>
      <c r="G65" s="2"/>
      <c r="H65" s="2">
        <f>SUM(OSRRefH22_10x_0)</f>
        <v>2263</v>
      </c>
      <c r="I65" s="2"/>
      <c r="J65" s="5">
        <f t="shared" si="9"/>
        <v>0.1572729168114532</v>
      </c>
      <c r="K65" s="2"/>
      <c r="L65" s="2">
        <f t="shared" si="10"/>
        <v>25735.759999999998</v>
      </c>
      <c r="M65" s="2"/>
      <c r="N65" s="5">
        <f t="shared" si="11"/>
        <v>11.37240830755634</v>
      </c>
      <c r="O65" s="11"/>
      <c r="P65" s="2">
        <f>SUM(OSRRefP22_10x_0)</f>
        <v>35573.46</v>
      </c>
      <c r="Q65" s="2"/>
      <c r="R65" s="5">
        <f t="shared" si="12"/>
        <v>5.2238390416396253E-2</v>
      </c>
      <c r="S65" s="2"/>
      <c r="T65" s="2">
        <f>SUM(OSRRefT22_10x_0)</f>
        <v>25053</v>
      </c>
      <c r="U65" s="2"/>
      <c r="V65" s="5">
        <f t="shared" si="13"/>
        <v>5.0354347642573169E-2</v>
      </c>
      <c r="W65" s="2"/>
      <c r="X65" s="2">
        <f t="shared" si="14"/>
        <v>10520.46</v>
      </c>
      <c r="Y65" s="2"/>
      <c r="Z65" s="5">
        <f t="shared" si="15"/>
        <v>0.41992815231708774</v>
      </c>
    </row>
    <row r="66" spans="1:26" s="70" customFormat="1" ht="15" hidden="1" customHeight="1" outlineLevel="2" x14ac:dyDescent="0.3">
      <c r="A66" s="21"/>
      <c r="B66" s="9" t="str">
        <f>CONCATENATE("          ","6282"," - ","JANITORIAL/EXTERMINATOR EXPENS")</f>
        <v xml:space="preserve">          6282 - JANITORIAL/EXTERMINATOR EXPENS</v>
      </c>
      <c r="C66" s="9"/>
      <c r="D66" s="6">
        <v>95</v>
      </c>
      <c r="E66" s="3"/>
      <c r="F66" s="7">
        <f t="shared" si="8"/>
        <v>1.2815964104508117E-2</v>
      </c>
      <c r="G66" s="3"/>
      <c r="H66" s="6">
        <v>150</v>
      </c>
      <c r="I66" s="3"/>
      <c r="J66" s="7">
        <f t="shared" si="9"/>
        <v>1.0424629925637641E-2</v>
      </c>
      <c r="K66" s="3"/>
      <c r="L66" s="6">
        <f t="shared" si="10"/>
        <v>-55</v>
      </c>
      <c r="M66" s="3"/>
      <c r="N66" s="7">
        <f t="shared" si="11"/>
        <v>-0.36666666666666664</v>
      </c>
      <c r="O66" s="9"/>
      <c r="P66" s="6">
        <v>926.86</v>
      </c>
      <c r="Q66" s="3"/>
      <c r="R66" s="7">
        <f t="shared" si="12"/>
        <v>1.361061716834433E-3</v>
      </c>
      <c r="S66" s="3"/>
      <c r="T66" s="6">
        <v>1700</v>
      </c>
      <c r="U66" s="3"/>
      <c r="V66" s="7">
        <f t="shared" si="13"/>
        <v>3.416851913638063E-3</v>
      </c>
      <c r="W66" s="3"/>
      <c r="X66" s="6">
        <f t="shared" si="14"/>
        <v>-773.14</v>
      </c>
      <c r="Y66" s="3"/>
      <c r="Z66" s="7">
        <f t="shared" si="15"/>
        <v>-0.45478823529411766</v>
      </c>
    </row>
    <row r="67" spans="1:26" s="70" customFormat="1" ht="15" hidden="1" customHeight="1" outlineLevel="2" x14ac:dyDescent="0.3">
      <c r="A67" s="21"/>
      <c r="B67" s="9" t="str">
        <f>CONCATENATE("          ","6284"," - ","TRASH REMOVAL EXPENSE")</f>
        <v xml:space="preserve">          6284 - TRASH REMOVAL EXPENSE</v>
      </c>
      <c r="C67" s="9"/>
      <c r="D67" s="6"/>
      <c r="E67" s="3"/>
      <c r="F67" s="7">
        <f t="shared" si="8"/>
        <v>0</v>
      </c>
      <c r="G67" s="3"/>
      <c r="H67" s="6"/>
      <c r="I67" s="3"/>
      <c r="J67" s="7">
        <f t="shared" si="9"/>
        <v>0</v>
      </c>
      <c r="K67" s="3"/>
      <c r="L67" s="6">
        <f t="shared" si="10"/>
        <v>0</v>
      </c>
      <c r="M67" s="3"/>
      <c r="N67" s="7">
        <f t="shared" si="11"/>
        <v>0</v>
      </c>
      <c r="O67" s="9"/>
      <c r="P67" s="6"/>
      <c r="Q67" s="3"/>
      <c r="R67" s="7">
        <f t="shared" si="12"/>
        <v>0</v>
      </c>
      <c r="S67" s="3"/>
      <c r="T67" s="6">
        <v>0</v>
      </c>
      <c r="U67" s="3"/>
      <c r="V67" s="7">
        <f t="shared" si="13"/>
        <v>0</v>
      </c>
      <c r="W67" s="3"/>
      <c r="X67" s="6">
        <f t="shared" si="14"/>
        <v>0</v>
      </c>
      <c r="Y67" s="3"/>
      <c r="Z67" s="7">
        <f t="shared" si="15"/>
        <v>0</v>
      </c>
    </row>
    <row r="68" spans="1:26" s="70" customFormat="1" ht="15" hidden="1" customHeight="1" outlineLevel="2" x14ac:dyDescent="0.3">
      <c r="A68" s="21"/>
      <c r="B68" s="9" t="str">
        <f>CONCATENATE("          ","6285"," - ","JANITORIAL SERVICES")</f>
        <v xml:space="preserve">          6285 - JANITORIAL SERVICES</v>
      </c>
      <c r="C68" s="9"/>
      <c r="D68" s="6">
        <v>26767.16</v>
      </c>
      <c r="E68" s="3"/>
      <c r="F68" s="7">
        <f t="shared" si="8"/>
        <v>3.6110206498907944</v>
      </c>
      <c r="G68" s="3"/>
      <c r="H68" s="6">
        <v>2083</v>
      </c>
      <c r="I68" s="3"/>
      <c r="J68" s="7">
        <f t="shared" si="9"/>
        <v>0.14476336090068803</v>
      </c>
      <c r="K68" s="3"/>
      <c r="L68" s="6">
        <f t="shared" si="10"/>
        <v>24684.16</v>
      </c>
      <c r="M68" s="3"/>
      <c r="N68" s="7">
        <f t="shared" si="11"/>
        <v>11.850292846855497</v>
      </c>
      <c r="O68" s="9"/>
      <c r="P68" s="6">
        <v>30427.16</v>
      </c>
      <c r="Q68" s="3"/>
      <c r="R68" s="7">
        <f t="shared" si="12"/>
        <v>4.4681227615816832E-2</v>
      </c>
      <c r="S68" s="3"/>
      <c r="T68" s="6">
        <v>22913</v>
      </c>
      <c r="U68" s="3"/>
      <c r="V68" s="7">
        <f t="shared" si="13"/>
        <v>4.6053134057169966E-2</v>
      </c>
      <c r="W68" s="3"/>
      <c r="X68" s="6">
        <f t="shared" si="14"/>
        <v>7514.16</v>
      </c>
      <c r="Y68" s="3"/>
      <c r="Z68" s="7">
        <f t="shared" si="15"/>
        <v>0.32794308907607034</v>
      </c>
    </row>
    <row r="69" spans="1:26" s="70" customFormat="1" ht="15" hidden="1" customHeight="1" outlineLevel="2" x14ac:dyDescent="0.3">
      <c r="A69" s="21"/>
      <c r="B69" s="9" t="str">
        <f>CONCATENATE("          ","6286"," - ","LAUNDRY EXPENSE")</f>
        <v xml:space="preserve">          6286 - LAUNDRY EXPENSE</v>
      </c>
      <c r="C69" s="9"/>
      <c r="D69" s="6">
        <v>1136.5999999999999</v>
      </c>
      <c r="E69" s="3"/>
      <c r="F69" s="7">
        <f t="shared" si="8"/>
        <v>0.15333289264404129</v>
      </c>
      <c r="G69" s="3"/>
      <c r="H69" s="6">
        <v>30</v>
      </c>
      <c r="I69" s="3"/>
      <c r="J69" s="7">
        <f t="shared" si="9"/>
        <v>2.0849259851275278E-3</v>
      </c>
      <c r="K69" s="3"/>
      <c r="L69" s="6">
        <f t="shared" si="10"/>
        <v>1106.5999999999999</v>
      </c>
      <c r="M69" s="3"/>
      <c r="N69" s="7">
        <f t="shared" si="11"/>
        <v>36.886666666666663</v>
      </c>
      <c r="O69" s="9"/>
      <c r="P69" s="6">
        <v>4219.4399999999996</v>
      </c>
      <c r="Q69" s="3"/>
      <c r="R69" s="7">
        <f t="shared" si="12"/>
        <v>6.1961010837449882E-3</v>
      </c>
      <c r="S69" s="3"/>
      <c r="T69" s="6">
        <v>440</v>
      </c>
      <c r="U69" s="3"/>
      <c r="V69" s="7">
        <f t="shared" si="13"/>
        <v>8.8436167176514575E-4</v>
      </c>
      <c r="W69" s="3"/>
      <c r="X69" s="6">
        <f t="shared" si="14"/>
        <v>3779.4399999999996</v>
      </c>
      <c r="Y69" s="3"/>
      <c r="Z69" s="7">
        <f t="shared" si="15"/>
        <v>8.5896363636363624</v>
      </c>
    </row>
    <row r="70" spans="1:26" s="69" customFormat="1" ht="15" customHeight="1" outlineLevel="1" collapsed="1" x14ac:dyDescent="0.3">
      <c r="A70" s="20"/>
      <c r="B70" s="11" t="str">
        <f>CONCATENATE("     ","Subscriptions &amp; Dues                              ")</f>
        <v xml:space="preserve">     Subscriptions &amp; Dues                              </v>
      </c>
      <c r="C70" s="11"/>
      <c r="D70" s="2">
        <f>SUM(OSRRefD22_11x_0)</f>
        <v>17.95</v>
      </c>
      <c r="E70" s="2"/>
      <c r="F70" s="5">
        <f t="shared" si="8"/>
        <v>2.4215426913254809E-3</v>
      </c>
      <c r="G70" s="2"/>
      <c r="H70" s="2">
        <f>SUM(OSRRefH22_11x_0)</f>
        <v>30</v>
      </c>
      <c r="I70" s="2"/>
      <c r="J70" s="5">
        <f t="shared" si="9"/>
        <v>2.0849259851275278E-3</v>
      </c>
      <c r="K70" s="2"/>
      <c r="L70" s="2">
        <f t="shared" si="10"/>
        <v>-12.05</v>
      </c>
      <c r="M70" s="2"/>
      <c r="N70" s="5">
        <f t="shared" si="11"/>
        <v>-0.40166666666666667</v>
      </c>
      <c r="O70" s="11"/>
      <c r="P70" s="2">
        <f>SUM(OSRRefP22_11x_0)</f>
        <v>343.59</v>
      </c>
      <c r="Q70" s="2"/>
      <c r="R70" s="5">
        <f t="shared" si="12"/>
        <v>5.0454998088939301E-4</v>
      </c>
      <c r="S70" s="2"/>
      <c r="T70" s="2">
        <f>SUM(OSRRefT22_11x_0)</f>
        <v>330</v>
      </c>
      <c r="U70" s="2"/>
      <c r="V70" s="5">
        <f t="shared" si="13"/>
        <v>6.6327125382385928E-4</v>
      </c>
      <c r="W70" s="2"/>
      <c r="X70" s="2">
        <f t="shared" si="14"/>
        <v>13.589999999999975</v>
      </c>
      <c r="Y70" s="2"/>
      <c r="Z70" s="5">
        <f t="shared" si="15"/>
        <v>4.1181818181818104E-2</v>
      </c>
    </row>
    <row r="71" spans="1:26" s="70" customFormat="1" ht="15" hidden="1" customHeight="1" outlineLevel="2" x14ac:dyDescent="0.3">
      <c r="A71" s="21"/>
      <c r="B71" s="9" t="str">
        <f>CONCATENATE("          ","6275"," - ","SUBSCRIPTIONS")</f>
        <v xml:space="preserve">          6275 - SUBSCRIPTIONS</v>
      </c>
      <c r="C71" s="9"/>
      <c r="D71" s="6">
        <v>17.95</v>
      </c>
      <c r="E71" s="3"/>
      <c r="F71" s="7">
        <f t="shared" si="8"/>
        <v>2.4215426913254809E-3</v>
      </c>
      <c r="G71" s="3"/>
      <c r="H71" s="6">
        <v>30</v>
      </c>
      <c r="I71" s="3"/>
      <c r="J71" s="7">
        <f t="shared" si="9"/>
        <v>2.0849259851275278E-3</v>
      </c>
      <c r="K71" s="3"/>
      <c r="L71" s="6">
        <f t="shared" si="10"/>
        <v>-12.05</v>
      </c>
      <c r="M71" s="3"/>
      <c r="N71" s="7">
        <f t="shared" si="11"/>
        <v>-0.40166666666666667</v>
      </c>
      <c r="O71" s="9"/>
      <c r="P71" s="6">
        <v>343.59</v>
      </c>
      <c r="Q71" s="3"/>
      <c r="R71" s="7">
        <f t="shared" si="12"/>
        <v>5.0454998088939301E-4</v>
      </c>
      <c r="S71" s="3"/>
      <c r="T71" s="6">
        <v>330</v>
      </c>
      <c r="U71" s="3"/>
      <c r="V71" s="7">
        <f t="shared" si="13"/>
        <v>6.6327125382385928E-4</v>
      </c>
      <c r="W71" s="3"/>
      <c r="X71" s="6">
        <f t="shared" si="14"/>
        <v>13.589999999999975</v>
      </c>
      <c r="Y71" s="3"/>
      <c r="Z71" s="7">
        <f t="shared" si="15"/>
        <v>4.1181818181818104E-2</v>
      </c>
    </row>
    <row r="72" spans="1:26" s="69" customFormat="1" ht="15" customHeight="1" outlineLevel="1" collapsed="1" x14ac:dyDescent="0.3">
      <c r="A72" s="20"/>
      <c r="B72" s="11" t="str">
        <f>CONCATENATE("     ","Supplies                                          ")</f>
        <v xml:space="preserve">     Supplies                                          </v>
      </c>
      <c r="C72" s="11"/>
      <c r="D72" s="2">
        <f>SUM(OSRRefD22_12x_0)</f>
        <v>32.019999999999996</v>
      </c>
      <c r="E72" s="2"/>
      <c r="F72" s="5">
        <f t="shared" si="8"/>
        <v>4.3196544276457877E-3</v>
      </c>
      <c r="G72" s="2"/>
      <c r="H72" s="2">
        <f>SUM(OSRRefH22_12x_0)</f>
        <v>375</v>
      </c>
      <c r="I72" s="2"/>
      <c r="J72" s="5">
        <f t="shared" si="9"/>
        <v>2.6061574814094098E-2</v>
      </c>
      <c r="K72" s="2"/>
      <c r="L72" s="2">
        <f t="shared" si="10"/>
        <v>-342.98</v>
      </c>
      <c r="M72" s="2"/>
      <c r="N72" s="5">
        <f t="shared" si="11"/>
        <v>-0.91461333333333339</v>
      </c>
      <c r="O72" s="11"/>
      <c r="P72" s="2">
        <f>SUM(OSRRefP22_12x_0)</f>
        <v>14034.36</v>
      </c>
      <c r="Q72" s="2"/>
      <c r="R72" s="5">
        <f t="shared" si="12"/>
        <v>2.0608970196440125E-2</v>
      </c>
      <c r="S72" s="2"/>
      <c r="T72" s="2">
        <f>SUM(OSRRefT22_12x_0)</f>
        <v>8225</v>
      </c>
      <c r="U72" s="2"/>
      <c r="V72" s="5">
        <f t="shared" si="13"/>
        <v>1.6531533523337097E-2</v>
      </c>
      <c r="W72" s="2"/>
      <c r="X72" s="2">
        <f t="shared" si="14"/>
        <v>5809.3600000000006</v>
      </c>
      <c r="Y72" s="2"/>
      <c r="Z72" s="5">
        <f t="shared" si="15"/>
        <v>0.70630516717325231</v>
      </c>
    </row>
    <row r="73" spans="1:26" s="70" customFormat="1" ht="15" hidden="1" customHeight="1" outlineLevel="2" x14ac:dyDescent="0.3">
      <c r="A73" s="21"/>
      <c r="B73" s="9" t="str">
        <f>CONCATENATE("          ","6234"," - ","EXPENDABLE SUPPLIES &amp; EQUIPMEN")</f>
        <v xml:space="preserve">          6234 - EXPENDABLE SUPPLIES &amp; EQUIPMEN</v>
      </c>
      <c r="C73" s="9"/>
      <c r="D73" s="6"/>
      <c r="E73" s="3"/>
      <c r="F73" s="7">
        <f t="shared" si="8"/>
        <v>0</v>
      </c>
      <c r="G73" s="3"/>
      <c r="H73" s="6"/>
      <c r="I73" s="3"/>
      <c r="J73" s="7">
        <f t="shared" si="9"/>
        <v>0</v>
      </c>
      <c r="K73" s="3"/>
      <c r="L73" s="6">
        <f t="shared" si="10"/>
        <v>0</v>
      </c>
      <c r="M73" s="3"/>
      <c r="N73" s="7">
        <f t="shared" si="11"/>
        <v>0</v>
      </c>
      <c r="O73" s="9"/>
      <c r="P73" s="6">
        <v>284.07</v>
      </c>
      <c r="Q73" s="3"/>
      <c r="R73" s="7">
        <f t="shared" si="12"/>
        <v>4.1714692823204946E-4</v>
      </c>
      <c r="S73" s="3"/>
      <c r="T73" s="6"/>
      <c r="U73" s="3"/>
      <c r="V73" s="7">
        <f t="shared" si="13"/>
        <v>0</v>
      </c>
      <c r="W73" s="3"/>
      <c r="X73" s="6">
        <f t="shared" si="14"/>
        <v>284.07</v>
      </c>
      <c r="Y73" s="3"/>
      <c r="Z73" s="7">
        <f t="shared" si="15"/>
        <v>0</v>
      </c>
    </row>
    <row r="74" spans="1:26" s="70" customFormat="1" ht="15" hidden="1" customHeight="1" outlineLevel="2" x14ac:dyDescent="0.3">
      <c r="A74" s="21"/>
      <c r="B74" s="9" t="str">
        <f>CONCATENATE("          ","6235"," - ","COVID-19 EXPENSES")</f>
        <v xml:space="preserve">          6235 - COVID-19 EXPENSES</v>
      </c>
      <c r="C74" s="9"/>
      <c r="D74" s="6"/>
      <c r="E74" s="3"/>
      <c r="F74" s="7">
        <f t="shared" si="8"/>
        <v>0</v>
      </c>
      <c r="G74" s="3"/>
      <c r="H74" s="6">
        <v>75</v>
      </c>
      <c r="I74" s="3"/>
      <c r="J74" s="7">
        <f t="shared" si="9"/>
        <v>5.2123149628188203E-3</v>
      </c>
      <c r="K74" s="3"/>
      <c r="L74" s="6">
        <f t="shared" si="10"/>
        <v>-75</v>
      </c>
      <c r="M74" s="3"/>
      <c r="N74" s="7">
        <f t="shared" si="11"/>
        <v>-1</v>
      </c>
      <c r="O74" s="9"/>
      <c r="P74" s="6">
        <v>229.22</v>
      </c>
      <c r="Q74" s="3"/>
      <c r="R74" s="7">
        <f t="shared" si="12"/>
        <v>3.3660160836888929E-4</v>
      </c>
      <c r="S74" s="3"/>
      <c r="T74" s="6">
        <v>1075</v>
      </c>
      <c r="U74" s="3"/>
      <c r="V74" s="7">
        <f t="shared" si="13"/>
        <v>2.1606563571534808E-3</v>
      </c>
      <c r="W74" s="3"/>
      <c r="X74" s="6">
        <f t="shared" si="14"/>
        <v>-845.78</v>
      </c>
      <c r="Y74" s="3"/>
      <c r="Z74" s="7">
        <f t="shared" si="15"/>
        <v>-0.78677209302325579</v>
      </c>
    </row>
    <row r="75" spans="1:26" s="70" customFormat="1" ht="15" hidden="1" customHeight="1" outlineLevel="2" x14ac:dyDescent="0.3">
      <c r="A75" s="21"/>
      <c r="B75" s="9" t="str">
        <f>CONCATENATE("          ","6237"," - ","JANITORIAL SUPPLIES")</f>
        <v xml:space="preserve">          6237 - JANITORIAL SUPPLIES</v>
      </c>
      <c r="C75" s="9"/>
      <c r="D75" s="6"/>
      <c r="E75" s="3"/>
      <c r="F75" s="7">
        <f t="shared" si="8"/>
        <v>0</v>
      </c>
      <c r="G75" s="3"/>
      <c r="H75" s="6">
        <v>100</v>
      </c>
      <c r="I75" s="3"/>
      <c r="J75" s="7">
        <f t="shared" si="9"/>
        <v>6.9497532837584268E-3</v>
      </c>
      <c r="K75" s="3"/>
      <c r="L75" s="6">
        <f t="shared" si="10"/>
        <v>-100</v>
      </c>
      <c r="M75" s="3"/>
      <c r="N75" s="7">
        <f t="shared" si="11"/>
        <v>-1</v>
      </c>
      <c r="O75" s="9"/>
      <c r="P75" s="6">
        <v>48.12</v>
      </c>
      <c r="Q75" s="3"/>
      <c r="R75" s="7">
        <f t="shared" si="12"/>
        <v>7.0662548620150742E-5</v>
      </c>
      <c r="S75" s="3"/>
      <c r="T75" s="6">
        <v>1550</v>
      </c>
      <c r="U75" s="3"/>
      <c r="V75" s="7">
        <f t="shared" si="13"/>
        <v>3.1153649800817634E-3</v>
      </c>
      <c r="W75" s="3"/>
      <c r="X75" s="6">
        <f t="shared" si="14"/>
        <v>-1501.88</v>
      </c>
      <c r="Y75" s="3"/>
      <c r="Z75" s="7">
        <f t="shared" si="15"/>
        <v>-0.96895483870967747</v>
      </c>
    </row>
    <row r="76" spans="1:26" s="70" customFormat="1" ht="15" hidden="1" customHeight="1" outlineLevel="2" x14ac:dyDescent="0.3">
      <c r="A76" s="21"/>
      <c r="B76" s="9" t="str">
        <f>CONCATENATE("          ","6239"," - ","KITCHEN SUPPLIES")</f>
        <v xml:space="preserve">          6239 - KITCHEN SUPPLIES</v>
      </c>
      <c r="C76" s="9"/>
      <c r="D76" s="6">
        <v>122.02</v>
      </c>
      <c r="E76" s="3"/>
      <c r="F76" s="7">
        <f t="shared" si="8"/>
        <v>1.6461094105600847E-2</v>
      </c>
      <c r="G76" s="3"/>
      <c r="H76" s="6"/>
      <c r="I76" s="3"/>
      <c r="J76" s="7">
        <f t="shared" si="9"/>
        <v>0</v>
      </c>
      <c r="K76" s="3"/>
      <c r="L76" s="6">
        <f t="shared" si="10"/>
        <v>122.02</v>
      </c>
      <c r="M76" s="3"/>
      <c r="N76" s="7">
        <f t="shared" si="11"/>
        <v>0</v>
      </c>
      <c r="O76" s="9"/>
      <c r="P76" s="6">
        <v>5781.19</v>
      </c>
      <c r="Q76" s="3"/>
      <c r="R76" s="7">
        <f t="shared" si="12"/>
        <v>8.4894767135770838E-3</v>
      </c>
      <c r="S76" s="3"/>
      <c r="T76" s="6">
        <v>200</v>
      </c>
      <c r="U76" s="3"/>
      <c r="V76" s="7">
        <f t="shared" si="13"/>
        <v>4.0198257807506622E-4</v>
      </c>
      <c r="W76" s="3"/>
      <c r="X76" s="6">
        <f t="shared" si="14"/>
        <v>5581.19</v>
      </c>
      <c r="Y76" s="3"/>
      <c r="Z76" s="7">
        <f t="shared" si="15"/>
        <v>27.905949999999997</v>
      </c>
    </row>
    <row r="77" spans="1:26" s="70" customFormat="1" ht="15" hidden="1" customHeight="1" outlineLevel="2" x14ac:dyDescent="0.3">
      <c r="A77" s="21"/>
      <c r="B77" s="9" t="str">
        <f>CONCATENATE("          ","6241"," - ","OFFICE EXPENSE")</f>
        <v xml:space="preserve">          6241 - OFFICE EXPENSE</v>
      </c>
      <c r="C77" s="9"/>
      <c r="D77" s="6"/>
      <c r="E77" s="3"/>
      <c r="F77" s="7">
        <f t="shared" si="8"/>
        <v>0</v>
      </c>
      <c r="G77" s="3"/>
      <c r="H77" s="6"/>
      <c r="I77" s="3"/>
      <c r="J77" s="7">
        <f t="shared" si="9"/>
        <v>0</v>
      </c>
      <c r="K77" s="3"/>
      <c r="L77" s="6">
        <f t="shared" si="10"/>
        <v>0</v>
      </c>
      <c r="M77" s="3"/>
      <c r="N77" s="7">
        <f t="shared" si="11"/>
        <v>0</v>
      </c>
      <c r="O77" s="9"/>
      <c r="P77" s="6">
        <v>2158.14</v>
      </c>
      <c r="Q77" s="3"/>
      <c r="R77" s="7">
        <f t="shared" si="12"/>
        <v>3.169153630072571E-3</v>
      </c>
      <c r="S77" s="3"/>
      <c r="T77" s="6">
        <v>250</v>
      </c>
      <c r="U77" s="3"/>
      <c r="V77" s="7">
        <f t="shared" si="13"/>
        <v>5.0247822259383279E-4</v>
      </c>
      <c r="W77" s="3"/>
      <c r="X77" s="6">
        <f t="shared" si="14"/>
        <v>1908.1399999999999</v>
      </c>
      <c r="Y77" s="3"/>
      <c r="Z77" s="7">
        <f t="shared" si="15"/>
        <v>7.6325599999999998</v>
      </c>
    </row>
    <row r="78" spans="1:26" s="70" customFormat="1" ht="15" hidden="1" customHeight="1" outlineLevel="2" x14ac:dyDescent="0.3">
      <c r="A78" s="21"/>
      <c r="B78" s="9" t="str">
        <f>CONCATENATE("          ","6243"," - ","PAPER SUPPLIES")</f>
        <v xml:space="preserve">          6243 - PAPER SUPPLIES</v>
      </c>
      <c r="C78" s="9"/>
      <c r="D78" s="6"/>
      <c r="E78" s="3"/>
      <c r="F78" s="7">
        <f t="shared" si="8"/>
        <v>0</v>
      </c>
      <c r="G78" s="3"/>
      <c r="H78" s="6">
        <v>150</v>
      </c>
      <c r="I78" s="3"/>
      <c r="J78" s="7">
        <f t="shared" si="9"/>
        <v>1.0424629925637641E-2</v>
      </c>
      <c r="K78" s="3"/>
      <c r="L78" s="6">
        <f t="shared" si="10"/>
        <v>-150</v>
      </c>
      <c r="M78" s="3"/>
      <c r="N78" s="7">
        <f t="shared" si="11"/>
        <v>-1</v>
      </c>
      <c r="O78" s="9"/>
      <c r="P78" s="6">
        <v>511.58</v>
      </c>
      <c r="Q78" s="3"/>
      <c r="R78" s="7">
        <f t="shared" si="12"/>
        <v>7.5123746099535981E-4</v>
      </c>
      <c r="S78" s="3"/>
      <c r="T78" s="6">
        <v>2850</v>
      </c>
      <c r="U78" s="3"/>
      <c r="V78" s="7">
        <f t="shared" si="13"/>
        <v>5.7282517375696939E-3</v>
      </c>
      <c r="W78" s="3"/>
      <c r="X78" s="6">
        <f t="shared" si="14"/>
        <v>-2338.42</v>
      </c>
      <c r="Y78" s="3"/>
      <c r="Z78" s="7">
        <f t="shared" si="15"/>
        <v>-0.82049824561403506</v>
      </c>
    </row>
    <row r="79" spans="1:26" s="70" customFormat="1" ht="15" hidden="1" customHeight="1" outlineLevel="2" x14ac:dyDescent="0.3">
      <c r="A79" s="21"/>
      <c r="B79" s="9" t="str">
        <f>CONCATENATE("          ","6245"," - ","PRINTING")</f>
        <v xml:space="preserve">          6245 - PRINTING</v>
      </c>
      <c r="C79" s="9"/>
      <c r="D79" s="6"/>
      <c r="E79" s="3"/>
      <c r="F79" s="7">
        <f t="shared" si="8"/>
        <v>0</v>
      </c>
      <c r="G79" s="3"/>
      <c r="H79" s="6">
        <v>50</v>
      </c>
      <c r="I79" s="3"/>
      <c r="J79" s="7">
        <f t="shared" si="9"/>
        <v>3.4748766418792134E-3</v>
      </c>
      <c r="K79" s="3"/>
      <c r="L79" s="6">
        <f t="shared" si="10"/>
        <v>-50</v>
      </c>
      <c r="M79" s="3"/>
      <c r="N79" s="7">
        <f t="shared" si="11"/>
        <v>-1</v>
      </c>
      <c r="O79" s="9"/>
      <c r="P79" s="6">
        <v>733</v>
      </c>
      <c r="Q79" s="3"/>
      <c r="R79" s="7">
        <f t="shared" si="12"/>
        <v>1.0763850402861698E-3</v>
      </c>
      <c r="S79" s="3"/>
      <c r="T79" s="6">
        <v>1000</v>
      </c>
      <c r="U79" s="3"/>
      <c r="V79" s="7">
        <f t="shared" si="13"/>
        <v>2.0099128903753312E-3</v>
      </c>
      <c r="W79" s="3"/>
      <c r="X79" s="6">
        <f t="shared" si="14"/>
        <v>-267</v>
      </c>
      <c r="Y79" s="3"/>
      <c r="Z79" s="7">
        <f t="shared" si="15"/>
        <v>-0.26700000000000002</v>
      </c>
    </row>
    <row r="80" spans="1:26" s="70" customFormat="1" ht="15" hidden="1" customHeight="1" outlineLevel="2" x14ac:dyDescent="0.3">
      <c r="A80" s="21"/>
      <c r="B80" s="9" t="str">
        <f>CONCATENATE("          ","6247"," - ","STORE SUPPLIES")</f>
        <v xml:space="preserve">          6247 - STORE SUPPLIES</v>
      </c>
      <c r="C80" s="9"/>
      <c r="D80" s="6">
        <v>-90</v>
      </c>
      <c r="E80" s="3"/>
      <c r="F80" s="7">
        <f t="shared" si="8"/>
        <v>-1.2141439677955057E-2</v>
      </c>
      <c r="G80" s="3"/>
      <c r="H80" s="6"/>
      <c r="I80" s="3"/>
      <c r="J80" s="7">
        <f t="shared" si="9"/>
        <v>0</v>
      </c>
      <c r="K80" s="3"/>
      <c r="L80" s="6">
        <f t="shared" si="10"/>
        <v>-90</v>
      </c>
      <c r="M80" s="3"/>
      <c r="N80" s="7">
        <f t="shared" si="11"/>
        <v>0</v>
      </c>
      <c r="O80" s="9"/>
      <c r="P80" s="6">
        <v>1300.5899999999999</v>
      </c>
      <c r="Q80" s="3"/>
      <c r="R80" s="7">
        <f t="shared" si="12"/>
        <v>1.9098712408537376E-3</v>
      </c>
      <c r="S80" s="3"/>
      <c r="T80" s="6"/>
      <c r="U80" s="3"/>
      <c r="V80" s="7">
        <f t="shared" si="13"/>
        <v>0</v>
      </c>
      <c r="W80" s="3"/>
      <c r="X80" s="6">
        <f t="shared" si="14"/>
        <v>1300.5899999999999</v>
      </c>
      <c r="Y80" s="3"/>
      <c r="Z80" s="7">
        <f t="shared" si="15"/>
        <v>0</v>
      </c>
    </row>
    <row r="81" spans="1:26" s="70" customFormat="1" ht="15" hidden="1" customHeight="1" outlineLevel="2" x14ac:dyDescent="0.3">
      <c r="A81" s="21"/>
      <c r="B81" s="9" t="str">
        <f>CONCATENATE("          ","6248"," - ","UNIFORMS")</f>
        <v xml:space="preserve">          6248 - UNIFORMS</v>
      </c>
      <c r="C81" s="9"/>
      <c r="D81" s="6"/>
      <c r="E81" s="3"/>
      <c r="F81" s="7">
        <f t="shared" si="8"/>
        <v>0</v>
      </c>
      <c r="G81" s="3"/>
      <c r="H81" s="6"/>
      <c r="I81" s="3"/>
      <c r="J81" s="7">
        <f t="shared" si="9"/>
        <v>0</v>
      </c>
      <c r="K81" s="3"/>
      <c r="L81" s="6">
        <f t="shared" si="10"/>
        <v>0</v>
      </c>
      <c r="M81" s="3"/>
      <c r="N81" s="7">
        <f t="shared" si="11"/>
        <v>0</v>
      </c>
      <c r="O81" s="9"/>
      <c r="P81" s="6">
        <v>2988.45</v>
      </c>
      <c r="Q81" s="3"/>
      <c r="R81" s="7">
        <f t="shared" si="12"/>
        <v>4.3884350254341118E-3</v>
      </c>
      <c r="S81" s="3"/>
      <c r="T81" s="6">
        <v>1300</v>
      </c>
      <c r="U81" s="3"/>
      <c r="V81" s="7">
        <f t="shared" si="13"/>
        <v>2.6128867574879305E-3</v>
      </c>
      <c r="W81" s="3"/>
      <c r="X81" s="6">
        <f t="shared" si="14"/>
        <v>1688.4499999999998</v>
      </c>
      <c r="Y81" s="3"/>
      <c r="Z81" s="7">
        <f t="shared" si="15"/>
        <v>1.2988076923076921</v>
      </c>
    </row>
    <row r="82" spans="1:26" s="69" customFormat="1" ht="15" customHeight="1" outlineLevel="1" collapsed="1" x14ac:dyDescent="0.3">
      <c r="A82" s="20"/>
      <c r="B82" s="11" t="str">
        <f>CONCATENATE("     ","Telephone/Data Lines                              ")</f>
        <v xml:space="preserve">     Telephone/Data Lines                              </v>
      </c>
      <c r="C82" s="11"/>
      <c r="D82" s="2">
        <f>SUM(OSRRefD22_13x_0)</f>
        <v>0</v>
      </c>
      <c r="E82" s="2"/>
      <c r="F82" s="5">
        <f t="shared" si="8"/>
        <v>0</v>
      </c>
      <c r="G82" s="2"/>
      <c r="H82" s="2">
        <f>SUM(OSRRefH22_13x_0)</f>
        <v>150</v>
      </c>
      <c r="I82" s="2"/>
      <c r="J82" s="5">
        <f t="shared" si="9"/>
        <v>1.0424629925637641E-2</v>
      </c>
      <c r="K82" s="2"/>
      <c r="L82" s="2">
        <f t="shared" si="10"/>
        <v>-150</v>
      </c>
      <c r="M82" s="2"/>
      <c r="N82" s="5">
        <f t="shared" si="11"/>
        <v>-1</v>
      </c>
      <c r="O82" s="11"/>
      <c r="P82" s="2">
        <f>SUM(OSRRefP22_13x_0)</f>
        <v>1050</v>
      </c>
      <c r="Q82" s="2"/>
      <c r="R82" s="5">
        <f t="shared" si="12"/>
        <v>1.5418885297414438E-3</v>
      </c>
      <c r="S82" s="2"/>
      <c r="T82" s="2">
        <f>SUM(OSRRefT22_13x_0)</f>
        <v>1800</v>
      </c>
      <c r="U82" s="2"/>
      <c r="V82" s="5">
        <f t="shared" si="13"/>
        <v>3.6178432026755959E-3</v>
      </c>
      <c r="W82" s="2"/>
      <c r="X82" s="2">
        <f t="shared" si="14"/>
        <v>-750</v>
      </c>
      <c r="Y82" s="2"/>
      <c r="Z82" s="5">
        <f t="shared" si="15"/>
        <v>-0.41666666666666669</v>
      </c>
    </row>
    <row r="83" spans="1:26" s="70" customFormat="1" ht="15" hidden="1" customHeight="1" outlineLevel="2" x14ac:dyDescent="0.3">
      <c r="A83" s="21"/>
      <c r="B83" s="9" t="str">
        <f>CONCATENATE("          ","6309"," - ","TELEPHONE")</f>
        <v xml:space="preserve">          6309 - TELEPHONE</v>
      </c>
      <c r="C83" s="9"/>
      <c r="D83" s="6">
        <v>0</v>
      </c>
      <c r="E83" s="3"/>
      <c r="F83" s="7">
        <f t="shared" si="8"/>
        <v>0</v>
      </c>
      <c r="G83" s="3"/>
      <c r="H83" s="6">
        <v>150</v>
      </c>
      <c r="I83" s="3"/>
      <c r="J83" s="7">
        <f t="shared" si="9"/>
        <v>1.0424629925637641E-2</v>
      </c>
      <c r="K83" s="3"/>
      <c r="L83" s="6">
        <f t="shared" si="10"/>
        <v>-150</v>
      </c>
      <c r="M83" s="3"/>
      <c r="N83" s="7">
        <f t="shared" si="11"/>
        <v>-1</v>
      </c>
      <c r="O83" s="9"/>
      <c r="P83" s="6">
        <v>1050</v>
      </c>
      <c r="Q83" s="3"/>
      <c r="R83" s="7">
        <f t="shared" si="12"/>
        <v>1.5418885297414438E-3</v>
      </c>
      <c r="S83" s="3"/>
      <c r="T83" s="6">
        <v>1800</v>
      </c>
      <c r="U83" s="3"/>
      <c r="V83" s="7">
        <f t="shared" si="13"/>
        <v>3.6178432026755959E-3</v>
      </c>
      <c r="W83" s="3"/>
      <c r="X83" s="6">
        <f t="shared" si="14"/>
        <v>-750</v>
      </c>
      <c r="Y83" s="3"/>
      <c r="Z83" s="7">
        <f t="shared" si="15"/>
        <v>-0.41666666666666669</v>
      </c>
    </row>
    <row r="84" spans="1:26" s="69" customFormat="1" ht="15" customHeight="1" outlineLevel="1" collapsed="1" x14ac:dyDescent="0.3">
      <c r="A84" s="20"/>
      <c r="B84" s="11" t="str">
        <f>CONCATENATE("     ","Training                                          ")</f>
        <v xml:space="preserve">     Training                                          </v>
      </c>
      <c r="C84" s="11"/>
      <c r="D84" s="2">
        <f>SUM(OSRRefD22_14x_0)</f>
        <v>0</v>
      </c>
      <c r="E84" s="2"/>
      <c r="F84" s="5">
        <f t="shared" si="8"/>
        <v>0</v>
      </c>
      <c r="G84" s="2"/>
      <c r="H84" s="2">
        <f>SUM(OSRRefH22_14x_0)</f>
        <v>0</v>
      </c>
      <c r="I84" s="2"/>
      <c r="J84" s="5">
        <f t="shared" si="9"/>
        <v>0</v>
      </c>
      <c r="K84" s="2"/>
      <c r="L84" s="2">
        <f t="shared" si="10"/>
        <v>0</v>
      </c>
      <c r="M84" s="2"/>
      <c r="N84" s="5">
        <f t="shared" si="11"/>
        <v>0</v>
      </c>
      <c r="O84" s="11"/>
      <c r="P84" s="2">
        <f>SUM(OSRRefP22_14x_0)</f>
        <v>200</v>
      </c>
      <c r="Q84" s="2"/>
      <c r="R84" s="5">
        <f t="shared" si="12"/>
        <v>2.9369305328408454E-4</v>
      </c>
      <c r="S84" s="2"/>
      <c r="T84" s="2">
        <f>SUM(OSRRefT22_14x_0)</f>
        <v>400</v>
      </c>
      <c r="U84" s="2"/>
      <c r="V84" s="5">
        <f t="shared" si="13"/>
        <v>8.0396515615013245E-4</v>
      </c>
      <c r="W84" s="2"/>
      <c r="X84" s="2">
        <f t="shared" si="14"/>
        <v>-200</v>
      </c>
      <c r="Y84" s="2"/>
      <c r="Z84" s="5">
        <f t="shared" si="15"/>
        <v>-0.5</v>
      </c>
    </row>
    <row r="85" spans="1:26" s="70" customFormat="1" ht="15" hidden="1" customHeight="1" outlineLevel="2" x14ac:dyDescent="0.3">
      <c r="A85" s="21"/>
      <c r="B85" s="9" t="str">
        <f>CONCATENATE("          ","6376"," - ","TRAINING")</f>
        <v xml:space="preserve">          6376 - TRAINING</v>
      </c>
      <c r="C85" s="9"/>
      <c r="D85" s="6"/>
      <c r="E85" s="3"/>
      <c r="F85" s="7">
        <f t="shared" si="8"/>
        <v>0</v>
      </c>
      <c r="G85" s="3"/>
      <c r="H85" s="6"/>
      <c r="I85" s="3"/>
      <c r="J85" s="7">
        <f t="shared" si="9"/>
        <v>0</v>
      </c>
      <c r="K85" s="3"/>
      <c r="L85" s="6">
        <f t="shared" si="10"/>
        <v>0</v>
      </c>
      <c r="M85" s="3"/>
      <c r="N85" s="7">
        <f t="shared" si="11"/>
        <v>0</v>
      </c>
      <c r="O85" s="9"/>
      <c r="P85" s="6">
        <v>200</v>
      </c>
      <c r="Q85" s="3"/>
      <c r="R85" s="7">
        <f t="shared" si="12"/>
        <v>2.9369305328408454E-4</v>
      </c>
      <c r="S85" s="3"/>
      <c r="T85" s="6">
        <v>400</v>
      </c>
      <c r="U85" s="3"/>
      <c r="V85" s="7">
        <f t="shared" si="13"/>
        <v>8.0396515615013245E-4</v>
      </c>
      <c r="W85" s="3"/>
      <c r="X85" s="6">
        <f t="shared" si="14"/>
        <v>-200</v>
      </c>
      <c r="Y85" s="3"/>
      <c r="Z85" s="7">
        <f t="shared" si="15"/>
        <v>-0.5</v>
      </c>
    </row>
    <row r="86" spans="1:26" s="69" customFormat="1" ht="15" customHeight="1" outlineLevel="1" collapsed="1" x14ac:dyDescent="0.3">
      <c r="A86" s="20"/>
      <c r="B86" s="11" t="str">
        <f>CONCATENATE("     ","Travel                                            ")</f>
        <v xml:space="preserve">     Travel                                            </v>
      </c>
      <c r="C86" s="11"/>
      <c r="D86" s="2">
        <f>SUM(OSRRefD22_15x_0)</f>
        <v>0</v>
      </c>
      <c r="E86" s="2"/>
      <c r="F86" s="5">
        <f t="shared" si="8"/>
        <v>0</v>
      </c>
      <c r="G86" s="2"/>
      <c r="H86" s="2">
        <f>SUM(OSRRefH22_15x_0)</f>
        <v>0</v>
      </c>
      <c r="I86" s="2"/>
      <c r="J86" s="5">
        <f t="shared" si="9"/>
        <v>0</v>
      </c>
      <c r="K86" s="2"/>
      <c r="L86" s="2">
        <f t="shared" si="10"/>
        <v>0</v>
      </c>
      <c r="M86" s="2"/>
      <c r="N86" s="5">
        <f t="shared" si="11"/>
        <v>0</v>
      </c>
      <c r="O86" s="11"/>
      <c r="P86" s="2">
        <f>SUM(OSRRefP22_15x_0)</f>
        <v>0</v>
      </c>
      <c r="Q86" s="2"/>
      <c r="R86" s="5">
        <f t="shared" si="12"/>
        <v>0</v>
      </c>
      <c r="S86" s="2"/>
      <c r="T86" s="2">
        <f>SUM(OSRRefT22_15x_0)</f>
        <v>600</v>
      </c>
      <c r="U86" s="2"/>
      <c r="V86" s="5">
        <f t="shared" si="13"/>
        <v>1.2059477342251986E-3</v>
      </c>
      <c r="W86" s="2"/>
      <c r="X86" s="2">
        <f t="shared" si="14"/>
        <v>-600</v>
      </c>
      <c r="Y86" s="2"/>
      <c r="Z86" s="5">
        <f t="shared" si="15"/>
        <v>-1</v>
      </c>
    </row>
    <row r="87" spans="1:26" s="70" customFormat="1" ht="15" hidden="1" customHeight="1" outlineLevel="2" x14ac:dyDescent="0.3">
      <c r="A87" s="21"/>
      <c r="B87" s="9" t="str">
        <f>CONCATENATE("          ","6292"," - ","TRAVEL/CONFERENCE")</f>
        <v xml:space="preserve">          6292 - TRAVEL/CONFERENCE</v>
      </c>
      <c r="C87" s="9"/>
      <c r="D87" s="6"/>
      <c r="E87" s="3"/>
      <c r="F87" s="7">
        <f t="shared" si="8"/>
        <v>0</v>
      </c>
      <c r="G87" s="3"/>
      <c r="H87" s="6"/>
      <c r="I87" s="3"/>
      <c r="J87" s="7">
        <f t="shared" si="9"/>
        <v>0</v>
      </c>
      <c r="K87" s="3"/>
      <c r="L87" s="6">
        <f t="shared" si="10"/>
        <v>0</v>
      </c>
      <c r="M87" s="3"/>
      <c r="N87" s="7">
        <f t="shared" si="11"/>
        <v>0</v>
      </c>
      <c r="O87" s="9"/>
      <c r="P87" s="6"/>
      <c r="Q87" s="3"/>
      <c r="R87" s="7">
        <f t="shared" si="12"/>
        <v>0</v>
      </c>
      <c r="S87" s="3"/>
      <c r="T87" s="6">
        <v>600</v>
      </c>
      <c r="U87" s="3"/>
      <c r="V87" s="7">
        <f t="shared" si="13"/>
        <v>1.2059477342251986E-3</v>
      </c>
      <c r="W87" s="3"/>
      <c r="X87" s="6">
        <f t="shared" si="14"/>
        <v>-600</v>
      </c>
      <c r="Y87" s="3"/>
      <c r="Z87" s="7">
        <f t="shared" si="15"/>
        <v>-1</v>
      </c>
    </row>
    <row r="88" spans="1:26" s="69" customFormat="1" ht="15" customHeight="1" outlineLevel="1" collapsed="1" x14ac:dyDescent="0.3">
      <c r="A88" s="20"/>
      <c r="B88" s="11" t="str">
        <f>CONCATENATE("     ","Utilities                                         ")</f>
        <v xml:space="preserve">     Utilities                                         </v>
      </c>
      <c r="C88" s="11"/>
      <c r="D88" s="2">
        <f>SUM(OSRRefD22_16x_0)</f>
        <v>342.99</v>
      </c>
      <c r="E88" s="2"/>
      <c r="F88" s="5">
        <f t="shared" si="8"/>
        <v>4.6271026612686728E-2</v>
      </c>
      <c r="G88" s="2"/>
      <c r="H88" s="2">
        <f>SUM(OSRRefH22_16x_0)</f>
        <v>200</v>
      </c>
      <c r="I88" s="2"/>
      <c r="J88" s="5">
        <f t="shared" si="9"/>
        <v>1.3899506567516854E-2</v>
      </c>
      <c r="K88" s="2"/>
      <c r="L88" s="2">
        <f t="shared" si="10"/>
        <v>142.99</v>
      </c>
      <c r="M88" s="2"/>
      <c r="N88" s="5">
        <f t="shared" si="11"/>
        <v>0.71495000000000009</v>
      </c>
      <c r="O88" s="11"/>
      <c r="P88" s="2">
        <f>SUM(OSRRefP22_16x_0)</f>
        <v>2828.97</v>
      </c>
      <c r="Q88" s="2"/>
      <c r="R88" s="5">
        <f t="shared" si="12"/>
        <v>4.1542441847453827E-3</v>
      </c>
      <c r="S88" s="2"/>
      <c r="T88" s="2">
        <f>SUM(OSRRefT22_16x_0)</f>
        <v>2400</v>
      </c>
      <c r="U88" s="2"/>
      <c r="V88" s="5">
        <f t="shared" si="13"/>
        <v>4.8237909369007945E-3</v>
      </c>
      <c r="W88" s="2"/>
      <c r="X88" s="2">
        <f t="shared" si="14"/>
        <v>428.9699999999998</v>
      </c>
      <c r="Y88" s="2"/>
      <c r="Z88" s="5">
        <f t="shared" si="15"/>
        <v>0.17873749999999991</v>
      </c>
    </row>
    <row r="89" spans="1:26" s="70" customFormat="1" ht="15" hidden="1" customHeight="1" outlineLevel="2" x14ac:dyDescent="0.3">
      <c r="A89" s="21"/>
      <c r="B89" s="9" t="str">
        <f>CONCATENATE("          ","6274"," - ","UTILITIES")</f>
        <v xml:space="preserve">          6274 - UTILITIES</v>
      </c>
      <c r="C89" s="9"/>
      <c r="D89" s="6">
        <v>342.99</v>
      </c>
      <c r="E89" s="3"/>
      <c r="F89" s="7">
        <f t="shared" si="8"/>
        <v>4.6271026612686728E-2</v>
      </c>
      <c r="G89" s="3"/>
      <c r="H89" s="6">
        <v>200</v>
      </c>
      <c r="I89" s="3"/>
      <c r="J89" s="7">
        <f t="shared" si="9"/>
        <v>1.3899506567516854E-2</v>
      </c>
      <c r="K89" s="3"/>
      <c r="L89" s="6">
        <f t="shared" si="10"/>
        <v>142.99</v>
      </c>
      <c r="M89" s="3"/>
      <c r="N89" s="7">
        <f t="shared" si="11"/>
        <v>0.71495000000000009</v>
      </c>
      <c r="O89" s="9"/>
      <c r="P89" s="6">
        <v>2828.97</v>
      </c>
      <c r="Q89" s="3"/>
      <c r="R89" s="7">
        <f t="shared" si="12"/>
        <v>4.1542441847453827E-3</v>
      </c>
      <c r="S89" s="3"/>
      <c r="T89" s="6">
        <v>2400</v>
      </c>
      <c r="U89" s="3"/>
      <c r="V89" s="7">
        <f t="shared" si="13"/>
        <v>4.8237909369007945E-3</v>
      </c>
      <c r="W89" s="3"/>
      <c r="X89" s="6">
        <f t="shared" si="14"/>
        <v>428.9699999999998</v>
      </c>
      <c r="Y89" s="3"/>
      <c r="Z89" s="7">
        <f t="shared" si="15"/>
        <v>0.17873749999999991</v>
      </c>
    </row>
    <row r="90" spans="1:26" s="65" customFormat="1" ht="15" customHeight="1" x14ac:dyDescent="0.3">
      <c r="A90" s="36"/>
      <c r="B90" s="36"/>
      <c r="C90" s="36"/>
      <c r="D90" s="2"/>
      <c r="E90" s="2"/>
      <c r="F90" s="5"/>
      <c r="G90" s="2"/>
      <c r="H90" s="2"/>
      <c r="I90" s="2"/>
      <c r="J90" s="5"/>
      <c r="K90" s="2"/>
      <c r="L90" s="2"/>
      <c r="M90" s="2"/>
      <c r="N90" s="5"/>
      <c r="O90" s="36"/>
      <c r="P90" s="2"/>
      <c r="Q90" s="2"/>
      <c r="R90" s="5"/>
      <c r="S90" s="2"/>
      <c r="T90" s="2"/>
      <c r="U90" s="2"/>
      <c r="V90" s="5"/>
      <c r="W90" s="2"/>
      <c r="X90" s="2"/>
      <c r="Y90" s="2"/>
      <c r="Z90" s="5"/>
    </row>
    <row r="91" spans="1:26" s="63" customFormat="1" ht="15" customHeight="1" collapsed="1" x14ac:dyDescent="0.3">
      <c r="A91" s="13"/>
      <c r="B91" s="28" t="s">
        <v>291</v>
      </c>
      <c r="C91" s="13"/>
      <c r="D91" s="8">
        <f>SUM(OSRRefD25x_0)</f>
        <v>0</v>
      </c>
      <c r="E91" s="8"/>
      <c r="F91" s="14">
        <f>IF(D$12=0,0,D91/D$12)</f>
        <v>0</v>
      </c>
      <c r="G91" s="8"/>
      <c r="H91" s="8">
        <f>SUM(OSRRefH25x_0)</f>
        <v>0</v>
      </c>
      <c r="I91" s="8"/>
      <c r="J91" s="14">
        <f>IF(H$12=0,0,H91/H$12)</f>
        <v>0</v>
      </c>
      <c r="K91" s="8"/>
      <c r="L91" s="8">
        <f>+D91-H91</f>
        <v>0</v>
      </c>
      <c r="M91" s="8"/>
      <c r="N91" s="14">
        <f>IF(H91=0,0,L91/H91)</f>
        <v>0</v>
      </c>
      <c r="O91" s="13"/>
      <c r="P91" s="8">
        <f>SUM(OSRRefP25x_0)</f>
        <v>192</v>
      </c>
      <c r="Q91" s="8"/>
      <c r="R91" s="14">
        <f>IF(P$12=0,0,P91/P$12)</f>
        <v>2.8194533115272116E-4</v>
      </c>
      <c r="S91" s="8"/>
      <c r="T91" s="8">
        <f>SUM(OSRRefT25x_0)</f>
        <v>0</v>
      </c>
      <c r="U91" s="8"/>
      <c r="V91" s="14">
        <f>IF(T$12=0,0,T91/T$12)</f>
        <v>0</v>
      </c>
      <c r="W91" s="8"/>
      <c r="X91" s="8">
        <f>+P91-T91</f>
        <v>192</v>
      </c>
      <c r="Y91" s="8"/>
      <c r="Z91" s="14">
        <f>IF(T91=0,0,X91/T91)</f>
        <v>0</v>
      </c>
    </row>
    <row r="92" spans="1:26" s="70" customFormat="1" ht="15" hidden="1" customHeight="1" outlineLevel="1" x14ac:dyDescent="0.3">
      <c r="A92" s="48"/>
      <c r="B92" s="9" t="str">
        <f>CONCATENATE("          ","9150"," - ","MISC. INCOME")</f>
        <v xml:space="preserve">          9150 - MISC. INCOME</v>
      </c>
      <c r="C92" s="9"/>
      <c r="D92" s="3">
        <f>0</f>
        <v>0</v>
      </c>
      <c r="E92" s="3"/>
      <c r="F92" s="26">
        <f>IF(D$12=0,0,D92/D$12)</f>
        <v>0</v>
      </c>
      <c r="G92" s="3"/>
      <c r="H92" s="3"/>
      <c r="I92" s="3"/>
      <c r="J92" s="26">
        <f>IF(H$12=0,0,H92/H$12)</f>
        <v>0</v>
      </c>
      <c r="K92" s="3"/>
      <c r="L92" s="3">
        <f>+D92-H92</f>
        <v>0</v>
      </c>
      <c r="M92" s="3"/>
      <c r="N92" s="26">
        <f>IF(H92=0,0,L92/H92)</f>
        <v>0</v>
      </c>
      <c r="O92" s="9"/>
      <c r="P92" s="3">
        <f>--192</f>
        <v>192</v>
      </c>
      <c r="Q92" s="3"/>
      <c r="R92" s="26">
        <f>IF(P$12=0,0,P92/P$12)</f>
        <v>2.8194533115272116E-4</v>
      </c>
      <c r="S92" s="3"/>
      <c r="T92" s="3"/>
      <c r="U92" s="3"/>
      <c r="V92" s="26">
        <f>IF(T$12=0,0,T92/T$12)</f>
        <v>0</v>
      </c>
      <c r="W92" s="3"/>
      <c r="X92" s="3">
        <f>+P92-T92</f>
        <v>192</v>
      </c>
      <c r="Y92" s="3"/>
      <c r="Z92" s="26">
        <f>IF(T92=0,0,X92/T92)</f>
        <v>0</v>
      </c>
    </row>
    <row r="93" spans="1:26" ht="15" customHeight="1" x14ac:dyDescent="0.3">
      <c r="A93" s="12"/>
      <c r="B93" s="13"/>
      <c r="C93" s="13"/>
      <c r="D93" s="4"/>
      <c r="E93" s="4"/>
      <c r="F93" s="10"/>
      <c r="G93" s="4"/>
      <c r="H93" s="4"/>
      <c r="I93" s="4"/>
      <c r="J93" s="10"/>
      <c r="K93" s="4"/>
      <c r="L93" s="4"/>
      <c r="M93" s="4"/>
      <c r="N93" s="10"/>
      <c r="O93" s="13"/>
      <c r="P93" s="4"/>
      <c r="Q93" s="4"/>
      <c r="R93" s="10"/>
      <c r="S93" s="4"/>
      <c r="T93" s="4"/>
      <c r="U93" s="4"/>
      <c r="V93" s="10"/>
      <c r="W93" s="4"/>
      <c r="X93" s="4"/>
      <c r="Y93" s="4"/>
      <c r="Z93" s="10"/>
    </row>
    <row r="94" spans="1:26" s="63" customFormat="1" ht="15" customHeight="1" x14ac:dyDescent="0.3">
      <c r="A94" s="13"/>
      <c r="B94" s="27" t="s">
        <v>292</v>
      </c>
      <c r="C94" s="27"/>
      <c r="D94" s="23">
        <f>+D23-D25+D91</f>
        <v>-53256.92</v>
      </c>
      <c r="E94" s="15"/>
      <c r="F94" s="22">
        <f>IF(D$12=0,0,D94/D$12)</f>
        <v>-7.1846186845964253</v>
      </c>
      <c r="G94" s="15"/>
      <c r="H94" s="23">
        <f>+H23-H25+H91</f>
        <v>-16841.653577846151</v>
      </c>
      <c r="I94" s="15"/>
      <c r="J94" s="22">
        <f>IF(H$12=0,0,H94/H$12)</f>
        <v>-1.1704533725655815</v>
      </c>
      <c r="K94" s="17"/>
      <c r="L94" s="23">
        <f>+D94-H94</f>
        <v>-36415.266422153843</v>
      </c>
      <c r="M94" s="17"/>
      <c r="N94" s="22">
        <f>IF(H94=0,0,L94/H94)</f>
        <v>2.1622144318450545</v>
      </c>
      <c r="O94" s="28"/>
      <c r="P94" s="23">
        <f>+P23-P25+P91</f>
        <v>-85801.250000000058</v>
      </c>
      <c r="Q94" s="15"/>
      <c r="R94" s="22">
        <f>IF(P$12=0,0,P94/P$12)</f>
        <v>-0.12599615544045539</v>
      </c>
      <c r="S94" s="15"/>
      <c r="T94" s="23">
        <f>+T23-T25+T91</f>
        <v>-98940.217325999984</v>
      </c>
      <c r="U94" s="15"/>
      <c r="V94" s="22">
        <f>IF(T$12=0,0,T94/T$12)</f>
        <v>-0.19886121818006405</v>
      </c>
      <c r="W94" s="17"/>
      <c r="X94" s="23">
        <f>+P94-T94</f>
        <v>13138.967325999925</v>
      </c>
      <c r="Y94" s="17"/>
      <c r="Z94" s="22">
        <f>IF(T94=0,0,X94/T94)</f>
        <v>-0.13279703320954001</v>
      </c>
    </row>
    <row r="95" spans="1:26" ht="15" customHeight="1" x14ac:dyDescent="0.3">
      <c r="A95" s="12"/>
      <c r="B95" s="13"/>
      <c r="C95" s="12"/>
      <c r="D95" s="4"/>
      <c r="E95" s="4"/>
      <c r="F95" s="10"/>
      <c r="G95" s="4"/>
      <c r="H95" s="4"/>
      <c r="I95" s="4"/>
      <c r="J95" s="10"/>
      <c r="K95" s="4"/>
      <c r="L95" s="4"/>
      <c r="M95" s="4"/>
      <c r="N95" s="10"/>
      <c r="P95" s="4"/>
      <c r="Q95" s="4"/>
      <c r="R95" s="10"/>
      <c r="S95" s="4"/>
      <c r="T95" s="4"/>
      <c r="U95" s="4"/>
      <c r="V95" s="10"/>
      <c r="W95" s="4"/>
      <c r="X95" s="4"/>
      <c r="Y95" s="4"/>
      <c r="Z95" s="10"/>
    </row>
    <row r="96" spans="1:26" s="63" customFormat="1" ht="15" customHeight="1" x14ac:dyDescent="0.3">
      <c r="A96" s="49"/>
      <c r="B96" s="13" t="s">
        <v>293</v>
      </c>
      <c r="C96" s="13"/>
      <c r="D96" s="8">
        <v>-154236.07</v>
      </c>
      <c r="E96" s="8"/>
      <c r="F96" s="14">
        <f>IF(D$12=0,0,D96/D$12)</f>
        <v>-20.807199334109487</v>
      </c>
      <c r="G96" s="8"/>
      <c r="H96" s="8">
        <v>-3474</v>
      </c>
      <c r="I96" s="8"/>
      <c r="J96" s="14">
        <f>IF(H$12=0,0,H96/H$12)</f>
        <v>-0.24143442907776774</v>
      </c>
      <c r="K96" s="8"/>
      <c r="L96" s="8">
        <f>+D96-H96</f>
        <v>-150762.07</v>
      </c>
      <c r="M96" s="8"/>
      <c r="N96" s="14">
        <f>IF(H96=0,0,L96/H96)</f>
        <v>43.397256764536557</v>
      </c>
      <c r="O96" s="13"/>
      <c r="P96" s="8">
        <v>-78509.67</v>
      </c>
      <c r="Q96" s="8"/>
      <c r="R96" s="14">
        <f>IF(P$12=0,0,P96/P$12)</f>
        <v>-0.11528872347312948</v>
      </c>
      <c r="S96" s="8"/>
      <c r="T96" s="8">
        <v>56418</v>
      </c>
      <c r="U96" s="8"/>
      <c r="V96" s="14">
        <f>IF(T$12=0,0,T96/T$12)</f>
        <v>0.11339526544919543</v>
      </c>
      <c r="W96" s="8"/>
      <c r="X96" s="8">
        <f>+P96-T96</f>
        <v>-134927.66999999998</v>
      </c>
      <c r="Y96" s="8"/>
      <c r="Z96" s="14">
        <f>IF(T96=0,0,X96/T96)</f>
        <v>-2.3915713070296709</v>
      </c>
    </row>
    <row r="97" spans="1:26" ht="15" customHeight="1" x14ac:dyDescent="0.3">
      <c r="A97" s="12"/>
      <c r="B97" s="13"/>
      <c r="C97" s="13"/>
      <c r="D97" s="4"/>
      <c r="E97" s="4"/>
      <c r="F97" s="10"/>
      <c r="G97" s="4"/>
      <c r="H97" s="4"/>
      <c r="I97" s="4"/>
      <c r="J97" s="10"/>
      <c r="K97" s="4"/>
      <c r="L97" s="4"/>
      <c r="M97" s="4"/>
      <c r="N97" s="10"/>
      <c r="O97" s="13"/>
      <c r="P97" s="4"/>
      <c r="Q97" s="4"/>
      <c r="R97" s="10"/>
      <c r="S97" s="4"/>
      <c r="T97" s="4"/>
      <c r="U97" s="4"/>
      <c r="V97" s="10"/>
      <c r="W97" s="4"/>
      <c r="X97" s="4"/>
      <c r="Y97" s="4"/>
      <c r="Z97" s="10"/>
    </row>
    <row r="98" spans="1:26" s="63" customFormat="1" ht="15" customHeight="1" x14ac:dyDescent="0.3">
      <c r="A98" s="13"/>
      <c r="B98" s="27" t="s">
        <v>294</v>
      </c>
      <c r="C98" s="27"/>
      <c r="D98" s="30">
        <f>+D94-D96</f>
        <v>100979.15000000001</v>
      </c>
      <c r="E98" s="15"/>
      <c r="F98" s="35">
        <f>IF(D$12=0,0,D98/D$12)</f>
        <v>13.622580649513061</v>
      </c>
      <c r="G98" s="15"/>
      <c r="H98" s="30">
        <f>+H94-H96</f>
        <v>-13367.653577846151</v>
      </c>
      <c r="I98" s="15"/>
      <c r="J98" s="35">
        <f>IF(H$12=0,0,H98/H$12)</f>
        <v>-0.92901894348781366</v>
      </c>
      <c r="K98" s="17"/>
      <c r="L98" s="30">
        <f>D98-H98</f>
        <v>114346.80357784616</v>
      </c>
      <c r="M98" s="17"/>
      <c r="N98" s="35">
        <f>IF(H98=0,0,L98/H98)</f>
        <v>-8.5539921357140809</v>
      </c>
      <c r="O98" s="28"/>
      <c r="P98" s="30">
        <f>+P94-P96</f>
        <v>-7291.58000000006</v>
      </c>
      <c r="Q98" s="15"/>
      <c r="R98" s="35">
        <f>IF(P$12=0,0,P98/P$12)</f>
        <v>-1.0707431967325914E-2</v>
      </c>
      <c r="S98" s="15"/>
      <c r="T98" s="30">
        <f>+T94-T96</f>
        <v>-155358.21732599998</v>
      </c>
      <c r="U98" s="15"/>
      <c r="V98" s="35">
        <f>IF(T$12=0,0,T98/T$12)</f>
        <v>-0.31225648362925945</v>
      </c>
      <c r="W98" s="17"/>
      <c r="X98" s="30">
        <f>P98-T98</f>
        <v>148066.63732599991</v>
      </c>
      <c r="Y98" s="17"/>
      <c r="Z98" s="35">
        <f>IF(T98=0,0,X98/T98)</f>
        <v>-0.95306601655514878</v>
      </c>
    </row>
    <row r="99" spans="1:26" ht="15" customHeight="1" x14ac:dyDescent="0.3">
      <c r="A99" s="12"/>
      <c r="B99" s="12"/>
      <c r="C99" s="12"/>
      <c r="D99" s="4"/>
      <c r="E99" s="4"/>
      <c r="F99" s="10"/>
      <c r="G99" s="4"/>
      <c r="H99" s="4"/>
      <c r="I99" s="4"/>
      <c r="J99" s="10"/>
      <c r="K99" s="4"/>
      <c r="L99" s="4"/>
      <c r="M99" s="4"/>
      <c r="N99" s="10"/>
      <c r="P99" s="4"/>
      <c r="Q99" s="4"/>
      <c r="R99" s="10"/>
      <c r="S99" s="4"/>
      <c r="T99" s="4"/>
      <c r="U99" s="4"/>
      <c r="V99" s="10"/>
      <c r="W99" s="4"/>
      <c r="X99" s="4"/>
      <c r="Y99" s="4"/>
      <c r="Z99" s="10"/>
    </row>
    <row r="100" spans="1:26" ht="15" customHeight="1" x14ac:dyDescent="0.3">
      <c r="A100" s="12"/>
      <c r="B100" s="12"/>
      <c r="C100" s="12"/>
      <c r="D100" s="4"/>
      <c r="E100" s="4"/>
      <c r="F100" s="10"/>
      <c r="G100" s="4"/>
      <c r="H100" s="4"/>
      <c r="I100" s="4"/>
      <c r="J100" s="10"/>
      <c r="K100" s="4"/>
      <c r="L100" s="4"/>
      <c r="M100" s="4"/>
      <c r="N100" s="10"/>
      <c r="P100" s="4"/>
      <c r="Q100" s="4"/>
      <c r="R100" s="10"/>
      <c r="S100" s="4"/>
      <c r="T100" s="4"/>
      <c r="U100" s="4"/>
      <c r="V100" s="10"/>
      <c r="W100" s="4"/>
      <c r="X100" s="4"/>
      <c r="Y100" s="4"/>
      <c r="Z100" s="10"/>
    </row>
    <row r="101" spans="1:26" s="63" customFormat="1" ht="15" customHeight="1" x14ac:dyDescent="0.3">
      <c r="A101" s="13"/>
      <c r="B101" s="27" t="s">
        <v>297</v>
      </c>
      <c r="C101" s="27"/>
      <c r="D101" s="33">
        <f>SUM(D98:D100)</f>
        <v>100979.15000000001</v>
      </c>
      <c r="E101" s="15"/>
      <c r="F101" s="31">
        <f>IF(D$12=0,0,D101/D$12)</f>
        <v>13.622580649513061</v>
      </c>
      <c r="G101" s="15"/>
      <c r="H101" s="33">
        <f>SUM(H98:H100)</f>
        <v>-13367.653577846151</v>
      </c>
      <c r="I101" s="15"/>
      <c r="J101" s="31">
        <f>IF(H$12=0,0,H101/H$12)</f>
        <v>-0.92901894348781366</v>
      </c>
      <c r="K101" s="17"/>
      <c r="L101" s="33">
        <f>+D101-H101</f>
        <v>114346.80357784616</v>
      </c>
      <c r="M101" s="17"/>
      <c r="N101" s="31">
        <f>IF(H101=0,0,L101/H101)</f>
        <v>-8.5539921357140809</v>
      </c>
      <c r="O101" s="28"/>
      <c r="P101" s="33">
        <f>SUM(P98:P100)</f>
        <v>-7291.58000000006</v>
      </c>
      <c r="Q101" s="15"/>
      <c r="R101" s="31">
        <f>IF(P$12=0,0,P101/P$12)</f>
        <v>-1.0707431967325914E-2</v>
      </c>
      <c r="S101" s="15"/>
      <c r="T101" s="33">
        <f>SUM(T98:T100)</f>
        <v>-155358.21732599998</v>
      </c>
      <c r="U101" s="15"/>
      <c r="V101" s="31">
        <f>IF(T$12=0,0,T101/T$12)</f>
        <v>-0.31225648362925945</v>
      </c>
      <c r="W101" s="17"/>
      <c r="X101" s="33">
        <f>+P101-T101</f>
        <v>148066.63732599991</v>
      </c>
      <c r="Y101" s="17"/>
      <c r="Z101" s="31">
        <f>IF(T101=0,0,X101/T101)</f>
        <v>-0.95306601655514878</v>
      </c>
    </row>
    <row r="102" spans="1:26" ht="15" customHeight="1" x14ac:dyDescent="0.3">
      <c r="A102" s="12"/>
      <c r="C102" s="12"/>
      <c r="D102" s="19"/>
      <c r="E102" s="19"/>
      <c r="G102" s="19"/>
      <c r="H102" s="19"/>
      <c r="I102" s="19"/>
      <c r="J102" s="41"/>
      <c r="K102" s="19"/>
      <c r="L102" s="19"/>
      <c r="M102" s="19"/>
      <c r="P102" s="19"/>
      <c r="Q102" s="19"/>
      <c r="R102" s="41"/>
      <c r="S102" s="19"/>
      <c r="T102" s="19"/>
      <c r="U102" s="19"/>
      <c r="V102" s="41"/>
      <c r="W102" s="19"/>
      <c r="X102" s="19"/>
    </row>
    <row r="103" spans="1:26" ht="15" customHeight="1" x14ac:dyDescent="0.3">
      <c r="A103" s="12"/>
      <c r="B103" s="50">
        <v>44767.799547766204</v>
      </c>
      <c r="D103" s="19"/>
      <c r="E103" s="19"/>
      <c r="G103" s="19"/>
      <c r="H103" s="19"/>
      <c r="I103" s="19"/>
      <c r="J103" s="41"/>
      <c r="K103" s="19"/>
      <c r="L103" s="19"/>
      <c r="M103" s="19"/>
      <c r="P103" s="19"/>
      <c r="Q103" s="19"/>
      <c r="R103" s="41"/>
      <c r="S103" s="19"/>
      <c r="T103" s="19"/>
      <c r="U103" s="19"/>
      <c r="V103" s="41"/>
      <c r="W103" s="19"/>
      <c r="X103" s="19"/>
    </row>
    <row r="104" spans="1:26" ht="15" customHeight="1" x14ac:dyDescent="0.3">
      <c r="A104" s="12"/>
      <c r="B104" s="57" t="s">
        <v>298</v>
      </c>
      <c r="D104" s="19"/>
      <c r="E104" s="19"/>
      <c r="G104" s="19"/>
      <c r="H104" s="19"/>
      <c r="I104" s="19"/>
      <c r="J104" s="41"/>
      <c r="K104" s="19"/>
      <c r="L104" s="19"/>
      <c r="M104" s="19"/>
      <c r="P104" s="19"/>
      <c r="Q104" s="19"/>
      <c r="R104" s="41"/>
      <c r="S104" s="19"/>
      <c r="T104" s="19"/>
      <c r="U104" s="19"/>
      <c r="V104" s="41"/>
      <c r="W104" s="19"/>
      <c r="X104" s="19"/>
    </row>
    <row r="105" spans="1:26" ht="15" customHeight="1" x14ac:dyDescent="0.3">
      <c r="A105" s="12"/>
      <c r="B105" s="51"/>
      <c r="D105" s="19"/>
      <c r="E105" s="19"/>
      <c r="G105" s="19"/>
      <c r="H105" s="19"/>
      <c r="I105" s="19"/>
      <c r="J105" s="41"/>
      <c r="K105" s="19"/>
      <c r="L105" s="19"/>
      <c r="M105" s="19"/>
      <c r="P105" s="19"/>
      <c r="Q105" s="19"/>
      <c r="R105" s="41"/>
      <c r="S105" s="19"/>
      <c r="T105" s="19"/>
      <c r="U105" s="19"/>
      <c r="V105" s="41"/>
      <c r="W105" s="19"/>
      <c r="X105" s="19"/>
    </row>
    <row r="106" spans="1:26" ht="15" customHeight="1" x14ac:dyDescent="0.3">
      <c r="D106" s="19"/>
      <c r="E106" s="19"/>
      <c r="G106" s="19"/>
      <c r="H106" s="19"/>
      <c r="I106" s="19"/>
      <c r="J106" s="41"/>
      <c r="K106" s="19"/>
      <c r="L106" s="19"/>
      <c r="M106" s="19"/>
      <c r="P106" s="19"/>
      <c r="Q106" s="19"/>
      <c r="R106" s="41"/>
      <c r="S106" s="19"/>
      <c r="T106" s="19"/>
      <c r="U106" s="19"/>
      <c r="V106" s="41"/>
      <c r="W106" s="19"/>
      <c r="X106" s="19"/>
    </row>
  </sheetData>
  <pageMargins left="0.25" right="0.25" top="0.75" bottom="0.75" header="0.3" footer="0.3"/>
  <pageSetup scale="55" orientation="landscape" r:id="rId1"/>
  <headerFooter>
    <oddHeader>&amp;RPre-Audit</oddHeader>
    <oddFooter>&amp;L&amp;C&amp;R</oddFooter>
    <evenHeader>&amp;L&amp;C&amp;R</evenHeader>
    <evenFooter>&amp;L&amp;C&amp;R</even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F03225-134E-FC87-919C-E0577E53D883}">
  <sheetPr>
    <tabColor rgb="FFFFC000"/>
    <outlinePr summaryBelow="0" summaryRight="0"/>
  </sheetPr>
  <dimension ref="A2:Z36"/>
  <sheetViews>
    <sheetView showGridLines="0" defaultGridColor="0" colorId="8" zoomScale="80" workbookViewId="0">
      <pane xSplit="3" ySplit="10" topLeftCell="D11" activePane="bottomRight" state="frozen"/>
      <selection activeCell="D78" sqref="D78"/>
      <selection pane="topRight" activeCell="D78" sqref="D78"/>
      <selection pane="bottomLeft" activeCell="D78" sqref="D78"/>
      <selection pane="bottomRight" activeCell="D78" sqref="D78"/>
    </sheetView>
  </sheetViews>
  <sheetFormatPr defaultRowHeight="14.85" customHeight="1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3" t="s">
        <v>276</v>
      </c>
    </row>
    <row r="3" spans="1:26" ht="15" customHeight="1" x14ac:dyDescent="0.3">
      <c r="D3" s="53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3" t="str">
        <f>CONCATENATE("Period ",RIGHT(202212,2),", ",2022)</f>
        <v>Period 12,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5"/>
      <c r="D5" s="60">
        <v>44742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5"/>
      <c r="B6" s="47"/>
      <c r="C6" s="47"/>
      <c r="D6" s="25" t="s">
        <v>299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4"/>
    </row>
    <row r="8" spans="1:26" ht="15" customHeight="1" x14ac:dyDescent="0.3">
      <c r="B8" s="54"/>
    </row>
    <row r="9" spans="1:26" ht="15" customHeight="1" x14ac:dyDescent="0.3">
      <c r="B9" s="12"/>
      <c r="C9" s="12"/>
      <c r="D9" s="16" t="s">
        <v>279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280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ht="15" customHeight="1" x14ac:dyDescent="0.3">
      <c r="A10" s="13"/>
      <c r="B10" s="52"/>
      <c r="C10" s="13"/>
      <c r="D10" s="40" t="s">
        <v>281</v>
      </c>
      <c r="E10" s="32"/>
      <c r="F10" s="39" t="s">
        <v>282</v>
      </c>
      <c r="G10" s="32"/>
      <c r="H10" s="45" t="s">
        <v>283</v>
      </c>
      <c r="I10" s="32"/>
      <c r="J10" s="42" t="s">
        <v>284</v>
      </c>
      <c r="K10" s="13"/>
      <c r="L10" s="40" t="s">
        <v>285</v>
      </c>
      <c r="M10" s="13"/>
      <c r="N10" s="39" t="s">
        <v>286</v>
      </c>
      <c r="O10" s="13"/>
      <c r="P10" s="55" t="s">
        <v>281</v>
      </c>
      <c r="Q10" s="32"/>
      <c r="R10" s="39" t="s">
        <v>282</v>
      </c>
      <c r="S10" s="32"/>
      <c r="T10" s="45" t="s">
        <v>283</v>
      </c>
      <c r="U10" s="32"/>
      <c r="V10" s="42" t="s">
        <v>284</v>
      </c>
      <c r="W10" s="13"/>
      <c r="X10" s="40" t="s">
        <v>285</v>
      </c>
      <c r="Y10" s="13"/>
      <c r="Z10" s="39" t="s">
        <v>286</v>
      </c>
    </row>
    <row r="11" spans="1:26" ht="16.5" customHeight="1" x14ac:dyDescent="0.3">
      <c r="A11" s="12"/>
      <c r="B11" s="58"/>
      <c r="C11" s="12"/>
      <c r="D11" s="12"/>
      <c r="E11" s="12"/>
      <c r="F11" s="10"/>
      <c r="G11" s="12"/>
      <c r="H11" s="12"/>
      <c r="I11" s="12"/>
      <c r="J11" s="43"/>
      <c r="K11" s="12"/>
      <c r="L11" s="12"/>
      <c r="M11" s="12"/>
      <c r="N11" s="10"/>
      <c r="P11" s="12"/>
      <c r="Q11" s="12"/>
      <c r="R11" s="10"/>
      <c r="S11" s="12"/>
      <c r="T11" s="12"/>
      <c r="U11" s="12"/>
      <c r="V11" s="43"/>
      <c r="W11" s="12"/>
      <c r="X11" s="12"/>
      <c r="Y11" s="12"/>
      <c r="Z11" s="10"/>
    </row>
    <row r="12" spans="1:26" s="63" customFormat="1" ht="15" customHeight="1" x14ac:dyDescent="0.3">
      <c r="A12" s="13"/>
      <c r="B12" s="28" t="s">
        <v>287</v>
      </c>
      <c r="C12" s="13"/>
      <c r="D12" s="8">
        <f>SUM(0)</f>
        <v>0</v>
      </c>
      <c r="E12" s="8"/>
      <c r="F12" s="14"/>
      <c r="G12" s="8"/>
      <c r="H12" s="8">
        <f>SUM(0)</f>
        <v>0</v>
      </c>
      <c r="I12" s="8"/>
      <c r="J12" s="14"/>
      <c r="K12" s="8"/>
      <c r="L12" s="8">
        <f>+D12-H12</f>
        <v>0</v>
      </c>
      <c r="M12" s="8"/>
      <c r="N12" s="14">
        <f>IF(H12=0,0,L12/H12)</f>
        <v>0</v>
      </c>
      <c r="O12" s="13"/>
      <c r="P12" s="8">
        <f>SUM(0)</f>
        <v>0</v>
      </c>
      <c r="Q12" s="8"/>
      <c r="R12" s="14"/>
      <c r="S12" s="8"/>
      <c r="T12" s="8">
        <f>SUM(0)</f>
        <v>0</v>
      </c>
      <c r="U12" s="8"/>
      <c r="V12" s="14"/>
      <c r="W12" s="8"/>
      <c r="X12" s="8">
        <f>+P12-T12</f>
        <v>0</v>
      </c>
      <c r="Y12" s="8"/>
      <c r="Z12" s="14">
        <f>IF(T12=0,0,X12/T12)</f>
        <v>0</v>
      </c>
    </row>
    <row r="13" spans="1:26" ht="15" customHeight="1" x14ac:dyDescent="0.3">
      <c r="A13" s="12"/>
      <c r="B13" s="13"/>
      <c r="C13" s="12"/>
      <c r="D13" s="4"/>
      <c r="E13" s="4"/>
      <c r="F13" s="10"/>
      <c r="G13" s="4"/>
      <c r="H13" s="4"/>
      <c r="I13" s="4"/>
      <c r="J13" s="10"/>
      <c r="K13" s="4"/>
      <c r="L13" s="4"/>
      <c r="M13" s="4"/>
      <c r="N13" s="10"/>
      <c r="P13" s="4"/>
      <c r="Q13" s="4"/>
      <c r="R13" s="10"/>
      <c r="S13" s="4"/>
      <c r="T13" s="4"/>
      <c r="U13" s="4"/>
      <c r="V13" s="10"/>
      <c r="W13" s="4"/>
      <c r="X13" s="4"/>
      <c r="Y13" s="4"/>
      <c r="Z13" s="10"/>
    </row>
    <row r="14" spans="1:26" s="63" customFormat="1" ht="15" customHeight="1" x14ac:dyDescent="0.3">
      <c r="A14" s="13"/>
      <c r="B14" s="28" t="s">
        <v>288</v>
      </c>
      <c r="C14" s="13"/>
      <c r="D14" s="8">
        <f>SUM(0)</f>
        <v>0</v>
      </c>
      <c r="E14" s="8"/>
      <c r="F14" s="14">
        <f>IF(D$12=0,0,D14/D$12)</f>
        <v>0</v>
      </c>
      <c r="G14" s="8"/>
      <c r="H14" s="8">
        <f>SUM(0)</f>
        <v>0</v>
      </c>
      <c r="I14" s="8"/>
      <c r="J14" s="14">
        <f>IF(H$12=0,0,H14/H$12)</f>
        <v>0</v>
      </c>
      <c r="K14" s="8"/>
      <c r="L14" s="8">
        <f>+D14-H14</f>
        <v>0</v>
      </c>
      <c r="M14" s="8"/>
      <c r="N14" s="14">
        <f>IF(H14=0,0,L14/H14)</f>
        <v>0</v>
      </c>
      <c r="O14" s="13"/>
      <c r="P14" s="8">
        <f>SUM(0)</f>
        <v>0</v>
      </c>
      <c r="Q14" s="8"/>
      <c r="R14" s="14">
        <f>IF(P$12=0,0,P14/P$12)</f>
        <v>0</v>
      </c>
      <c r="S14" s="8"/>
      <c r="T14" s="8">
        <f>SUM(0)</f>
        <v>0</v>
      </c>
      <c r="U14" s="8"/>
      <c r="V14" s="14">
        <f>IF(T$12=0,0,T14/T$12)</f>
        <v>0</v>
      </c>
      <c r="W14" s="8"/>
      <c r="X14" s="8">
        <f>+P14-T14</f>
        <v>0</v>
      </c>
      <c r="Y14" s="8"/>
      <c r="Z14" s="14">
        <f>IF(T14=0,0,X14/T14)</f>
        <v>0</v>
      </c>
    </row>
    <row r="15" spans="1:26" ht="15" customHeight="1" x14ac:dyDescent="0.3">
      <c r="A15" s="12"/>
      <c r="B15" s="13"/>
      <c r="C15" s="13"/>
      <c r="D15" s="4"/>
      <c r="E15" s="4"/>
      <c r="F15" s="10"/>
      <c r="G15" s="4"/>
      <c r="H15" s="4"/>
      <c r="I15" s="4"/>
      <c r="J15" s="10"/>
      <c r="K15" s="4"/>
      <c r="L15" s="4"/>
      <c r="M15" s="4"/>
      <c r="N15" s="10"/>
      <c r="O15" s="13"/>
      <c r="P15" s="4"/>
      <c r="Q15" s="4"/>
      <c r="R15" s="10"/>
      <c r="S15" s="4"/>
      <c r="T15" s="4"/>
      <c r="U15" s="4"/>
      <c r="V15" s="10"/>
      <c r="W15" s="4"/>
      <c r="X15" s="4"/>
      <c r="Y15" s="4"/>
      <c r="Z15" s="10"/>
    </row>
    <row r="16" spans="1:26" s="63" customFormat="1" ht="15" customHeight="1" x14ac:dyDescent="0.3">
      <c r="A16" s="13"/>
      <c r="B16" s="27" t="s">
        <v>289</v>
      </c>
      <c r="C16" s="27"/>
      <c r="D16" s="23">
        <f>D12-D14</f>
        <v>0</v>
      </c>
      <c r="E16" s="15"/>
      <c r="F16" s="22">
        <f>IF(D$12=0,0,D16/D$12)</f>
        <v>0</v>
      </c>
      <c r="G16" s="15"/>
      <c r="H16" s="23">
        <f>H12-H14</f>
        <v>0</v>
      </c>
      <c r="I16" s="15"/>
      <c r="J16" s="22">
        <f>IF(H$12=0,0,H16/H$12)</f>
        <v>0</v>
      </c>
      <c r="K16" s="17"/>
      <c r="L16" s="23">
        <f>+D16-H16</f>
        <v>0</v>
      </c>
      <c r="M16" s="17"/>
      <c r="N16" s="22">
        <f>IF(H16=0,0,L16/H16)</f>
        <v>0</v>
      </c>
      <c r="O16" s="28"/>
      <c r="P16" s="23">
        <f>P12-P14</f>
        <v>0</v>
      </c>
      <c r="Q16" s="15"/>
      <c r="R16" s="22">
        <f>IF(P$12=0,0,P16/P$12)</f>
        <v>0</v>
      </c>
      <c r="S16" s="15"/>
      <c r="T16" s="23">
        <f>T12-T14</f>
        <v>0</v>
      </c>
      <c r="U16" s="15"/>
      <c r="V16" s="22">
        <f>IF(T$12=0,0,T16/T$12)</f>
        <v>0</v>
      </c>
      <c r="W16" s="17"/>
      <c r="X16" s="23">
        <f>+P16-T16</f>
        <v>0</v>
      </c>
      <c r="Y16" s="17"/>
      <c r="Z16" s="22">
        <f>IF(T16=0,0,X16/T16)</f>
        <v>0</v>
      </c>
    </row>
    <row r="17" spans="1:26" ht="15" customHeight="1" x14ac:dyDescent="0.3">
      <c r="A17" s="12"/>
      <c r="B17" s="13"/>
      <c r="C17" s="12"/>
      <c r="D17" s="2"/>
      <c r="E17" s="2"/>
      <c r="F17" s="5"/>
      <c r="G17" s="2"/>
      <c r="H17" s="2"/>
      <c r="I17" s="2"/>
      <c r="J17" s="5"/>
      <c r="K17" s="2"/>
      <c r="L17" s="2"/>
      <c r="M17" s="2"/>
      <c r="N17" s="5"/>
      <c r="O17" s="36"/>
      <c r="P17" s="2"/>
      <c r="Q17" s="2"/>
      <c r="R17" s="5"/>
      <c r="S17" s="2"/>
      <c r="T17" s="2"/>
      <c r="U17" s="2"/>
      <c r="V17" s="5"/>
      <c r="W17" s="2"/>
      <c r="X17" s="2"/>
      <c r="Y17" s="2"/>
      <c r="Z17" s="5"/>
    </row>
    <row r="18" spans="1:26" s="63" customFormat="1" ht="15" customHeight="1" x14ac:dyDescent="0.3">
      <c r="A18" s="13"/>
      <c r="B18" s="28" t="s">
        <v>290</v>
      </c>
      <c r="C18" s="13"/>
      <c r="D18" s="24">
        <f>SUM(0)</f>
        <v>0</v>
      </c>
      <c r="E18" s="24"/>
      <c r="F18" s="34">
        <f>IF(D$12=0,0,D18/D$12)</f>
        <v>0</v>
      </c>
      <c r="G18" s="24"/>
      <c r="H18" s="24">
        <f>SUM(0)</f>
        <v>0</v>
      </c>
      <c r="I18" s="24"/>
      <c r="J18" s="34">
        <f>IF(H$12=0,0,H18/H$12)</f>
        <v>0</v>
      </c>
      <c r="K18" s="8"/>
      <c r="L18" s="24">
        <f>+D18-H18</f>
        <v>0</v>
      </c>
      <c r="M18" s="8"/>
      <c r="N18" s="34">
        <f>IF(H18=0,0,L18/H18)</f>
        <v>0</v>
      </c>
      <c r="O18" s="13"/>
      <c r="P18" s="24">
        <f>SUM(0)</f>
        <v>0</v>
      </c>
      <c r="Q18" s="24"/>
      <c r="R18" s="34">
        <f>IF(P$12=0,0,P18/P$12)</f>
        <v>0</v>
      </c>
      <c r="S18" s="24"/>
      <c r="T18" s="24">
        <f>SUM(0)</f>
        <v>0</v>
      </c>
      <c r="U18" s="24"/>
      <c r="V18" s="34">
        <f>IF(T$12=0,0,T18/T$12)</f>
        <v>0</v>
      </c>
      <c r="W18" s="8"/>
      <c r="X18" s="24">
        <f>+P18-T18</f>
        <v>0</v>
      </c>
      <c r="Y18" s="8"/>
      <c r="Z18" s="34">
        <f>IF(T18=0,0,X18/T18)</f>
        <v>0</v>
      </c>
    </row>
    <row r="19" spans="1:26" s="65" customFormat="1" ht="15" customHeight="1" x14ac:dyDescent="0.3">
      <c r="A19" s="36"/>
      <c r="B19" s="36"/>
      <c r="C19" s="36"/>
      <c r="D19" s="2"/>
      <c r="E19" s="2"/>
      <c r="F19" s="5"/>
      <c r="G19" s="2"/>
      <c r="H19" s="2"/>
      <c r="I19" s="2"/>
      <c r="J19" s="5"/>
      <c r="K19" s="2"/>
      <c r="L19" s="2"/>
      <c r="M19" s="2"/>
      <c r="N19" s="5"/>
      <c r="O19" s="36"/>
      <c r="P19" s="2"/>
      <c r="Q19" s="2"/>
      <c r="R19" s="5"/>
      <c r="S19" s="2"/>
      <c r="T19" s="2"/>
      <c r="U19" s="2"/>
      <c r="V19" s="5"/>
      <c r="W19" s="2"/>
      <c r="X19" s="2"/>
      <c r="Y19" s="2"/>
      <c r="Z19" s="5"/>
    </row>
    <row r="20" spans="1:26" s="63" customFormat="1" ht="15" customHeight="1" x14ac:dyDescent="0.3">
      <c r="A20" s="13"/>
      <c r="B20" s="28" t="s">
        <v>291</v>
      </c>
      <c r="C20" s="13"/>
      <c r="D20" s="8">
        <f>SUM(0)</f>
        <v>0</v>
      </c>
      <c r="E20" s="8"/>
      <c r="F20" s="14">
        <f>IF(D$12=0,0,D20/D$12)</f>
        <v>0</v>
      </c>
      <c r="G20" s="8"/>
      <c r="H20" s="8">
        <f>SUM(0)</f>
        <v>0</v>
      </c>
      <c r="I20" s="8"/>
      <c r="J20" s="14">
        <f>IF(H$12=0,0,H20/H$12)</f>
        <v>0</v>
      </c>
      <c r="K20" s="8"/>
      <c r="L20" s="8">
        <f>+D20-H20</f>
        <v>0</v>
      </c>
      <c r="M20" s="8"/>
      <c r="N20" s="14">
        <f>IF(H20=0,0,L20/H20)</f>
        <v>0</v>
      </c>
      <c r="O20" s="13"/>
      <c r="P20" s="8">
        <f>SUM(0)</f>
        <v>0</v>
      </c>
      <c r="Q20" s="8"/>
      <c r="R20" s="14">
        <f>IF(P$12=0,0,P20/P$12)</f>
        <v>0</v>
      </c>
      <c r="S20" s="8"/>
      <c r="T20" s="8">
        <f>SUM(0)</f>
        <v>0</v>
      </c>
      <c r="U20" s="8"/>
      <c r="V20" s="14">
        <f>IF(T$12=0,0,T20/T$12)</f>
        <v>0</v>
      </c>
      <c r="W20" s="8"/>
      <c r="X20" s="8">
        <f>+P20-T20</f>
        <v>0</v>
      </c>
      <c r="Y20" s="8"/>
      <c r="Z20" s="14">
        <f>IF(T20=0,0,X20/T20)</f>
        <v>0</v>
      </c>
    </row>
    <row r="21" spans="1:26" ht="15" customHeight="1" x14ac:dyDescent="0.3">
      <c r="A21" s="12"/>
      <c r="B21" s="13"/>
      <c r="C21" s="13"/>
      <c r="D21" s="4"/>
      <c r="E21" s="4"/>
      <c r="F21" s="10"/>
      <c r="G21" s="4"/>
      <c r="H21" s="4"/>
      <c r="I21" s="4"/>
      <c r="J21" s="10"/>
      <c r="K21" s="4"/>
      <c r="L21" s="4"/>
      <c r="M21" s="4"/>
      <c r="N21" s="10"/>
      <c r="O21" s="13"/>
      <c r="P21" s="4"/>
      <c r="Q21" s="4"/>
      <c r="R21" s="10"/>
      <c r="S21" s="4"/>
      <c r="T21" s="4"/>
      <c r="U21" s="4"/>
      <c r="V21" s="10"/>
      <c r="W21" s="4"/>
      <c r="X21" s="4"/>
      <c r="Y21" s="4"/>
      <c r="Z21" s="10"/>
    </row>
    <row r="22" spans="1:26" s="63" customFormat="1" ht="15" customHeight="1" x14ac:dyDescent="0.3">
      <c r="A22" s="13"/>
      <c r="B22" s="27" t="s">
        <v>292</v>
      </c>
      <c r="C22" s="27"/>
      <c r="D22" s="23">
        <f>+D16-D18+D20</f>
        <v>0</v>
      </c>
      <c r="E22" s="15"/>
      <c r="F22" s="22">
        <f>IF(D$12=0,0,D22/D$12)</f>
        <v>0</v>
      </c>
      <c r="G22" s="15"/>
      <c r="H22" s="23">
        <f>+H16-H18+H20</f>
        <v>0</v>
      </c>
      <c r="I22" s="15"/>
      <c r="J22" s="22">
        <f>IF(H$12=0,0,H22/H$12)</f>
        <v>0</v>
      </c>
      <c r="K22" s="17"/>
      <c r="L22" s="23">
        <f>+D22-H22</f>
        <v>0</v>
      </c>
      <c r="M22" s="17"/>
      <c r="N22" s="22">
        <f>IF(H22=0,0,L22/H22)</f>
        <v>0</v>
      </c>
      <c r="O22" s="28"/>
      <c r="P22" s="23">
        <f>+P16-P18+P20</f>
        <v>0</v>
      </c>
      <c r="Q22" s="15"/>
      <c r="R22" s="22">
        <f>IF(P$12=0,0,P22/P$12)</f>
        <v>0</v>
      </c>
      <c r="S22" s="15"/>
      <c r="T22" s="23">
        <f>+T16-T18+T20</f>
        <v>0</v>
      </c>
      <c r="U22" s="15"/>
      <c r="V22" s="22">
        <f>IF(T$12=0,0,T22/T$12)</f>
        <v>0</v>
      </c>
      <c r="W22" s="17"/>
      <c r="X22" s="23">
        <f>+P22-T22</f>
        <v>0</v>
      </c>
      <c r="Y22" s="17"/>
      <c r="Z22" s="22">
        <f>IF(T22=0,0,X22/T22)</f>
        <v>0</v>
      </c>
    </row>
    <row r="23" spans="1:26" ht="15" customHeight="1" x14ac:dyDescent="0.3">
      <c r="A23" s="12"/>
      <c r="B23" s="13"/>
      <c r="C23" s="12"/>
      <c r="D23" s="4"/>
      <c r="E23" s="4"/>
      <c r="F23" s="10"/>
      <c r="G23" s="4"/>
      <c r="H23" s="4"/>
      <c r="I23" s="4"/>
      <c r="J23" s="10"/>
      <c r="K23" s="4"/>
      <c r="L23" s="4"/>
      <c r="M23" s="4"/>
      <c r="N23" s="10"/>
      <c r="P23" s="4"/>
      <c r="Q23" s="4"/>
      <c r="R23" s="10"/>
      <c r="S23" s="4"/>
      <c r="T23" s="4"/>
      <c r="U23" s="4"/>
      <c r="V23" s="10"/>
      <c r="W23" s="4"/>
      <c r="X23" s="4"/>
      <c r="Y23" s="4"/>
      <c r="Z23" s="10"/>
    </row>
    <row r="24" spans="1:26" s="63" customFormat="1" ht="15" customHeight="1" x14ac:dyDescent="0.3">
      <c r="A24" s="49"/>
      <c r="B24" s="13" t="s">
        <v>293</v>
      </c>
      <c r="C24" s="13"/>
      <c r="D24" s="8"/>
      <c r="E24" s="8"/>
      <c r="F24" s="14">
        <f>IF(D$12=0,0,D24/D$12)</f>
        <v>0</v>
      </c>
      <c r="G24" s="8"/>
      <c r="H24" s="8"/>
      <c r="I24" s="8"/>
      <c r="J24" s="14">
        <f>IF(H$12=0,0,H24/H$12)</f>
        <v>0</v>
      </c>
      <c r="K24" s="8"/>
      <c r="L24" s="8">
        <f>+D24-H24</f>
        <v>0</v>
      </c>
      <c r="M24" s="8"/>
      <c r="N24" s="14">
        <f>IF(H24=0,0,L24/H24)</f>
        <v>0</v>
      </c>
      <c r="O24" s="13"/>
      <c r="P24" s="8"/>
      <c r="Q24" s="8"/>
      <c r="R24" s="14">
        <f>IF(P$12=0,0,P24/P$12)</f>
        <v>0</v>
      </c>
      <c r="S24" s="8"/>
      <c r="T24" s="8"/>
      <c r="U24" s="8"/>
      <c r="V24" s="14">
        <f>IF(T$12=0,0,T24/T$12)</f>
        <v>0</v>
      </c>
      <c r="W24" s="8"/>
      <c r="X24" s="8">
        <f>+P24-T24</f>
        <v>0</v>
      </c>
      <c r="Y24" s="8"/>
      <c r="Z24" s="14">
        <f>IF(T24=0,0,X24/T24)</f>
        <v>0</v>
      </c>
    </row>
    <row r="25" spans="1:26" ht="15" customHeight="1" x14ac:dyDescent="0.3">
      <c r="A25" s="12"/>
      <c r="B25" s="13"/>
      <c r="C25" s="13"/>
      <c r="D25" s="4"/>
      <c r="E25" s="4"/>
      <c r="F25" s="10"/>
      <c r="G25" s="4"/>
      <c r="H25" s="4"/>
      <c r="I25" s="4"/>
      <c r="J25" s="10"/>
      <c r="K25" s="4"/>
      <c r="L25" s="4"/>
      <c r="M25" s="4"/>
      <c r="N25" s="10"/>
      <c r="O25" s="13"/>
      <c r="P25" s="4"/>
      <c r="Q25" s="4"/>
      <c r="R25" s="10"/>
      <c r="S25" s="4"/>
      <c r="T25" s="4"/>
      <c r="U25" s="4"/>
      <c r="V25" s="10"/>
      <c r="W25" s="4"/>
      <c r="X25" s="4"/>
      <c r="Y25" s="4"/>
      <c r="Z25" s="10"/>
    </row>
    <row r="26" spans="1:26" s="63" customFormat="1" ht="15" customHeight="1" x14ac:dyDescent="0.3">
      <c r="A26" s="13"/>
      <c r="B26" s="27" t="s">
        <v>294</v>
      </c>
      <c r="C26" s="27"/>
      <c r="D26" s="30">
        <f>+D22-D24</f>
        <v>0</v>
      </c>
      <c r="E26" s="15"/>
      <c r="F26" s="35">
        <f>IF(D$12=0,0,D26/D$12)</f>
        <v>0</v>
      </c>
      <c r="G26" s="15"/>
      <c r="H26" s="30">
        <f>+H22-H24</f>
        <v>0</v>
      </c>
      <c r="I26" s="15"/>
      <c r="J26" s="35">
        <f>IF(H$12=0,0,H26/H$12)</f>
        <v>0</v>
      </c>
      <c r="K26" s="17"/>
      <c r="L26" s="30">
        <f>D26-H26</f>
        <v>0</v>
      </c>
      <c r="M26" s="17"/>
      <c r="N26" s="35">
        <f>IF(H26=0,0,L26/H26)</f>
        <v>0</v>
      </c>
      <c r="O26" s="28"/>
      <c r="P26" s="30">
        <f>+P22-P24</f>
        <v>0</v>
      </c>
      <c r="Q26" s="15"/>
      <c r="R26" s="35">
        <f>IF(P$12=0,0,P26/P$12)</f>
        <v>0</v>
      </c>
      <c r="S26" s="15"/>
      <c r="T26" s="30">
        <f>+T22-T24</f>
        <v>0</v>
      </c>
      <c r="U26" s="15"/>
      <c r="V26" s="35">
        <f>IF(T$12=0,0,T26/T$12)</f>
        <v>0</v>
      </c>
      <c r="W26" s="17"/>
      <c r="X26" s="30">
        <f>P26-T26</f>
        <v>0</v>
      </c>
      <c r="Y26" s="17"/>
      <c r="Z26" s="35">
        <f>IF(T26=0,0,X26/T26)</f>
        <v>0</v>
      </c>
    </row>
    <row r="27" spans="1:26" ht="15" customHeight="1" x14ac:dyDescent="0.3">
      <c r="A27" s="12"/>
      <c r="B27" s="12"/>
      <c r="C27" s="12"/>
      <c r="D27" s="4"/>
      <c r="E27" s="4"/>
      <c r="F27" s="10"/>
      <c r="G27" s="4"/>
      <c r="H27" s="4"/>
      <c r="I27" s="4"/>
      <c r="J27" s="10"/>
      <c r="K27" s="4"/>
      <c r="L27" s="4"/>
      <c r="M27" s="4"/>
      <c r="N27" s="10"/>
      <c r="P27" s="4"/>
      <c r="Q27" s="4"/>
      <c r="R27" s="10"/>
      <c r="S27" s="4"/>
      <c r="T27" s="4"/>
      <c r="U27" s="4"/>
      <c r="V27" s="10"/>
      <c r="W27" s="4"/>
      <c r="X27" s="4"/>
      <c r="Y27" s="4"/>
      <c r="Z27" s="10"/>
    </row>
    <row r="28" spans="1:26" s="63" customFormat="1" ht="15" customHeight="1" x14ac:dyDescent="0.3">
      <c r="A28" s="49"/>
      <c r="B28" s="13" t="s">
        <v>295</v>
      </c>
      <c r="C28" s="13"/>
      <c r="D28" s="8">
        <f>-647351.88</f>
        <v>-647351.88</v>
      </c>
      <c r="E28" s="8"/>
      <c r="F28" s="14">
        <f>IF(D$12=0,0,D28/D$12)</f>
        <v>0</v>
      </c>
      <c r="G28" s="8"/>
      <c r="H28" s="8">
        <f>--15000</f>
        <v>15000</v>
      </c>
      <c r="I28" s="8"/>
      <c r="J28" s="14">
        <f>IF(H$12=0,0,H28/H$12)</f>
        <v>0</v>
      </c>
      <c r="K28" s="8"/>
      <c r="L28" s="8">
        <f>+D28-H28</f>
        <v>-662351.88</v>
      </c>
      <c r="M28" s="8"/>
      <c r="N28" s="14">
        <f>IF(H28=0,0,L28/H28)</f>
        <v>-44.156792000000003</v>
      </c>
      <c r="O28" s="13"/>
      <c r="P28" s="8">
        <f>-2199313.68</f>
        <v>-2199313.6800000002</v>
      </c>
      <c r="Q28" s="8"/>
      <c r="R28" s="14">
        <f>IF(P$12=0,0,P28/P$12)</f>
        <v>0</v>
      </c>
      <c r="S28" s="8"/>
      <c r="T28" s="8">
        <f>--180000</f>
        <v>180000</v>
      </c>
      <c r="U28" s="8"/>
      <c r="V28" s="14">
        <f>IF(T$12=0,0,T28/T$12)</f>
        <v>0</v>
      </c>
      <c r="W28" s="8"/>
      <c r="X28" s="8">
        <f>+P28-T28</f>
        <v>-2379313.6800000002</v>
      </c>
      <c r="Y28" s="8"/>
      <c r="Z28" s="14">
        <f>IF(T28=0,0,X28/T28)</f>
        <v>-13.218409333333334</v>
      </c>
    </row>
    <row r="29" spans="1:26" s="63" customFormat="1" ht="15" customHeight="1" x14ac:dyDescent="0.3">
      <c r="A29" s="49"/>
      <c r="B29" s="13" t="s">
        <v>296</v>
      </c>
      <c r="C29" s="13"/>
      <c r="D29" s="8">
        <f>--24741.39</f>
        <v>24741.39</v>
      </c>
      <c r="E29" s="8"/>
      <c r="F29" s="14">
        <f>IF(D$12=0,0,D29/D$12)</f>
        <v>0</v>
      </c>
      <c r="G29" s="8"/>
      <c r="H29" s="8">
        <f>--20000</f>
        <v>20000</v>
      </c>
      <c r="I29" s="8"/>
      <c r="J29" s="14">
        <f>IF(H$12=0,0,H29/H$12)</f>
        <v>0</v>
      </c>
      <c r="K29" s="8"/>
      <c r="L29" s="8">
        <f>+D29-H29</f>
        <v>4741.3899999999994</v>
      </c>
      <c r="M29" s="8"/>
      <c r="N29" s="14">
        <f>IF(H29=0,0,L29/H29)</f>
        <v>0.23706949999999996</v>
      </c>
      <c r="O29" s="13"/>
      <c r="P29" s="8">
        <f>--2394858.95</f>
        <v>2394858.9500000002</v>
      </c>
      <c r="Q29" s="8"/>
      <c r="R29" s="14">
        <f>IF(P$12=0,0,P29/P$12)</f>
        <v>0</v>
      </c>
      <c r="S29" s="8"/>
      <c r="T29" s="8">
        <f>--200000</f>
        <v>200000</v>
      </c>
      <c r="U29" s="8"/>
      <c r="V29" s="14">
        <f>IF(T$12=0,0,T29/T$12)</f>
        <v>0</v>
      </c>
      <c r="W29" s="8"/>
      <c r="X29" s="8">
        <f>+P29-T29</f>
        <v>2194858.9500000002</v>
      </c>
      <c r="Y29" s="8"/>
      <c r="Z29" s="14">
        <f>IF(T29=0,0,X29/T29)</f>
        <v>10.97429475</v>
      </c>
    </row>
    <row r="30" spans="1:26" ht="15" customHeight="1" x14ac:dyDescent="0.3">
      <c r="A30" s="12"/>
      <c r="B30" s="12"/>
      <c r="C30" s="12"/>
      <c r="D30" s="4"/>
      <c r="E30" s="4"/>
      <c r="F30" s="10"/>
      <c r="G30" s="4"/>
      <c r="H30" s="4"/>
      <c r="I30" s="4"/>
      <c r="J30" s="10"/>
      <c r="K30" s="4"/>
      <c r="L30" s="4"/>
      <c r="M30" s="4"/>
      <c r="N30" s="10"/>
      <c r="P30" s="4"/>
      <c r="Q30" s="4"/>
      <c r="R30" s="10"/>
      <c r="S30" s="4"/>
      <c r="T30" s="4"/>
      <c r="U30" s="4"/>
      <c r="V30" s="10"/>
      <c r="W30" s="4"/>
      <c r="X30" s="4"/>
      <c r="Y30" s="4"/>
      <c r="Z30" s="10"/>
    </row>
    <row r="31" spans="1:26" s="63" customFormat="1" ht="15" customHeight="1" x14ac:dyDescent="0.3">
      <c r="A31" s="13"/>
      <c r="B31" s="27" t="s">
        <v>297</v>
      </c>
      <c r="C31" s="27"/>
      <c r="D31" s="33">
        <f>SUM(D26:D30)</f>
        <v>-622610.49</v>
      </c>
      <c r="E31" s="15"/>
      <c r="F31" s="31">
        <f>IF(D$12=0,0,D31/D$12)</f>
        <v>0</v>
      </c>
      <c r="G31" s="15"/>
      <c r="H31" s="33">
        <f>SUM(H26:H30)</f>
        <v>35000</v>
      </c>
      <c r="I31" s="15"/>
      <c r="J31" s="31">
        <f>IF(H$12=0,0,H31/H$12)</f>
        <v>0</v>
      </c>
      <c r="K31" s="17"/>
      <c r="L31" s="33">
        <f>+D31-H31</f>
        <v>-657610.49</v>
      </c>
      <c r="M31" s="17"/>
      <c r="N31" s="31">
        <f>IF(H31=0,0,L31/H31)</f>
        <v>-18.788871142857143</v>
      </c>
      <c r="O31" s="28"/>
      <c r="P31" s="33">
        <f>SUM(P26:P30)</f>
        <v>195545.27000000002</v>
      </c>
      <c r="Q31" s="15"/>
      <c r="R31" s="31">
        <f>IF(P$12=0,0,P31/P$12)</f>
        <v>0</v>
      </c>
      <c r="S31" s="15"/>
      <c r="T31" s="33">
        <f>SUM(T26:T30)</f>
        <v>380000</v>
      </c>
      <c r="U31" s="15"/>
      <c r="V31" s="31">
        <f>IF(T$12=0,0,T31/T$12)</f>
        <v>0</v>
      </c>
      <c r="W31" s="17"/>
      <c r="X31" s="33">
        <f>+P31-T31</f>
        <v>-184454.72999999998</v>
      </c>
      <c r="Y31" s="17"/>
      <c r="Z31" s="31">
        <f>IF(T31=0,0,X31/T31)</f>
        <v>-0.48540718421052625</v>
      </c>
    </row>
    <row r="32" spans="1:26" ht="15" customHeight="1" x14ac:dyDescent="0.3">
      <c r="A32" s="12"/>
      <c r="C32" s="12"/>
      <c r="D32" s="19"/>
      <c r="E32" s="19"/>
      <c r="G32" s="19"/>
      <c r="H32" s="19"/>
      <c r="I32" s="19"/>
      <c r="J32" s="41"/>
      <c r="K32" s="19"/>
      <c r="L32" s="19"/>
      <c r="M32" s="19"/>
      <c r="P32" s="19"/>
      <c r="Q32" s="19"/>
      <c r="R32" s="41"/>
      <c r="S32" s="19"/>
      <c r="T32" s="19"/>
      <c r="U32" s="19"/>
      <c r="V32" s="41"/>
      <c r="W32" s="19"/>
      <c r="X32" s="19"/>
    </row>
    <row r="33" spans="1:24" ht="15" customHeight="1" x14ac:dyDescent="0.3">
      <c r="A33" s="12"/>
      <c r="B33" s="50">
        <v>44767.799535995371</v>
      </c>
      <c r="D33" s="19"/>
      <c r="E33" s="19"/>
      <c r="G33" s="19"/>
      <c r="H33" s="19"/>
      <c r="I33" s="19"/>
      <c r="J33" s="41"/>
      <c r="K33" s="19"/>
      <c r="L33" s="19"/>
      <c r="M33" s="19"/>
      <c r="P33" s="19"/>
      <c r="Q33" s="19"/>
      <c r="R33" s="41"/>
      <c r="S33" s="19"/>
      <c r="T33" s="19"/>
      <c r="U33" s="19"/>
      <c r="V33" s="41"/>
      <c r="W33" s="19"/>
      <c r="X33" s="19"/>
    </row>
    <row r="34" spans="1:24" ht="15" customHeight="1" x14ac:dyDescent="0.3">
      <c r="A34" s="12"/>
      <c r="B34" s="57" t="s">
        <v>298</v>
      </c>
      <c r="D34" s="19"/>
      <c r="E34" s="19"/>
      <c r="G34" s="19"/>
      <c r="H34" s="19"/>
      <c r="I34" s="19"/>
      <c r="J34" s="41"/>
      <c r="K34" s="19"/>
      <c r="L34" s="19"/>
      <c r="M34" s="19"/>
      <c r="P34" s="19"/>
      <c r="Q34" s="19"/>
      <c r="R34" s="41"/>
      <c r="S34" s="19"/>
      <c r="T34" s="19"/>
      <c r="U34" s="19"/>
      <c r="V34" s="41"/>
      <c r="W34" s="19"/>
      <c r="X34" s="19"/>
    </row>
    <row r="35" spans="1:24" ht="15" customHeight="1" x14ac:dyDescent="0.3">
      <c r="A35" s="12"/>
      <c r="B35" s="51"/>
      <c r="D35" s="19"/>
      <c r="E35" s="19"/>
      <c r="G35" s="19"/>
      <c r="H35" s="19"/>
      <c r="I35" s="19"/>
      <c r="J35" s="41"/>
      <c r="K35" s="19"/>
      <c r="L35" s="19"/>
      <c r="M35" s="19"/>
      <c r="P35" s="19"/>
      <c r="Q35" s="19"/>
      <c r="R35" s="41"/>
      <c r="S35" s="19"/>
      <c r="T35" s="19"/>
      <c r="U35" s="19"/>
      <c r="V35" s="41"/>
      <c r="W35" s="19"/>
      <c r="X35" s="19"/>
    </row>
    <row r="36" spans="1:24" ht="15" customHeight="1" x14ac:dyDescent="0.3">
      <c r="D36" s="19"/>
      <c r="E36" s="19"/>
      <c r="G36" s="19"/>
      <c r="H36" s="19"/>
      <c r="I36" s="19"/>
      <c r="J36" s="41"/>
      <c r="K36" s="19"/>
      <c r="L36" s="19"/>
      <c r="M36" s="19"/>
      <c r="P36" s="19"/>
      <c r="Q36" s="19"/>
      <c r="R36" s="41"/>
      <c r="S36" s="19"/>
      <c r="T36" s="19"/>
      <c r="U36" s="19"/>
      <c r="V36" s="41"/>
      <c r="W36" s="19"/>
      <c r="X36" s="19"/>
    </row>
  </sheetData>
  <pageMargins left="0.25" right="0.25" top="0.75" bottom="0.75" header="0.3" footer="0.3"/>
  <pageSetup scale="55" orientation="landscape" r:id="rId1"/>
  <headerFooter>
    <oddHeader>&amp;RPre-Audit</oddHeader>
    <oddFooter>&amp;L&amp;C&amp;R</oddFooter>
    <evenHeader>&amp;L&amp;C&amp;R</evenHeader>
    <evenFooter>&amp;L&amp;C&amp;R</even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E13A64-410F-F0DB-D5B7-74094024C222}">
  <sheetPr>
    <tabColor rgb="FF92D050"/>
    <outlinePr summaryBelow="0" summaryRight="0"/>
  </sheetPr>
  <dimension ref="A2:Z38"/>
  <sheetViews>
    <sheetView showGridLines="0" defaultGridColor="0" colorId="8" zoomScale="80" workbookViewId="0">
      <pane xSplit="3" ySplit="10" topLeftCell="D11" activePane="bottomRight" state="frozen"/>
      <selection activeCell="D78" sqref="D78"/>
      <selection pane="topRight" activeCell="D78" sqref="D78"/>
      <selection pane="bottomLeft" activeCell="D78" sqref="D78"/>
      <selection pane="bottomRight" activeCell="D78" sqref="D78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3" t="s">
        <v>276</v>
      </c>
    </row>
    <row r="3" spans="1:26" ht="15" customHeight="1" x14ac:dyDescent="0.3">
      <c r="D3" s="53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3" t="str">
        <f>CONCATENATE("Period ",RIGHT(202212,2),", ",2022)</f>
        <v>Period 12,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5"/>
      <c r="D5" s="60">
        <v>44742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5"/>
      <c r="B6" s="47"/>
      <c r="C6" s="47"/>
      <c r="D6" s="25" t="str">
        <f>CONCATENATE("Department ","406"," - ","OPA! Greek")</f>
        <v>Department 406 - OPA! Greek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4"/>
    </row>
    <row r="8" spans="1:26" ht="15" customHeight="1" x14ac:dyDescent="0.3">
      <c r="B8" s="54"/>
    </row>
    <row r="9" spans="1:26" ht="15" customHeight="1" x14ac:dyDescent="0.3">
      <c r="B9" s="12"/>
      <c r="C9" s="12"/>
      <c r="D9" s="16" t="s">
        <v>279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280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ht="15" customHeight="1" x14ac:dyDescent="0.3">
      <c r="A10" s="13"/>
      <c r="B10" s="52"/>
      <c r="C10" s="13"/>
      <c r="D10" s="40" t="s">
        <v>281</v>
      </c>
      <c r="E10" s="32"/>
      <c r="F10" s="39" t="s">
        <v>282</v>
      </c>
      <c r="G10" s="32"/>
      <c r="H10" s="45" t="s">
        <v>283</v>
      </c>
      <c r="I10" s="32"/>
      <c r="J10" s="42" t="s">
        <v>284</v>
      </c>
      <c r="K10" s="13"/>
      <c r="L10" s="40" t="s">
        <v>285</v>
      </c>
      <c r="M10" s="13"/>
      <c r="N10" s="39" t="s">
        <v>286</v>
      </c>
      <c r="O10" s="13"/>
      <c r="P10" s="55" t="s">
        <v>281</v>
      </c>
      <c r="Q10" s="32"/>
      <c r="R10" s="39" t="s">
        <v>282</v>
      </c>
      <c r="S10" s="32"/>
      <c r="T10" s="45" t="s">
        <v>283</v>
      </c>
      <c r="U10" s="32"/>
      <c r="V10" s="42" t="s">
        <v>284</v>
      </c>
      <c r="W10" s="13"/>
      <c r="X10" s="40" t="s">
        <v>285</v>
      </c>
      <c r="Y10" s="13"/>
      <c r="Z10" s="39" t="s">
        <v>286</v>
      </c>
    </row>
    <row r="11" spans="1:26" ht="16.5" customHeight="1" x14ac:dyDescent="0.3">
      <c r="A11" s="12"/>
      <c r="B11" s="58"/>
      <c r="C11" s="12"/>
      <c r="D11" s="12"/>
      <c r="E11" s="12"/>
      <c r="F11" s="10"/>
      <c r="G11" s="12"/>
      <c r="H11" s="12"/>
      <c r="I11" s="12"/>
      <c r="J11" s="43"/>
      <c r="K11" s="12"/>
      <c r="L11" s="12"/>
      <c r="M11" s="12"/>
      <c r="N11" s="10"/>
      <c r="P11" s="12"/>
      <c r="Q11" s="12"/>
      <c r="R11" s="10"/>
      <c r="S11" s="12"/>
      <c r="T11" s="12"/>
      <c r="U11" s="12"/>
      <c r="V11" s="43"/>
      <c r="W11" s="12"/>
      <c r="X11" s="12"/>
      <c r="Y11" s="12"/>
      <c r="Z11" s="10"/>
    </row>
    <row r="12" spans="1:26" s="63" customFormat="1" ht="15" customHeight="1" x14ac:dyDescent="0.3">
      <c r="A12" s="13"/>
      <c r="B12" s="28" t="s">
        <v>287</v>
      </c>
      <c r="C12" s="13"/>
      <c r="D12" s="8">
        <f>SUM(0)</f>
        <v>0</v>
      </c>
      <c r="E12" s="8"/>
      <c r="F12" s="14"/>
      <c r="G12" s="8"/>
      <c r="H12" s="8">
        <f>SUM(0)</f>
        <v>0</v>
      </c>
      <c r="I12" s="8"/>
      <c r="J12" s="14"/>
      <c r="K12" s="8"/>
      <c r="L12" s="8">
        <f>+D12-H12</f>
        <v>0</v>
      </c>
      <c r="M12" s="8"/>
      <c r="N12" s="14">
        <f>IF(H12=0,0,L12/H12)</f>
        <v>0</v>
      </c>
      <c r="O12" s="13"/>
      <c r="P12" s="8">
        <f>SUM(0)</f>
        <v>0</v>
      </c>
      <c r="Q12" s="8"/>
      <c r="R12" s="14"/>
      <c r="S12" s="8"/>
      <c r="T12" s="8">
        <f>SUM(0)</f>
        <v>0</v>
      </c>
      <c r="U12" s="8"/>
      <c r="V12" s="14"/>
      <c r="W12" s="8"/>
      <c r="X12" s="8">
        <f>+P12-T12</f>
        <v>0</v>
      </c>
      <c r="Y12" s="8"/>
      <c r="Z12" s="14">
        <f>IF(T12=0,0,X12/T12)</f>
        <v>0</v>
      </c>
    </row>
    <row r="13" spans="1:26" ht="15" customHeight="1" x14ac:dyDescent="0.3">
      <c r="A13" s="12"/>
      <c r="B13" s="13"/>
      <c r="C13" s="12"/>
      <c r="D13" s="4"/>
      <c r="E13" s="4"/>
      <c r="F13" s="10"/>
      <c r="G13" s="4"/>
      <c r="H13" s="4"/>
      <c r="I13" s="4"/>
      <c r="J13" s="10"/>
      <c r="K13" s="4"/>
      <c r="L13" s="4"/>
      <c r="M13" s="4"/>
      <c r="N13" s="10"/>
      <c r="P13" s="4"/>
      <c r="Q13" s="4"/>
      <c r="R13" s="10"/>
      <c r="S13" s="4"/>
      <c r="T13" s="4"/>
      <c r="U13" s="4"/>
      <c r="V13" s="10"/>
      <c r="W13" s="4"/>
      <c r="X13" s="4"/>
      <c r="Y13" s="4"/>
      <c r="Z13" s="10"/>
    </row>
    <row r="14" spans="1:26" s="63" customFormat="1" ht="15" customHeight="1" x14ac:dyDescent="0.3">
      <c r="A14" s="13"/>
      <c r="B14" s="28" t="s">
        <v>288</v>
      </c>
      <c r="C14" s="13"/>
      <c r="D14" s="8">
        <f>SUM(0)</f>
        <v>0</v>
      </c>
      <c r="E14" s="8"/>
      <c r="F14" s="14">
        <f>IF(D$12=0,0,D14/D$12)</f>
        <v>0</v>
      </c>
      <c r="G14" s="8"/>
      <c r="H14" s="8">
        <f>SUM(0)</f>
        <v>0</v>
      </c>
      <c r="I14" s="8"/>
      <c r="J14" s="14">
        <f>IF(H$12=0,0,H14/H$12)</f>
        <v>0</v>
      </c>
      <c r="K14" s="8"/>
      <c r="L14" s="8">
        <f>+D14-H14</f>
        <v>0</v>
      </c>
      <c r="M14" s="8"/>
      <c r="N14" s="14">
        <f>IF(H14=0,0,L14/H14)</f>
        <v>0</v>
      </c>
      <c r="O14" s="13"/>
      <c r="P14" s="8">
        <f>SUM(0)</f>
        <v>0</v>
      </c>
      <c r="Q14" s="8"/>
      <c r="R14" s="14">
        <f>IF(P$12=0,0,P14/P$12)</f>
        <v>0</v>
      </c>
      <c r="S14" s="8"/>
      <c r="T14" s="8">
        <f>SUM(0)</f>
        <v>0</v>
      </c>
      <c r="U14" s="8"/>
      <c r="V14" s="14">
        <f>IF(T$12=0,0,T14/T$12)</f>
        <v>0</v>
      </c>
      <c r="W14" s="8"/>
      <c r="X14" s="8">
        <f>+P14-T14</f>
        <v>0</v>
      </c>
      <c r="Y14" s="8"/>
      <c r="Z14" s="14">
        <f>IF(T14=0,0,X14/T14)</f>
        <v>0</v>
      </c>
    </row>
    <row r="15" spans="1:26" ht="15" customHeight="1" x14ac:dyDescent="0.3">
      <c r="A15" s="12"/>
      <c r="B15" s="13"/>
      <c r="C15" s="13"/>
      <c r="D15" s="4"/>
      <c r="E15" s="4"/>
      <c r="F15" s="10"/>
      <c r="G15" s="4"/>
      <c r="H15" s="4"/>
      <c r="I15" s="4"/>
      <c r="J15" s="10"/>
      <c r="K15" s="4"/>
      <c r="L15" s="4"/>
      <c r="M15" s="4"/>
      <c r="N15" s="10"/>
      <c r="O15" s="13"/>
      <c r="P15" s="4"/>
      <c r="Q15" s="4"/>
      <c r="R15" s="10"/>
      <c r="S15" s="4"/>
      <c r="T15" s="4"/>
      <c r="U15" s="4"/>
      <c r="V15" s="10"/>
      <c r="W15" s="4"/>
      <c r="X15" s="4"/>
      <c r="Y15" s="4"/>
      <c r="Z15" s="10"/>
    </row>
    <row r="16" spans="1:26" s="63" customFormat="1" ht="15" customHeight="1" x14ac:dyDescent="0.3">
      <c r="A16" s="13"/>
      <c r="B16" s="27" t="s">
        <v>289</v>
      </c>
      <c r="C16" s="27"/>
      <c r="D16" s="23">
        <f>D12-D14</f>
        <v>0</v>
      </c>
      <c r="E16" s="15"/>
      <c r="F16" s="22">
        <f>IF(D$12=0,0,D16/D$12)</f>
        <v>0</v>
      </c>
      <c r="G16" s="15"/>
      <c r="H16" s="23">
        <f>H12-H14</f>
        <v>0</v>
      </c>
      <c r="I16" s="15"/>
      <c r="J16" s="22">
        <f>IF(H$12=0,0,H16/H$12)</f>
        <v>0</v>
      </c>
      <c r="K16" s="17"/>
      <c r="L16" s="23">
        <f>+D16-H16</f>
        <v>0</v>
      </c>
      <c r="M16" s="17"/>
      <c r="N16" s="22">
        <f>IF(H16=0,0,L16/H16)</f>
        <v>0</v>
      </c>
      <c r="O16" s="28"/>
      <c r="P16" s="23">
        <f>P12-P14</f>
        <v>0</v>
      </c>
      <c r="Q16" s="15"/>
      <c r="R16" s="22">
        <f>IF(P$12=0,0,P16/P$12)</f>
        <v>0</v>
      </c>
      <c r="S16" s="15"/>
      <c r="T16" s="23">
        <f>T12-T14</f>
        <v>0</v>
      </c>
      <c r="U16" s="15"/>
      <c r="V16" s="22">
        <f>IF(T$12=0,0,T16/T$12)</f>
        <v>0</v>
      </c>
      <c r="W16" s="17"/>
      <c r="X16" s="23">
        <f>+P16-T16</f>
        <v>0</v>
      </c>
      <c r="Y16" s="17"/>
      <c r="Z16" s="22">
        <f>IF(T16=0,0,X16/T16)</f>
        <v>0</v>
      </c>
    </row>
    <row r="17" spans="1:26" ht="15" customHeight="1" x14ac:dyDescent="0.3">
      <c r="A17" s="12"/>
      <c r="B17" s="13"/>
      <c r="C17" s="12"/>
      <c r="D17" s="2"/>
      <c r="E17" s="2"/>
      <c r="F17" s="5"/>
      <c r="G17" s="2"/>
      <c r="H17" s="2"/>
      <c r="I17" s="2"/>
      <c r="J17" s="5"/>
      <c r="K17" s="2"/>
      <c r="L17" s="2"/>
      <c r="M17" s="2"/>
      <c r="N17" s="5"/>
      <c r="O17" s="36"/>
      <c r="P17" s="2"/>
      <c r="Q17" s="2"/>
      <c r="R17" s="5"/>
      <c r="S17" s="2"/>
      <c r="T17" s="2"/>
      <c r="U17" s="2"/>
      <c r="V17" s="5"/>
      <c r="W17" s="2"/>
      <c r="X17" s="2"/>
      <c r="Y17" s="2"/>
      <c r="Z17" s="5"/>
    </row>
    <row r="18" spans="1:26" s="63" customFormat="1" ht="15" customHeight="1" x14ac:dyDescent="0.3">
      <c r="A18" s="13"/>
      <c r="B18" s="28" t="s">
        <v>290</v>
      </c>
      <c r="C18" s="13"/>
      <c r="D18" s="24" cm="1">
        <f t="array" ref="D18">SUM(OSRRefD22x_0)</f>
        <v>0</v>
      </c>
      <c r="E18" s="24"/>
      <c r="F18" s="34">
        <f>IF(D$12=0,0,D18/D$12)</f>
        <v>0</v>
      </c>
      <c r="G18" s="24"/>
      <c r="H18" s="24" cm="1">
        <f t="array" ref="H18">SUM(OSRRefH22x_0)</f>
        <v>0</v>
      </c>
      <c r="I18" s="24"/>
      <c r="J18" s="34">
        <f>IF(H$12=0,0,H18/H$12)</f>
        <v>0</v>
      </c>
      <c r="K18" s="8"/>
      <c r="L18" s="24">
        <f>+D18-H18</f>
        <v>0</v>
      </c>
      <c r="M18" s="8"/>
      <c r="N18" s="34">
        <f>IF(H18=0,0,L18/H18)</f>
        <v>0</v>
      </c>
      <c r="O18" s="13"/>
      <c r="P18" s="24" cm="1">
        <f t="array" ref="P18">SUM(OSRRefP22x_0)</f>
        <v>69.290000000000006</v>
      </c>
      <c r="Q18" s="24"/>
      <c r="R18" s="34">
        <f>IF(P$12=0,0,P18/P$12)</f>
        <v>0</v>
      </c>
      <c r="S18" s="24"/>
      <c r="T18" s="24" cm="1">
        <f t="array" ref="T18">SUM(OSRRefT22x_0)</f>
        <v>0</v>
      </c>
      <c r="U18" s="24"/>
      <c r="V18" s="34">
        <f>IF(T$12=0,0,T18/T$12)</f>
        <v>0</v>
      </c>
      <c r="W18" s="8"/>
      <c r="X18" s="24">
        <f>+P18-T18</f>
        <v>69.290000000000006</v>
      </c>
      <c r="Y18" s="8"/>
      <c r="Z18" s="34">
        <f>IF(T18=0,0,X18/T18)</f>
        <v>0</v>
      </c>
    </row>
    <row r="19" spans="1:26" s="69" customFormat="1" ht="15" customHeight="1" outlineLevel="1" collapsed="1" x14ac:dyDescent="0.3">
      <c r="A19" s="20"/>
      <c r="B19" s="11" t="str">
        <f>CONCATENATE("     ","Repair and Maintenance                            ")</f>
        <v xml:space="preserve">     Repair and Maintenance                            </v>
      </c>
      <c r="C19" s="11"/>
      <c r="D19" s="2">
        <f>SUM(OSRRefD22_0x_0)</f>
        <v>0</v>
      </c>
      <c r="E19" s="2"/>
      <c r="F19" s="5">
        <f>IF(D$12=0,0,D19/D$12)</f>
        <v>0</v>
      </c>
      <c r="G19" s="2"/>
      <c r="H19" s="2">
        <f>SUM(OSRRefH22_0x_0)</f>
        <v>0</v>
      </c>
      <c r="I19" s="2"/>
      <c r="J19" s="5">
        <f>IF(H$12=0,0,H19/H$12)</f>
        <v>0</v>
      </c>
      <c r="K19" s="2"/>
      <c r="L19" s="2">
        <f>+D19-H19</f>
        <v>0</v>
      </c>
      <c r="M19" s="2"/>
      <c r="N19" s="5">
        <f>IF(H19=0,0,L19/H19)</f>
        <v>0</v>
      </c>
      <c r="O19" s="11"/>
      <c r="P19" s="2">
        <f>SUM(OSRRefP22_0x_0)</f>
        <v>69.290000000000006</v>
      </c>
      <c r="Q19" s="2"/>
      <c r="R19" s="5">
        <f>IF(P$12=0,0,P19/P$12)</f>
        <v>0</v>
      </c>
      <c r="S19" s="2"/>
      <c r="T19" s="2">
        <f>SUM(OSRRefT22_0x_0)</f>
        <v>0</v>
      </c>
      <c r="U19" s="2"/>
      <c r="V19" s="5">
        <f>IF(T$12=0,0,T19/T$12)</f>
        <v>0</v>
      </c>
      <c r="W19" s="2"/>
      <c r="X19" s="2">
        <f>+P19-T19</f>
        <v>69.290000000000006</v>
      </c>
      <c r="Y19" s="2"/>
      <c r="Z19" s="5">
        <f>IF(T19=0,0,X19/T19)</f>
        <v>0</v>
      </c>
    </row>
    <row r="20" spans="1:26" s="70" customFormat="1" ht="15" hidden="1" customHeight="1" outlineLevel="2" x14ac:dyDescent="0.3">
      <c r="A20" s="21"/>
      <c r="B20" s="9" t="str">
        <f>CONCATENATE("          ","6373"," - ","MAINTENANCE CONTRACTS")</f>
        <v xml:space="preserve">          6373 - MAINTENANCE CONTRACTS</v>
      </c>
      <c r="C20" s="9"/>
      <c r="D20" s="6"/>
      <c r="E20" s="3"/>
      <c r="F20" s="7">
        <f>IF(D$12=0,0,D20/D$12)</f>
        <v>0</v>
      </c>
      <c r="G20" s="3"/>
      <c r="H20" s="6"/>
      <c r="I20" s="3"/>
      <c r="J20" s="7">
        <f>IF(H$12=0,0,H20/H$12)</f>
        <v>0</v>
      </c>
      <c r="K20" s="3"/>
      <c r="L20" s="6">
        <f>+D20-H20</f>
        <v>0</v>
      </c>
      <c r="M20" s="3"/>
      <c r="N20" s="7">
        <f>IF(H20=0,0,L20/H20)</f>
        <v>0</v>
      </c>
      <c r="O20" s="9"/>
      <c r="P20" s="6">
        <v>69.290000000000006</v>
      </c>
      <c r="Q20" s="3"/>
      <c r="R20" s="7">
        <f>IF(P$12=0,0,P20/P$12)</f>
        <v>0</v>
      </c>
      <c r="S20" s="3"/>
      <c r="T20" s="6"/>
      <c r="U20" s="3"/>
      <c r="V20" s="7">
        <f>IF(T$12=0,0,T20/T$12)</f>
        <v>0</v>
      </c>
      <c r="W20" s="3"/>
      <c r="X20" s="6">
        <f>+P20-T20</f>
        <v>69.290000000000006</v>
      </c>
      <c r="Y20" s="3"/>
      <c r="Z20" s="7">
        <f>IF(T20=0,0,X20/T20)</f>
        <v>0</v>
      </c>
    </row>
    <row r="21" spans="1:26" s="69" customFormat="1" ht="15" customHeight="1" outlineLevel="1" collapsed="1" x14ac:dyDescent="0.3">
      <c r="A21" s="20"/>
      <c r="B21" s="11" t="str">
        <f>CONCATENATE("     ","Services                                          ")</f>
        <v xml:space="preserve">     Services                                          </v>
      </c>
      <c r="C21" s="11"/>
      <c r="D21" s="2">
        <f>SUM(OSRRefD22_1x_0)</f>
        <v>0</v>
      </c>
      <c r="E21" s="2"/>
      <c r="F21" s="5">
        <f>IF(D$12=0,0,D21/D$12)</f>
        <v>0</v>
      </c>
      <c r="G21" s="2"/>
      <c r="H21" s="2">
        <f>SUM(OSRRefH22_1x_0)</f>
        <v>0</v>
      </c>
      <c r="I21" s="2"/>
      <c r="J21" s="5">
        <f>IF(H$12=0,0,H21/H$12)</f>
        <v>0</v>
      </c>
      <c r="K21" s="2"/>
      <c r="L21" s="2">
        <f>+D21-H21</f>
        <v>0</v>
      </c>
      <c r="M21" s="2"/>
      <c r="N21" s="5">
        <f>IF(H21=0,0,L21/H21)</f>
        <v>0</v>
      </c>
      <c r="O21" s="11"/>
      <c r="P21" s="2">
        <f>SUM(OSRRefP22_1x_0)</f>
        <v>0</v>
      </c>
      <c r="Q21" s="2"/>
      <c r="R21" s="5">
        <f>IF(P$12=0,0,P21/P$12)</f>
        <v>0</v>
      </c>
      <c r="S21" s="2"/>
      <c r="T21" s="2">
        <f>SUM(OSRRefT22_1x_0)</f>
        <v>0</v>
      </c>
      <c r="U21" s="2"/>
      <c r="V21" s="5">
        <f>IF(T$12=0,0,T21/T$12)</f>
        <v>0</v>
      </c>
      <c r="W21" s="2"/>
      <c r="X21" s="2">
        <f>+P21-T21</f>
        <v>0</v>
      </c>
      <c r="Y21" s="2"/>
      <c r="Z21" s="5">
        <f>IF(T21=0,0,X21/T21)</f>
        <v>0</v>
      </c>
    </row>
    <row r="22" spans="1:26" s="70" customFormat="1" ht="15" hidden="1" customHeight="1" outlineLevel="2" x14ac:dyDescent="0.3">
      <c r="A22" s="21"/>
      <c r="B22" s="9" t="str">
        <f>CONCATENATE("          ","6284"," - ","TRASH REMOVAL EXPENSE")</f>
        <v xml:space="preserve">          6284 - TRASH REMOVAL EXPENSE</v>
      </c>
      <c r="C22" s="9"/>
      <c r="D22" s="6"/>
      <c r="E22" s="3"/>
      <c r="F22" s="7">
        <f>IF(D$12=0,0,D22/D$12)</f>
        <v>0</v>
      </c>
      <c r="G22" s="3"/>
      <c r="H22" s="6"/>
      <c r="I22" s="3"/>
      <c r="J22" s="7">
        <f>IF(H$12=0,0,H22/H$12)</f>
        <v>0</v>
      </c>
      <c r="K22" s="3"/>
      <c r="L22" s="6">
        <f>+D22-H22</f>
        <v>0</v>
      </c>
      <c r="M22" s="3"/>
      <c r="N22" s="7">
        <f>IF(H22=0,0,L22/H22)</f>
        <v>0</v>
      </c>
      <c r="O22" s="9"/>
      <c r="P22" s="6"/>
      <c r="Q22" s="3"/>
      <c r="R22" s="7">
        <f>IF(P$12=0,0,P22/P$12)</f>
        <v>0</v>
      </c>
      <c r="S22" s="3"/>
      <c r="T22" s="6">
        <v>0</v>
      </c>
      <c r="U22" s="3"/>
      <c r="V22" s="7">
        <f>IF(T$12=0,0,T22/T$12)</f>
        <v>0</v>
      </c>
      <c r="W22" s="3"/>
      <c r="X22" s="6">
        <f>+P22-T22</f>
        <v>0</v>
      </c>
      <c r="Y22" s="3"/>
      <c r="Z22" s="7">
        <f>IF(T22=0,0,X22/T22)</f>
        <v>0</v>
      </c>
    </row>
    <row r="23" spans="1:26" s="65" customFormat="1" ht="15" customHeight="1" x14ac:dyDescent="0.3">
      <c r="A23" s="36"/>
      <c r="B23" s="36"/>
      <c r="C23" s="36"/>
      <c r="D23" s="2"/>
      <c r="E23" s="2"/>
      <c r="F23" s="5"/>
      <c r="G23" s="2"/>
      <c r="H23" s="2"/>
      <c r="I23" s="2"/>
      <c r="J23" s="5"/>
      <c r="K23" s="2"/>
      <c r="L23" s="2"/>
      <c r="M23" s="2"/>
      <c r="N23" s="5"/>
      <c r="O23" s="36"/>
      <c r="P23" s="2"/>
      <c r="Q23" s="2"/>
      <c r="R23" s="5"/>
      <c r="S23" s="2"/>
      <c r="T23" s="2"/>
      <c r="U23" s="2"/>
      <c r="V23" s="5"/>
      <c r="W23" s="2"/>
      <c r="X23" s="2"/>
      <c r="Y23" s="2"/>
      <c r="Z23" s="5"/>
    </row>
    <row r="24" spans="1:26" s="63" customFormat="1" ht="15" customHeight="1" x14ac:dyDescent="0.3">
      <c r="A24" s="13"/>
      <c r="B24" s="28" t="s">
        <v>291</v>
      </c>
      <c r="C24" s="13"/>
      <c r="D24" s="8">
        <f>SUM(0)</f>
        <v>0</v>
      </c>
      <c r="E24" s="8"/>
      <c r="F24" s="14">
        <f>IF(D$12=0,0,D24/D$12)</f>
        <v>0</v>
      </c>
      <c r="G24" s="8"/>
      <c r="H24" s="8">
        <f>SUM(0)</f>
        <v>0</v>
      </c>
      <c r="I24" s="8"/>
      <c r="J24" s="14">
        <f>IF(H$12=0,0,H24/H$12)</f>
        <v>0</v>
      </c>
      <c r="K24" s="8"/>
      <c r="L24" s="8">
        <f>+D24-H24</f>
        <v>0</v>
      </c>
      <c r="M24" s="8"/>
      <c r="N24" s="14">
        <f>IF(H24=0,0,L24/H24)</f>
        <v>0</v>
      </c>
      <c r="O24" s="13"/>
      <c r="P24" s="8">
        <f>SUM(0)</f>
        <v>0</v>
      </c>
      <c r="Q24" s="8"/>
      <c r="R24" s="14">
        <f>IF(P$12=0,0,P24/P$12)</f>
        <v>0</v>
      </c>
      <c r="S24" s="8"/>
      <c r="T24" s="8">
        <f>SUM(0)</f>
        <v>0</v>
      </c>
      <c r="U24" s="8"/>
      <c r="V24" s="14">
        <f>IF(T$12=0,0,T24/T$12)</f>
        <v>0</v>
      </c>
      <c r="W24" s="8"/>
      <c r="X24" s="8">
        <f>+P24-T24</f>
        <v>0</v>
      </c>
      <c r="Y24" s="8"/>
      <c r="Z24" s="14">
        <f>IF(T24=0,0,X24/T24)</f>
        <v>0</v>
      </c>
    </row>
    <row r="25" spans="1:26" ht="15" customHeight="1" x14ac:dyDescent="0.3">
      <c r="A25" s="12"/>
      <c r="B25" s="13"/>
      <c r="C25" s="13"/>
      <c r="D25" s="4"/>
      <c r="E25" s="4"/>
      <c r="F25" s="10"/>
      <c r="G25" s="4"/>
      <c r="H25" s="4"/>
      <c r="I25" s="4"/>
      <c r="J25" s="10"/>
      <c r="K25" s="4"/>
      <c r="L25" s="4"/>
      <c r="M25" s="4"/>
      <c r="N25" s="10"/>
      <c r="O25" s="13"/>
      <c r="P25" s="4"/>
      <c r="Q25" s="4"/>
      <c r="R25" s="10"/>
      <c r="S25" s="4"/>
      <c r="T25" s="4"/>
      <c r="U25" s="4"/>
      <c r="V25" s="10"/>
      <c r="W25" s="4"/>
      <c r="X25" s="4"/>
      <c r="Y25" s="4"/>
      <c r="Z25" s="10"/>
    </row>
    <row r="26" spans="1:26" s="63" customFormat="1" ht="15" customHeight="1" x14ac:dyDescent="0.3">
      <c r="A26" s="13"/>
      <c r="B26" s="27" t="s">
        <v>292</v>
      </c>
      <c r="C26" s="27"/>
      <c r="D26" s="23">
        <f>+D16-D18+D24</f>
        <v>0</v>
      </c>
      <c r="E26" s="15"/>
      <c r="F26" s="22">
        <f>IF(D$12=0,0,D26/D$12)</f>
        <v>0</v>
      </c>
      <c r="G26" s="15"/>
      <c r="H26" s="23">
        <f>+H16-H18+H24</f>
        <v>0</v>
      </c>
      <c r="I26" s="15"/>
      <c r="J26" s="22">
        <f>IF(H$12=0,0,H26/H$12)</f>
        <v>0</v>
      </c>
      <c r="K26" s="17"/>
      <c r="L26" s="23">
        <f>+D26-H26</f>
        <v>0</v>
      </c>
      <c r="M26" s="17"/>
      <c r="N26" s="22">
        <f>IF(H26=0,0,L26/H26)</f>
        <v>0</v>
      </c>
      <c r="O26" s="28"/>
      <c r="P26" s="23">
        <f>+P16-P18+P24</f>
        <v>-69.290000000000006</v>
      </c>
      <c r="Q26" s="15"/>
      <c r="R26" s="22">
        <f>IF(P$12=0,0,P26/P$12)</f>
        <v>0</v>
      </c>
      <c r="S26" s="15"/>
      <c r="T26" s="23">
        <f>+T16-T18+T24</f>
        <v>0</v>
      </c>
      <c r="U26" s="15"/>
      <c r="V26" s="22">
        <f>IF(T$12=0,0,T26/T$12)</f>
        <v>0</v>
      </c>
      <c r="W26" s="17"/>
      <c r="X26" s="23">
        <f>+P26-T26</f>
        <v>-69.290000000000006</v>
      </c>
      <c r="Y26" s="17"/>
      <c r="Z26" s="22">
        <f>IF(T26=0,0,X26/T26)</f>
        <v>0</v>
      </c>
    </row>
    <row r="27" spans="1:26" ht="15" customHeight="1" x14ac:dyDescent="0.3">
      <c r="A27" s="12"/>
      <c r="B27" s="13"/>
      <c r="C27" s="12"/>
      <c r="D27" s="4"/>
      <c r="E27" s="4"/>
      <c r="F27" s="10"/>
      <c r="G27" s="4"/>
      <c r="H27" s="4"/>
      <c r="I27" s="4"/>
      <c r="J27" s="10"/>
      <c r="K27" s="4"/>
      <c r="L27" s="4"/>
      <c r="M27" s="4"/>
      <c r="N27" s="10"/>
      <c r="P27" s="4"/>
      <c r="Q27" s="4"/>
      <c r="R27" s="10"/>
      <c r="S27" s="4"/>
      <c r="T27" s="4"/>
      <c r="U27" s="4"/>
      <c r="V27" s="10"/>
      <c r="W27" s="4"/>
      <c r="X27" s="4"/>
      <c r="Y27" s="4"/>
      <c r="Z27" s="10"/>
    </row>
    <row r="28" spans="1:26" s="63" customFormat="1" ht="15" customHeight="1" x14ac:dyDescent="0.3">
      <c r="A28" s="49"/>
      <c r="B28" s="13" t="s">
        <v>293</v>
      </c>
      <c r="C28" s="13"/>
      <c r="D28" s="8"/>
      <c r="E28" s="8"/>
      <c r="F28" s="14">
        <f>IF(D$12=0,0,D28/D$12)</f>
        <v>0</v>
      </c>
      <c r="G28" s="8"/>
      <c r="H28" s="8"/>
      <c r="I28" s="8"/>
      <c r="J28" s="14">
        <f>IF(H$12=0,0,H28/H$12)</f>
        <v>0</v>
      </c>
      <c r="K28" s="8"/>
      <c r="L28" s="8">
        <f>+D28-H28</f>
        <v>0</v>
      </c>
      <c r="M28" s="8"/>
      <c r="N28" s="14">
        <f>IF(H28=0,0,L28/H28)</f>
        <v>0</v>
      </c>
      <c r="O28" s="13"/>
      <c r="P28" s="8"/>
      <c r="Q28" s="8"/>
      <c r="R28" s="14">
        <f>IF(P$12=0,0,P28/P$12)</f>
        <v>0</v>
      </c>
      <c r="S28" s="8"/>
      <c r="T28" s="8"/>
      <c r="U28" s="8"/>
      <c r="V28" s="14">
        <f>IF(T$12=0,0,T28/T$12)</f>
        <v>0</v>
      </c>
      <c r="W28" s="8"/>
      <c r="X28" s="8">
        <f>+P28-T28</f>
        <v>0</v>
      </c>
      <c r="Y28" s="8"/>
      <c r="Z28" s="14">
        <f>IF(T28=0,0,X28/T28)</f>
        <v>0</v>
      </c>
    </row>
    <row r="29" spans="1:26" ht="15" customHeight="1" x14ac:dyDescent="0.3">
      <c r="A29" s="12"/>
      <c r="B29" s="13"/>
      <c r="C29" s="13"/>
      <c r="D29" s="4"/>
      <c r="E29" s="4"/>
      <c r="F29" s="10"/>
      <c r="G29" s="4"/>
      <c r="H29" s="4"/>
      <c r="I29" s="4"/>
      <c r="J29" s="10"/>
      <c r="K29" s="4"/>
      <c r="L29" s="4"/>
      <c r="M29" s="4"/>
      <c r="N29" s="10"/>
      <c r="O29" s="13"/>
      <c r="P29" s="4"/>
      <c r="Q29" s="4"/>
      <c r="R29" s="10"/>
      <c r="S29" s="4"/>
      <c r="T29" s="4"/>
      <c r="U29" s="4"/>
      <c r="V29" s="10"/>
      <c r="W29" s="4"/>
      <c r="X29" s="4"/>
      <c r="Y29" s="4"/>
      <c r="Z29" s="10"/>
    </row>
    <row r="30" spans="1:26" s="63" customFormat="1" ht="15" customHeight="1" x14ac:dyDescent="0.3">
      <c r="A30" s="13"/>
      <c r="B30" s="27" t="s">
        <v>294</v>
      </c>
      <c r="C30" s="27"/>
      <c r="D30" s="30">
        <f>+D26-D28</f>
        <v>0</v>
      </c>
      <c r="E30" s="15"/>
      <c r="F30" s="35">
        <f>IF(D$12=0,0,D30/D$12)</f>
        <v>0</v>
      </c>
      <c r="G30" s="15"/>
      <c r="H30" s="30">
        <f>+H26-H28</f>
        <v>0</v>
      </c>
      <c r="I30" s="15"/>
      <c r="J30" s="35">
        <f>IF(H$12=0,0,H30/H$12)</f>
        <v>0</v>
      </c>
      <c r="K30" s="17"/>
      <c r="L30" s="30">
        <f>D30-H30</f>
        <v>0</v>
      </c>
      <c r="M30" s="17"/>
      <c r="N30" s="35">
        <f>IF(H30=0,0,L30/H30)</f>
        <v>0</v>
      </c>
      <c r="O30" s="28"/>
      <c r="P30" s="30">
        <f>+P26-P28</f>
        <v>-69.290000000000006</v>
      </c>
      <c r="Q30" s="15"/>
      <c r="R30" s="35">
        <f>IF(P$12=0,0,P30/P$12)</f>
        <v>0</v>
      </c>
      <c r="S30" s="15"/>
      <c r="T30" s="30">
        <f>+T26-T28</f>
        <v>0</v>
      </c>
      <c r="U30" s="15"/>
      <c r="V30" s="35">
        <f>IF(T$12=0,0,T30/T$12)</f>
        <v>0</v>
      </c>
      <c r="W30" s="17"/>
      <c r="X30" s="30">
        <f>P30-T30</f>
        <v>-69.290000000000006</v>
      </c>
      <c r="Y30" s="17"/>
      <c r="Z30" s="35">
        <f>IF(T30=0,0,X30/T30)</f>
        <v>0</v>
      </c>
    </row>
    <row r="31" spans="1:26" ht="15" customHeight="1" x14ac:dyDescent="0.3">
      <c r="A31" s="12"/>
      <c r="B31" s="12"/>
      <c r="C31" s="12"/>
      <c r="D31" s="4"/>
      <c r="E31" s="4"/>
      <c r="F31" s="10"/>
      <c r="G31" s="4"/>
      <c r="H31" s="4"/>
      <c r="I31" s="4"/>
      <c r="J31" s="10"/>
      <c r="K31" s="4"/>
      <c r="L31" s="4"/>
      <c r="M31" s="4"/>
      <c r="N31" s="10"/>
      <c r="P31" s="4"/>
      <c r="Q31" s="4"/>
      <c r="R31" s="10"/>
      <c r="S31" s="4"/>
      <c r="T31" s="4"/>
      <c r="U31" s="4"/>
      <c r="V31" s="10"/>
      <c r="W31" s="4"/>
      <c r="X31" s="4"/>
      <c r="Y31" s="4"/>
      <c r="Z31" s="10"/>
    </row>
    <row r="32" spans="1:26" ht="15" customHeight="1" x14ac:dyDescent="0.3">
      <c r="A32" s="12"/>
      <c r="B32" s="12"/>
      <c r="C32" s="12"/>
      <c r="D32" s="4"/>
      <c r="E32" s="4"/>
      <c r="F32" s="10"/>
      <c r="G32" s="4"/>
      <c r="H32" s="4"/>
      <c r="I32" s="4"/>
      <c r="J32" s="10"/>
      <c r="K32" s="4"/>
      <c r="L32" s="4"/>
      <c r="M32" s="4"/>
      <c r="N32" s="10"/>
      <c r="P32" s="4"/>
      <c r="Q32" s="4"/>
      <c r="R32" s="10"/>
      <c r="S32" s="4"/>
      <c r="T32" s="4"/>
      <c r="U32" s="4"/>
      <c r="V32" s="10"/>
      <c r="W32" s="4"/>
      <c r="X32" s="4"/>
      <c r="Y32" s="4"/>
      <c r="Z32" s="10"/>
    </row>
    <row r="33" spans="1:26" s="63" customFormat="1" ht="15" customHeight="1" x14ac:dyDescent="0.3">
      <c r="A33" s="13"/>
      <c r="B33" s="27" t="s">
        <v>297</v>
      </c>
      <c r="C33" s="27"/>
      <c r="D33" s="33">
        <f>SUM(D30:D32)</f>
        <v>0</v>
      </c>
      <c r="E33" s="15"/>
      <c r="F33" s="31">
        <f>IF(D$12=0,0,D33/D$12)</f>
        <v>0</v>
      </c>
      <c r="G33" s="15"/>
      <c r="H33" s="33">
        <f>SUM(H30:H32)</f>
        <v>0</v>
      </c>
      <c r="I33" s="15"/>
      <c r="J33" s="31">
        <f>IF(H$12=0,0,H33/H$12)</f>
        <v>0</v>
      </c>
      <c r="K33" s="17"/>
      <c r="L33" s="33">
        <f>+D33-H33</f>
        <v>0</v>
      </c>
      <c r="M33" s="17"/>
      <c r="N33" s="31">
        <f>IF(H33=0,0,L33/H33)</f>
        <v>0</v>
      </c>
      <c r="O33" s="28"/>
      <c r="P33" s="33">
        <f>SUM(P30:P32)</f>
        <v>-69.290000000000006</v>
      </c>
      <c r="Q33" s="15"/>
      <c r="R33" s="31">
        <f>IF(P$12=0,0,P33/P$12)</f>
        <v>0</v>
      </c>
      <c r="S33" s="15"/>
      <c r="T33" s="33">
        <f>SUM(T30:T32)</f>
        <v>0</v>
      </c>
      <c r="U33" s="15"/>
      <c r="V33" s="31">
        <f>IF(T$12=0,0,T33/T$12)</f>
        <v>0</v>
      </c>
      <c r="W33" s="17"/>
      <c r="X33" s="33">
        <f>+P33-T33</f>
        <v>-69.290000000000006</v>
      </c>
      <c r="Y33" s="17"/>
      <c r="Z33" s="31">
        <f>IF(T33=0,0,X33/T33)</f>
        <v>0</v>
      </c>
    </row>
    <row r="34" spans="1:26" ht="15" customHeight="1" x14ac:dyDescent="0.3">
      <c r="A34" s="12"/>
      <c r="C34" s="12"/>
      <c r="D34" s="19"/>
      <c r="E34" s="19"/>
      <c r="G34" s="19"/>
      <c r="H34" s="19"/>
      <c r="I34" s="19"/>
      <c r="J34" s="41"/>
      <c r="K34" s="19"/>
      <c r="L34" s="19"/>
      <c r="M34" s="19"/>
      <c r="P34" s="19"/>
      <c r="Q34" s="19"/>
      <c r="R34" s="41"/>
      <c r="S34" s="19"/>
      <c r="T34" s="19"/>
      <c r="U34" s="19"/>
      <c r="V34" s="41"/>
      <c r="W34" s="19"/>
      <c r="X34" s="19"/>
    </row>
    <row r="35" spans="1:26" ht="15" customHeight="1" x14ac:dyDescent="0.3">
      <c r="A35" s="12"/>
      <c r="B35" s="50">
        <v>44767.799547766204</v>
      </c>
      <c r="D35" s="19"/>
      <c r="E35" s="19"/>
      <c r="G35" s="19"/>
      <c r="H35" s="19"/>
      <c r="I35" s="19"/>
      <c r="J35" s="41"/>
      <c r="K35" s="19"/>
      <c r="L35" s="19"/>
      <c r="M35" s="19"/>
      <c r="P35" s="19"/>
      <c r="Q35" s="19"/>
      <c r="R35" s="41"/>
      <c r="S35" s="19"/>
      <c r="T35" s="19"/>
      <c r="U35" s="19"/>
      <c r="V35" s="41"/>
      <c r="W35" s="19"/>
      <c r="X35" s="19"/>
    </row>
    <row r="36" spans="1:26" ht="15" customHeight="1" x14ac:dyDescent="0.3">
      <c r="A36" s="12"/>
      <c r="B36" s="57" t="s">
        <v>298</v>
      </c>
      <c r="D36" s="19"/>
      <c r="E36" s="19"/>
      <c r="G36" s="19"/>
      <c r="H36" s="19"/>
      <c r="I36" s="19"/>
      <c r="J36" s="41"/>
      <c r="K36" s="19"/>
      <c r="L36" s="19"/>
      <c r="M36" s="19"/>
      <c r="P36" s="19"/>
      <c r="Q36" s="19"/>
      <c r="R36" s="41"/>
      <c r="S36" s="19"/>
      <c r="T36" s="19"/>
      <c r="U36" s="19"/>
      <c r="V36" s="41"/>
      <c r="W36" s="19"/>
      <c r="X36" s="19"/>
    </row>
    <row r="37" spans="1:26" ht="15" customHeight="1" x14ac:dyDescent="0.3">
      <c r="A37" s="12"/>
      <c r="B37" s="51"/>
      <c r="D37" s="19"/>
      <c r="E37" s="19"/>
      <c r="G37" s="19"/>
      <c r="H37" s="19"/>
      <c r="I37" s="19"/>
      <c r="J37" s="41"/>
      <c r="K37" s="19"/>
      <c r="L37" s="19"/>
      <c r="M37" s="19"/>
      <c r="P37" s="19"/>
      <c r="Q37" s="19"/>
      <c r="R37" s="41"/>
      <c r="S37" s="19"/>
      <c r="T37" s="19"/>
      <c r="U37" s="19"/>
      <c r="V37" s="41"/>
      <c r="W37" s="19"/>
      <c r="X37" s="19"/>
    </row>
    <row r="38" spans="1:26" ht="15" customHeight="1" x14ac:dyDescent="0.3">
      <c r="D38" s="19"/>
      <c r="E38" s="19"/>
      <c r="G38" s="19"/>
      <c r="H38" s="19"/>
      <c r="I38" s="19"/>
      <c r="J38" s="41"/>
      <c r="K38" s="19"/>
      <c r="L38" s="19"/>
      <c r="M38" s="19"/>
      <c r="P38" s="19"/>
      <c r="Q38" s="19"/>
      <c r="R38" s="41"/>
      <c r="S38" s="19"/>
      <c r="T38" s="19"/>
      <c r="U38" s="19"/>
      <c r="V38" s="41"/>
      <c r="W38" s="19"/>
      <c r="X38" s="19"/>
    </row>
  </sheetData>
  <pageMargins left="0.25" right="0.25" top="0.75" bottom="0.75" header="0.3" footer="0.3"/>
  <pageSetup scale="55" orientation="landscape" r:id="rId1"/>
  <headerFooter>
    <oddHeader>&amp;RPre-Audit</oddHeader>
    <oddFooter>&amp;L&amp;C&amp;R</oddFooter>
    <evenHeader>&amp;L&amp;C&amp;R</evenHeader>
    <evenFooter>&amp;L&amp;C&amp;R</even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F0160E-FF97-D7C9-8B73-596208B41ECB}">
  <sheetPr>
    <tabColor rgb="FF92D050"/>
    <outlinePr summaryBelow="0" summaryRight="0"/>
  </sheetPr>
  <dimension ref="A2:Z94"/>
  <sheetViews>
    <sheetView showGridLines="0" defaultGridColor="0" colorId="8" zoomScale="80" workbookViewId="0">
      <pane xSplit="3" ySplit="10" topLeftCell="D11" activePane="bottomRight" state="frozen"/>
      <selection activeCell="D78" sqref="D78"/>
      <selection pane="topRight" activeCell="D78" sqref="D78"/>
      <selection pane="bottomLeft" activeCell="D78" sqref="D78"/>
      <selection pane="bottomRight" activeCell="D78" sqref="D78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3" t="s">
        <v>276</v>
      </c>
    </row>
    <row r="3" spans="1:26" ht="15" customHeight="1" x14ac:dyDescent="0.3">
      <c r="D3" s="53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3" t="str">
        <f>CONCATENATE("Period ",RIGHT(202212,2),", ",2022)</f>
        <v>Period 12,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5"/>
      <c r="D5" s="60">
        <v>44742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5"/>
      <c r="B6" s="47"/>
      <c r="C6" s="47"/>
      <c r="D6" s="25" t="str">
        <f>CONCATENATE("Department ","411"," - ","University Dining")</f>
        <v>Department 411 - University Dining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4"/>
    </row>
    <row r="8" spans="1:26" ht="15" customHeight="1" x14ac:dyDescent="0.3">
      <c r="B8" s="54"/>
    </row>
    <row r="9" spans="1:26" ht="15" customHeight="1" x14ac:dyDescent="0.3">
      <c r="B9" s="12"/>
      <c r="C9" s="12"/>
      <c r="D9" s="16" t="s">
        <v>279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280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ht="15" customHeight="1" x14ac:dyDescent="0.3">
      <c r="A10" s="13"/>
      <c r="B10" s="52"/>
      <c r="C10" s="13"/>
      <c r="D10" s="40" t="s">
        <v>281</v>
      </c>
      <c r="E10" s="32"/>
      <c r="F10" s="39" t="s">
        <v>282</v>
      </c>
      <c r="G10" s="32"/>
      <c r="H10" s="45" t="s">
        <v>283</v>
      </c>
      <c r="I10" s="32"/>
      <c r="J10" s="42" t="s">
        <v>284</v>
      </c>
      <c r="K10" s="13"/>
      <c r="L10" s="40" t="s">
        <v>285</v>
      </c>
      <c r="M10" s="13"/>
      <c r="N10" s="39" t="s">
        <v>286</v>
      </c>
      <c r="O10" s="13"/>
      <c r="P10" s="55" t="s">
        <v>281</v>
      </c>
      <c r="Q10" s="32"/>
      <c r="R10" s="39" t="s">
        <v>282</v>
      </c>
      <c r="S10" s="32"/>
      <c r="T10" s="45" t="s">
        <v>283</v>
      </c>
      <c r="U10" s="32"/>
      <c r="V10" s="42" t="s">
        <v>284</v>
      </c>
      <c r="W10" s="13"/>
      <c r="X10" s="40" t="s">
        <v>285</v>
      </c>
      <c r="Y10" s="13"/>
      <c r="Z10" s="39" t="s">
        <v>286</v>
      </c>
    </row>
    <row r="11" spans="1:26" ht="16.5" customHeight="1" x14ac:dyDescent="0.3">
      <c r="A11" s="12"/>
      <c r="B11" s="58"/>
      <c r="C11" s="12"/>
      <c r="D11" s="12"/>
      <c r="E11" s="12"/>
      <c r="F11" s="10"/>
      <c r="G11" s="12"/>
      <c r="H11" s="12"/>
      <c r="I11" s="12"/>
      <c r="J11" s="43"/>
      <c r="K11" s="12"/>
      <c r="L11" s="12"/>
      <c r="M11" s="12"/>
      <c r="N11" s="10"/>
      <c r="P11" s="12"/>
      <c r="Q11" s="12"/>
      <c r="R11" s="10"/>
      <c r="S11" s="12"/>
      <c r="T11" s="12"/>
      <c r="U11" s="12"/>
      <c r="V11" s="43"/>
      <c r="W11" s="12"/>
      <c r="X11" s="12"/>
      <c r="Y11" s="12"/>
      <c r="Z11" s="10"/>
    </row>
    <row r="12" spans="1:26" s="63" customFormat="1" ht="15" customHeight="1" x14ac:dyDescent="0.3">
      <c r="A12" s="13"/>
      <c r="B12" s="28" t="s">
        <v>287</v>
      </c>
      <c r="C12" s="13"/>
      <c r="D12" s="8">
        <f>SUM(0)</f>
        <v>0</v>
      </c>
      <c r="E12" s="8"/>
      <c r="F12" s="14"/>
      <c r="G12" s="8"/>
      <c r="H12" s="8">
        <f>SUM(0)</f>
        <v>0</v>
      </c>
      <c r="I12" s="8"/>
      <c r="J12" s="14"/>
      <c r="K12" s="8"/>
      <c r="L12" s="8">
        <f>+D12-H12</f>
        <v>0</v>
      </c>
      <c r="M12" s="8"/>
      <c r="N12" s="14">
        <f>IF(H12=0,0,L12/H12)</f>
        <v>0</v>
      </c>
      <c r="O12" s="13"/>
      <c r="P12" s="8">
        <f>SUM(0)</f>
        <v>0</v>
      </c>
      <c r="Q12" s="8"/>
      <c r="R12" s="14"/>
      <c r="S12" s="8"/>
      <c r="T12" s="8">
        <f>SUM(0)</f>
        <v>0</v>
      </c>
      <c r="U12" s="8"/>
      <c r="V12" s="14"/>
      <c r="W12" s="8"/>
      <c r="X12" s="8">
        <f>+P12-T12</f>
        <v>0</v>
      </c>
      <c r="Y12" s="8"/>
      <c r="Z12" s="14">
        <f>IF(T12=0,0,X12/T12)</f>
        <v>0</v>
      </c>
    </row>
    <row r="13" spans="1:26" ht="15" customHeight="1" x14ac:dyDescent="0.3">
      <c r="A13" s="12"/>
      <c r="B13" s="13"/>
      <c r="C13" s="12"/>
      <c r="D13" s="4"/>
      <c r="E13" s="4"/>
      <c r="F13" s="10"/>
      <c r="G13" s="4"/>
      <c r="H13" s="4"/>
      <c r="I13" s="4"/>
      <c r="J13" s="10"/>
      <c r="K13" s="4"/>
      <c r="L13" s="4"/>
      <c r="M13" s="4"/>
      <c r="N13" s="10"/>
      <c r="P13" s="4"/>
      <c r="Q13" s="4"/>
      <c r="R13" s="10"/>
      <c r="S13" s="4"/>
      <c r="T13" s="4"/>
      <c r="U13" s="4"/>
      <c r="V13" s="10"/>
      <c r="W13" s="4"/>
      <c r="X13" s="4"/>
      <c r="Y13" s="4"/>
      <c r="Z13" s="10"/>
    </row>
    <row r="14" spans="1:26" s="63" customFormat="1" ht="15" customHeight="1" x14ac:dyDescent="0.3">
      <c r="A14" s="13"/>
      <c r="B14" s="28" t="s">
        <v>288</v>
      </c>
      <c r="C14" s="13"/>
      <c r="D14" s="8">
        <f>SUM(0)</f>
        <v>0</v>
      </c>
      <c r="E14" s="8"/>
      <c r="F14" s="14">
        <f>IF(D$12=0,0,D14/D$12)</f>
        <v>0</v>
      </c>
      <c r="G14" s="8"/>
      <c r="H14" s="8">
        <f>SUM(0)</f>
        <v>0</v>
      </c>
      <c r="I14" s="8"/>
      <c r="J14" s="14">
        <f>IF(H$12=0,0,H14/H$12)</f>
        <v>0</v>
      </c>
      <c r="K14" s="8"/>
      <c r="L14" s="8">
        <f>+D14-H14</f>
        <v>0</v>
      </c>
      <c r="M14" s="8"/>
      <c r="N14" s="14">
        <f>IF(H14=0,0,L14/H14)</f>
        <v>0</v>
      </c>
      <c r="O14" s="13"/>
      <c r="P14" s="8">
        <f>SUM(0)</f>
        <v>0</v>
      </c>
      <c r="Q14" s="8"/>
      <c r="R14" s="14">
        <f>IF(P$12=0,0,P14/P$12)</f>
        <v>0</v>
      </c>
      <c r="S14" s="8"/>
      <c r="T14" s="8">
        <f>SUM(0)</f>
        <v>0</v>
      </c>
      <c r="U14" s="8"/>
      <c r="V14" s="14">
        <f>IF(T$12=0,0,T14/T$12)</f>
        <v>0</v>
      </c>
      <c r="W14" s="8"/>
      <c r="X14" s="8">
        <f>+P14-T14</f>
        <v>0</v>
      </c>
      <c r="Y14" s="8"/>
      <c r="Z14" s="14">
        <f>IF(T14=0,0,X14/T14)</f>
        <v>0</v>
      </c>
    </row>
    <row r="15" spans="1:26" ht="15" customHeight="1" x14ac:dyDescent="0.3">
      <c r="A15" s="12"/>
      <c r="B15" s="13"/>
      <c r="C15" s="13"/>
      <c r="D15" s="4"/>
      <c r="E15" s="4"/>
      <c r="F15" s="10"/>
      <c r="G15" s="4"/>
      <c r="H15" s="4"/>
      <c r="I15" s="4"/>
      <c r="J15" s="10"/>
      <c r="K15" s="4"/>
      <c r="L15" s="4"/>
      <c r="M15" s="4"/>
      <c r="N15" s="10"/>
      <c r="O15" s="13"/>
      <c r="P15" s="4"/>
      <c r="Q15" s="4"/>
      <c r="R15" s="10"/>
      <c r="S15" s="4"/>
      <c r="T15" s="4"/>
      <c r="U15" s="4"/>
      <c r="V15" s="10"/>
      <c r="W15" s="4"/>
      <c r="X15" s="4"/>
      <c r="Y15" s="4"/>
      <c r="Z15" s="10"/>
    </row>
    <row r="16" spans="1:26" s="63" customFormat="1" ht="15" customHeight="1" x14ac:dyDescent="0.3">
      <c r="A16" s="13"/>
      <c r="B16" s="27" t="s">
        <v>289</v>
      </c>
      <c r="C16" s="27"/>
      <c r="D16" s="23">
        <f>D12-D14</f>
        <v>0</v>
      </c>
      <c r="E16" s="15"/>
      <c r="F16" s="22">
        <f>IF(D$12=0,0,D16/D$12)</f>
        <v>0</v>
      </c>
      <c r="G16" s="15"/>
      <c r="H16" s="23">
        <f>H12-H14</f>
        <v>0</v>
      </c>
      <c r="I16" s="15"/>
      <c r="J16" s="22">
        <f>IF(H$12=0,0,H16/H$12)</f>
        <v>0</v>
      </c>
      <c r="K16" s="17"/>
      <c r="L16" s="23">
        <f>+D16-H16</f>
        <v>0</v>
      </c>
      <c r="M16" s="17"/>
      <c r="N16" s="22">
        <f>IF(H16=0,0,L16/H16)</f>
        <v>0</v>
      </c>
      <c r="O16" s="28"/>
      <c r="P16" s="23">
        <f>P12-P14</f>
        <v>0</v>
      </c>
      <c r="Q16" s="15"/>
      <c r="R16" s="22">
        <f>IF(P$12=0,0,P16/P$12)</f>
        <v>0</v>
      </c>
      <c r="S16" s="15"/>
      <c r="T16" s="23">
        <f>T12-T14</f>
        <v>0</v>
      </c>
      <c r="U16" s="15"/>
      <c r="V16" s="22">
        <f>IF(T$12=0,0,T16/T$12)</f>
        <v>0</v>
      </c>
      <c r="W16" s="17"/>
      <c r="X16" s="23">
        <f>+P16-T16</f>
        <v>0</v>
      </c>
      <c r="Y16" s="17"/>
      <c r="Z16" s="22">
        <f>IF(T16=0,0,X16/T16)</f>
        <v>0</v>
      </c>
    </row>
    <row r="17" spans="1:26" ht="15" customHeight="1" x14ac:dyDescent="0.3">
      <c r="A17" s="12"/>
      <c r="B17" s="13"/>
      <c r="C17" s="12"/>
      <c r="D17" s="2"/>
      <c r="E17" s="2"/>
      <c r="F17" s="5"/>
      <c r="G17" s="2"/>
      <c r="H17" s="2"/>
      <c r="I17" s="2"/>
      <c r="J17" s="5"/>
      <c r="K17" s="2"/>
      <c r="L17" s="2"/>
      <c r="M17" s="2"/>
      <c r="N17" s="5"/>
      <c r="O17" s="36"/>
      <c r="P17" s="2"/>
      <c r="Q17" s="2"/>
      <c r="R17" s="5"/>
      <c r="S17" s="2"/>
      <c r="T17" s="2"/>
      <c r="U17" s="2"/>
      <c r="V17" s="5"/>
      <c r="W17" s="2"/>
      <c r="X17" s="2"/>
      <c r="Y17" s="2"/>
      <c r="Z17" s="5"/>
    </row>
    <row r="18" spans="1:26" s="63" customFormat="1" ht="15" customHeight="1" x14ac:dyDescent="0.3">
      <c r="A18" s="13"/>
      <c r="B18" s="28" t="s">
        <v>290</v>
      </c>
      <c r="C18" s="13"/>
      <c r="D18" s="24" cm="1">
        <f t="array" ref="D18">SUM(OSRRefD22x_0)</f>
        <v>69099.53</v>
      </c>
      <c r="E18" s="24"/>
      <c r="F18" s="34">
        <f t="shared" ref="F18:F49" si="0">IF(D$12=0,0,D18/D$12)</f>
        <v>0</v>
      </c>
      <c r="G18" s="24"/>
      <c r="H18" s="24" cm="1">
        <f t="array" ref="H18">SUM(OSRRefH22x_0)</f>
        <v>41372.132430769241</v>
      </c>
      <c r="I18" s="24"/>
      <c r="J18" s="34">
        <f t="shared" ref="J18:J49" si="1">IF(H$12=0,0,H18/H$12)</f>
        <v>0</v>
      </c>
      <c r="K18" s="8"/>
      <c r="L18" s="24">
        <f t="shared" ref="L18:L49" si="2">+D18-H18</f>
        <v>27727.397569230758</v>
      </c>
      <c r="M18" s="8"/>
      <c r="N18" s="34">
        <f t="shared" ref="N18:N49" si="3">IF(H18=0,0,L18/H18)</f>
        <v>0.67019503081280296</v>
      </c>
      <c r="O18" s="13"/>
      <c r="P18" s="24" cm="1">
        <f t="array" ref="P18">SUM(OSRRefP22x_0)</f>
        <v>637050.65000000014</v>
      </c>
      <c r="Q18" s="24"/>
      <c r="R18" s="34">
        <f t="shared" ref="R18:R49" si="4">IF(P$12=0,0,P18/P$12)</f>
        <v>0</v>
      </c>
      <c r="S18" s="24"/>
      <c r="T18" s="24" cm="1">
        <f t="array" ref="T18">SUM(OSRRefT22x_0)</f>
        <v>536757.72160000005</v>
      </c>
      <c r="U18" s="24"/>
      <c r="V18" s="34">
        <f t="shared" ref="V18:V49" si="5">IF(T$12=0,0,T18/T$12)</f>
        <v>0</v>
      </c>
      <c r="W18" s="8"/>
      <c r="X18" s="24">
        <f t="shared" ref="X18:X49" si="6">+P18-T18</f>
        <v>100292.92840000009</v>
      </c>
      <c r="Y18" s="8"/>
      <c r="Z18" s="34">
        <f t="shared" ref="Z18:Z49" si="7">IF(T18=0,0,X18/T18)</f>
        <v>0.18684953073621527</v>
      </c>
    </row>
    <row r="19" spans="1:26" s="69" customFormat="1" ht="15" customHeight="1" outlineLevel="1" collapsed="1" x14ac:dyDescent="0.3">
      <c r="A19" s="20"/>
      <c r="B19" s="11" t="str">
        <f>CONCATENATE("     ","*Benefits                                         ")</f>
        <v xml:space="preserve">     *Benefits                                         </v>
      </c>
      <c r="C19" s="11"/>
      <c r="D19" s="2">
        <f>SUM(OSRRefD22_0x_0)</f>
        <v>9136.3000000000011</v>
      </c>
      <c r="E19" s="2"/>
      <c r="F19" s="5">
        <f t="shared" si="0"/>
        <v>0</v>
      </c>
      <c r="G19" s="2"/>
      <c r="H19" s="2">
        <f>SUM(OSRRefH22_0x_0)</f>
        <v>8483.2093538461559</v>
      </c>
      <c r="I19" s="2"/>
      <c r="J19" s="5">
        <f t="shared" si="1"/>
        <v>0</v>
      </c>
      <c r="K19" s="2"/>
      <c r="L19" s="2">
        <f t="shared" si="2"/>
        <v>653.09064615384523</v>
      </c>
      <c r="M19" s="2"/>
      <c r="N19" s="5">
        <f t="shared" si="3"/>
        <v>7.6986270043865421E-2</v>
      </c>
      <c r="O19" s="11"/>
      <c r="P19" s="2">
        <f>SUM(OSRRefP22_0x_0)</f>
        <v>126502.11000000002</v>
      </c>
      <c r="Q19" s="2"/>
      <c r="R19" s="5">
        <f t="shared" si="4"/>
        <v>0</v>
      </c>
      <c r="S19" s="2"/>
      <c r="T19" s="2">
        <f>SUM(OSRRefT22_0x_0)</f>
        <v>107167.72160000002</v>
      </c>
      <c r="U19" s="2"/>
      <c r="V19" s="5">
        <f t="shared" si="5"/>
        <v>0</v>
      </c>
      <c r="W19" s="2"/>
      <c r="X19" s="2">
        <f t="shared" si="6"/>
        <v>19334.388399999996</v>
      </c>
      <c r="Y19" s="2"/>
      <c r="Z19" s="5">
        <f t="shared" si="7"/>
        <v>0.18041242373487199</v>
      </c>
    </row>
    <row r="20" spans="1:26" s="70" customFormat="1" ht="15" hidden="1" customHeight="1" outlineLevel="2" x14ac:dyDescent="0.3">
      <c r="A20" s="21"/>
      <c r="B20" s="9" t="str">
        <f>CONCATENATE("          ","6111"," - ","F.I.C.A.")</f>
        <v xml:space="preserve">          6111 - F.I.C.A.</v>
      </c>
      <c r="C20" s="9"/>
      <c r="D20" s="6">
        <v>1589.95</v>
      </c>
      <c r="E20" s="3"/>
      <c r="F20" s="7">
        <f t="shared" si="0"/>
        <v>0</v>
      </c>
      <c r="G20" s="3"/>
      <c r="H20" s="6">
        <v>1358.2308923076901</v>
      </c>
      <c r="I20" s="3"/>
      <c r="J20" s="7">
        <f t="shared" si="1"/>
        <v>0</v>
      </c>
      <c r="K20" s="3"/>
      <c r="L20" s="6">
        <f t="shared" si="2"/>
        <v>231.71910769230999</v>
      </c>
      <c r="M20" s="3"/>
      <c r="N20" s="7">
        <f t="shared" si="3"/>
        <v>0.17060362049239633</v>
      </c>
      <c r="O20" s="9"/>
      <c r="P20" s="6">
        <v>18005.73</v>
      </c>
      <c r="Q20" s="3"/>
      <c r="R20" s="7">
        <f t="shared" si="4"/>
        <v>0</v>
      </c>
      <c r="S20" s="3"/>
      <c r="T20" s="6">
        <v>17657.0016</v>
      </c>
      <c r="U20" s="3"/>
      <c r="V20" s="7">
        <f t="shared" si="5"/>
        <v>0</v>
      </c>
      <c r="W20" s="3"/>
      <c r="X20" s="6">
        <f t="shared" si="6"/>
        <v>348.72839999999997</v>
      </c>
      <c r="Y20" s="3"/>
      <c r="Z20" s="7">
        <f t="shared" si="7"/>
        <v>1.9750148292448474E-2</v>
      </c>
    </row>
    <row r="21" spans="1:26" s="70" customFormat="1" ht="15" hidden="1" customHeight="1" outlineLevel="2" x14ac:dyDescent="0.3">
      <c r="A21" s="21"/>
      <c r="B21" s="9" t="str">
        <f>CONCATENATE("          ","6112"," - ","COMPENSATION INSURANCE")</f>
        <v xml:space="preserve">          6112 - COMPENSATION INSURANCE</v>
      </c>
      <c r="C21" s="9"/>
      <c r="D21" s="6">
        <v>-381.35</v>
      </c>
      <c r="E21" s="3"/>
      <c r="F21" s="7">
        <f t="shared" si="0"/>
        <v>0</v>
      </c>
      <c r="G21" s="3"/>
      <c r="H21" s="6">
        <v>672.63753846153895</v>
      </c>
      <c r="I21" s="3"/>
      <c r="J21" s="7">
        <f t="shared" si="1"/>
        <v>0</v>
      </c>
      <c r="K21" s="3"/>
      <c r="L21" s="6">
        <f t="shared" si="2"/>
        <v>-1053.9875384615389</v>
      </c>
      <c r="M21" s="3"/>
      <c r="N21" s="7">
        <f t="shared" si="3"/>
        <v>-1.5669472460193437</v>
      </c>
      <c r="O21" s="9"/>
      <c r="P21" s="6">
        <v>2371.75</v>
      </c>
      <c r="Q21" s="3"/>
      <c r="R21" s="7">
        <f t="shared" si="4"/>
        <v>0</v>
      </c>
      <c r="S21" s="3"/>
      <c r="T21" s="6">
        <v>8744.2880000000096</v>
      </c>
      <c r="U21" s="3"/>
      <c r="V21" s="7">
        <f t="shared" si="5"/>
        <v>0</v>
      </c>
      <c r="W21" s="3"/>
      <c r="X21" s="6">
        <f t="shared" si="6"/>
        <v>-6372.5380000000096</v>
      </c>
      <c r="Y21" s="3"/>
      <c r="Z21" s="7">
        <f t="shared" si="7"/>
        <v>-0.72876579545412989</v>
      </c>
    </row>
    <row r="22" spans="1:26" s="70" customFormat="1" ht="15" hidden="1" customHeight="1" outlineLevel="2" x14ac:dyDescent="0.3">
      <c r="A22" s="21"/>
      <c r="B22" s="9" t="str">
        <f>CONCATENATE("          ","6113"," - ","GROUP INSURANCE")</f>
        <v xml:space="preserve">          6113 - GROUP INSURANCE</v>
      </c>
      <c r="C22" s="9"/>
      <c r="D22" s="6">
        <v>3042.72</v>
      </c>
      <c r="E22" s="3"/>
      <c r="F22" s="7">
        <f t="shared" si="0"/>
        <v>0</v>
      </c>
      <c r="G22" s="3"/>
      <c r="H22" s="6">
        <v>2764</v>
      </c>
      <c r="I22" s="3"/>
      <c r="J22" s="7">
        <f t="shared" si="1"/>
        <v>0</v>
      </c>
      <c r="K22" s="3"/>
      <c r="L22" s="6">
        <f t="shared" si="2"/>
        <v>278.7199999999998</v>
      </c>
      <c r="M22" s="3"/>
      <c r="N22" s="7">
        <f t="shared" si="3"/>
        <v>0.10083936324167865</v>
      </c>
      <c r="O22" s="9"/>
      <c r="P22" s="6">
        <v>38185.230000000003</v>
      </c>
      <c r="Q22" s="3"/>
      <c r="R22" s="7">
        <f t="shared" si="4"/>
        <v>0</v>
      </c>
      <c r="S22" s="3"/>
      <c r="T22" s="6">
        <v>33168</v>
      </c>
      <c r="U22" s="3"/>
      <c r="V22" s="7">
        <f t="shared" si="5"/>
        <v>0</v>
      </c>
      <c r="W22" s="3"/>
      <c r="X22" s="6">
        <f t="shared" si="6"/>
        <v>5017.2300000000032</v>
      </c>
      <c r="Y22" s="3"/>
      <c r="Z22" s="7">
        <f t="shared" si="7"/>
        <v>0.15126718523878446</v>
      </c>
    </row>
    <row r="23" spans="1:26" s="70" customFormat="1" ht="15" hidden="1" customHeight="1" outlineLevel="2" x14ac:dyDescent="0.3">
      <c r="A23" s="21"/>
      <c r="B23" s="9" t="str">
        <f>CONCATENATE("          ","6114"," - ","STATE UNEMPLOYMENT INSURANCE")</f>
        <v xml:space="preserve">          6114 - STATE UNEMPLOYMENT INSURANCE</v>
      </c>
      <c r="C23" s="9"/>
      <c r="D23" s="6"/>
      <c r="E23" s="3"/>
      <c r="F23" s="7">
        <f t="shared" si="0"/>
        <v>0</v>
      </c>
      <c r="G23" s="3"/>
      <c r="H23" s="6">
        <v>37.270153846153903</v>
      </c>
      <c r="I23" s="3"/>
      <c r="J23" s="7">
        <f t="shared" si="1"/>
        <v>0</v>
      </c>
      <c r="K23" s="3"/>
      <c r="L23" s="6">
        <f t="shared" si="2"/>
        <v>-37.270153846153903</v>
      </c>
      <c r="M23" s="3"/>
      <c r="N23" s="7">
        <f t="shared" si="3"/>
        <v>-1</v>
      </c>
      <c r="O23" s="9"/>
      <c r="P23" s="6">
        <v>554.85</v>
      </c>
      <c r="Q23" s="3"/>
      <c r="R23" s="7">
        <f t="shared" si="4"/>
        <v>0</v>
      </c>
      <c r="S23" s="3"/>
      <c r="T23" s="6">
        <v>484.51200000000102</v>
      </c>
      <c r="U23" s="3"/>
      <c r="V23" s="7">
        <f t="shared" si="5"/>
        <v>0</v>
      </c>
      <c r="W23" s="3"/>
      <c r="X23" s="6">
        <f t="shared" si="6"/>
        <v>70.337999999998999</v>
      </c>
      <c r="Y23" s="3"/>
      <c r="Z23" s="7">
        <f t="shared" si="7"/>
        <v>0.14517287497523043</v>
      </c>
    </row>
    <row r="24" spans="1:26" s="70" customFormat="1" ht="15" hidden="1" customHeight="1" outlineLevel="2" x14ac:dyDescent="0.3">
      <c r="A24" s="21"/>
      <c r="B24" s="9" t="str">
        <f>CONCATENATE("          ","6115"," - ","P.E.R.S.")</f>
        <v xml:space="preserve">          6115 - P.E.R.S.</v>
      </c>
      <c r="C24" s="9"/>
      <c r="D24" s="6">
        <v>2163.85</v>
      </c>
      <c r="E24" s="3"/>
      <c r="F24" s="7">
        <f t="shared" si="0"/>
        <v>0</v>
      </c>
      <c r="G24" s="3"/>
      <c r="H24" s="6">
        <v>1526.3015384615401</v>
      </c>
      <c r="I24" s="3"/>
      <c r="J24" s="7">
        <f t="shared" si="1"/>
        <v>0</v>
      </c>
      <c r="K24" s="3"/>
      <c r="L24" s="6">
        <f t="shared" si="2"/>
        <v>637.54846153845983</v>
      </c>
      <c r="M24" s="3"/>
      <c r="N24" s="7">
        <f t="shared" si="3"/>
        <v>0.41770806454213955</v>
      </c>
      <c r="O24" s="9"/>
      <c r="P24" s="6">
        <v>25106.86</v>
      </c>
      <c r="Q24" s="3"/>
      <c r="R24" s="7">
        <f t="shared" si="4"/>
        <v>0</v>
      </c>
      <c r="S24" s="3"/>
      <c r="T24" s="6">
        <v>19841.919999999998</v>
      </c>
      <c r="U24" s="3"/>
      <c r="V24" s="7">
        <f t="shared" si="5"/>
        <v>0</v>
      </c>
      <c r="W24" s="3"/>
      <c r="X24" s="6">
        <f t="shared" si="6"/>
        <v>5264.9400000000023</v>
      </c>
      <c r="Y24" s="3"/>
      <c r="Z24" s="7">
        <f t="shared" si="7"/>
        <v>0.26534428119859382</v>
      </c>
    </row>
    <row r="25" spans="1:26" s="70" customFormat="1" ht="15" hidden="1" customHeight="1" outlineLevel="2" x14ac:dyDescent="0.3">
      <c r="A25" s="21"/>
      <c r="B25" s="9" t="str">
        <f>CONCATENATE("          ","6116"," - ","EDUCATIONAL BENEFITS")</f>
        <v xml:space="preserve">          6116 - EDUCATIONAL BENEFITS</v>
      </c>
      <c r="C25" s="9"/>
      <c r="D25" s="6"/>
      <c r="E25" s="3"/>
      <c r="F25" s="7">
        <f t="shared" si="0"/>
        <v>0</v>
      </c>
      <c r="G25" s="3"/>
      <c r="H25" s="6">
        <v>0</v>
      </c>
      <c r="I25" s="3"/>
      <c r="J25" s="7">
        <f t="shared" si="1"/>
        <v>0</v>
      </c>
      <c r="K25" s="3"/>
      <c r="L25" s="6">
        <f t="shared" si="2"/>
        <v>0</v>
      </c>
      <c r="M25" s="3"/>
      <c r="N25" s="7">
        <f t="shared" si="3"/>
        <v>0</v>
      </c>
      <c r="O25" s="9"/>
      <c r="P25" s="6"/>
      <c r="Q25" s="3"/>
      <c r="R25" s="7">
        <f t="shared" si="4"/>
        <v>0</v>
      </c>
      <c r="S25" s="3"/>
      <c r="T25" s="6">
        <v>0</v>
      </c>
      <c r="U25" s="3"/>
      <c r="V25" s="7">
        <f t="shared" si="5"/>
        <v>0</v>
      </c>
      <c r="W25" s="3"/>
      <c r="X25" s="6">
        <f t="shared" si="6"/>
        <v>0</v>
      </c>
      <c r="Y25" s="3"/>
      <c r="Z25" s="7">
        <f t="shared" si="7"/>
        <v>0</v>
      </c>
    </row>
    <row r="26" spans="1:26" s="70" customFormat="1" ht="15" hidden="1" customHeight="1" outlineLevel="2" x14ac:dyDescent="0.3">
      <c r="A26" s="21"/>
      <c r="B26" s="9" t="str">
        <f>CONCATENATE("          ","6118"," - ","VACATION")</f>
        <v xml:space="preserve">          6118 - VACATION</v>
      </c>
      <c r="C26" s="9"/>
      <c r="D26" s="6">
        <v>1579.7</v>
      </c>
      <c r="E26" s="3"/>
      <c r="F26" s="7">
        <f t="shared" si="0"/>
        <v>0</v>
      </c>
      <c r="G26" s="3"/>
      <c r="H26" s="6">
        <v>1648</v>
      </c>
      <c r="I26" s="3"/>
      <c r="J26" s="7">
        <f t="shared" si="1"/>
        <v>0</v>
      </c>
      <c r="K26" s="3"/>
      <c r="L26" s="6">
        <f t="shared" si="2"/>
        <v>-68.299999999999955</v>
      </c>
      <c r="M26" s="3"/>
      <c r="N26" s="7">
        <f t="shared" si="3"/>
        <v>-4.1444174757281523E-2</v>
      </c>
      <c r="O26" s="9"/>
      <c r="P26" s="6">
        <v>21928.44</v>
      </c>
      <c r="Q26" s="3"/>
      <c r="R26" s="7">
        <f t="shared" si="4"/>
        <v>0</v>
      </c>
      <c r="S26" s="3"/>
      <c r="T26" s="6">
        <v>21424</v>
      </c>
      <c r="U26" s="3"/>
      <c r="V26" s="7">
        <f t="shared" si="5"/>
        <v>0</v>
      </c>
      <c r="W26" s="3"/>
      <c r="X26" s="6">
        <f t="shared" si="6"/>
        <v>504.43999999999869</v>
      </c>
      <c r="Y26" s="3"/>
      <c r="Z26" s="7">
        <f t="shared" si="7"/>
        <v>2.3545556385362151E-2</v>
      </c>
    </row>
    <row r="27" spans="1:26" s="70" customFormat="1" ht="15" hidden="1" customHeight="1" outlineLevel="2" x14ac:dyDescent="0.3">
      <c r="A27" s="21"/>
      <c r="B27" s="9" t="str">
        <f>CONCATENATE("          ","6119"," - ","SICK LEAVE")</f>
        <v xml:space="preserve">          6119 - SICK LEAVE</v>
      </c>
      <c r="C27" s="9"/>
      <c r="D27" s="6">
        <v>825.9</v>
      </c>
      <c r="E27" s="3"/>
      <c r="F27" s="7">
        <f t="shared" si="0"/>
        <v>0</v>
      </c>
      <c r="G27" s="3"/>
      <c r="H27" s="6">
        <v>126.769230769231</v>
      </c>
      <c r="I27" s="3"/>
      <c r="J27" s="7">
        <f t="shared" si="1"/>
        <v>0</v>
      </c>
      <c r="K27" s="3"/>
      <c r="L27" s="6">
        <f t="shared" si="2"/>
        <v>699.13076923076892</v>
      </c>
      <c r="M27" s="3"/>
      <c r="N27" s="7">
        <f t="shared" si="3"/>
        <v>5.5149878640776571</v>
      </c>
      <c r="O27" s="9"/>
      <c r="P27" s="6">
        <v>16648.169999999998</v>
      </c>
      <c r="Q27" s="3"/>
      <c r="R27" s="7">
        <f t="shared" si="4"/>
        <v>0</v>
      </c>
      <c r="S27" s="3"/>
      <c r="T27" s="6">
        <v>1648</v>
      </c>
      <c r="U27" s="3"/>
      <c r="V27" s="7">
        <f t="shared" si="5"/>
        <v>0</v>
      </c>
      <c r="W27" s="3"/>
      <c r="X27" s="6">
        <f t="shared" si="6"/>
        <v>15000.169999999998</v>
      </c>
      <c r="Y27" s="3"/>
      <c r="Z27" s="7">
        <f t="shared" si="7"/>
        <v>9.1020449029126205</v>
      </c>
    </row>
    <row r="28" spans="1:26" s="70" customFormat="1" ht="15" hidden="1" customHeight="1" outlineLevel="2" x14ac:dyDescent="0.3">
      <c r="A28" s="21"/>
      <c r="B28" s="9" t="str">
        <f>CONCATENATE("          ","6156"," - ","EMPLOYEE MEALS")</f>
        <v xml:space="preserve">          6156 - EMPLOYEE MEALS</v>
      </c>
      <c r="C28" s="9"/>
      <c r="D28" s="6">
        <v>315.52999999999997</v>
      </c>
      <c r="E28" s="3"/>
      <c r="F28" s="7">
        <f t="shared" si="0"/>
        <v>0</v>
      </c>
      <c r="G28" s="3"/>
      <c r="H28" s="6">
        <v>350</v>
      </c>
      <c r="I28" s="3"/>
      <c r="J28" s="7">
        <f t="shared" si="1"/>
        <v>0</v>
      </c>
      <c r="K28" s="3"/>
      <c r="L28" s="6">
        <f t="shared" si="2"/>
        <v>-34.470000000000027</v>
      </c>
      <c r="M28" s="3"/>
      <c r="N28" s="7">
        <f t="shared" si="3"/>
        <v>-9.8485714285714357E-2</v>
      </c>
      <c r="O28" s="9"/>
      <c r="P28" s="6">
        <v>3701.08</v>
      </c>
      <c r="Q28" s="3"/>
      <c r="R28" s="7">
        <f t="shared" si="4"/>
        <v>0</v>
      </c>
      <c r="S28" s="3"/>
      <c r="T28" s="6">
        <v>4200</v>
      </c>
      <c r="U28" s="3"/>
      <c r="V28" s="7">
        <f t="shared" si="5"/>
        <v>0</v>
      </c>
      <c r="W28" s="3"/>
      <c r="X28" s="6">
        <f t="shared" si="6"/>
        <v>-498.92000000000007</v>
      </c>
      <c r="Y28" s="3"/>
      <c r="Z28" s="7">
        <f t="shared" si="7"/>
        <v>-0.11879047619047621</v>
      </c>
    </row>
    <row r="29" spans="1:26" s="69" customFormat="1" ht="15" customHeight="1" outlineLevel="1" collapsed="1" x14ac:dyDescent="0.3">
      <c r="A29" s="20"/>
      <c r="B29" s="11" t="str">
        <f>CONCATENATE("     ","*Payroll                                          ")</f>
        <v xml:space="preserve">     *Payroll                                          </v>
      </c>
      <c r="C29" s="11"/>
      <c r="D29" s="2">
        <f>SUM(OSRRefD22_1x_0)</f>
        <v>10551.19</v>
      </c>
      <c r="E29" s="2"/>
      <c r="F29" s="5">
        <f t="shared" si="0"/>
        <v>0</v>
      </c>
      <c r="G29" s="2"/>
      <c r="H29" s="2">
        <f>SUM(OSRRefH22_1x_0)</f>
        <v>15972.923076923082</v>
      </c>
      <c r="I29" s="2"/>
      <c r="J29" s="5">
        <f t="shared" si="1"/>
        <v>0</v>
      </c>
      <c r="K29" s="2"/>
      <c r="L29" s="2">
        <f t="shared" si="2"/>
        <v>-5421.7330769230812</v>
      </c>
      <c r="M29" s="2"/>
      <c r="N29" s="5">
        <f t="shared" si="3"/>
        <v>-0.33943274194791201</v>
      </c>
      <c r="O29" s="11"/>
      <c r="P29" s="2">
        <f>SUM(OSRRefP22_1x_0)</f>
        <v>204696.29</v>
      </c>
      <c r="Q29" s="2"/>
      <c r="R29" s="5">
        <f t="shared" si="4"/>
        <v>0</v>
      </c>
      <c r="S29" s="2"/>
      <c r="T29" s="2">
        <f>SUM(OSRRefT22_1x_0)</f>
        <v>207648</v>
      </c>
      <c r="U29" s="2"/>
      <c r="V29" s="5">
        <f t="shared" si="5"/>
        <v>0</v>
      </c>
      <c r="W29" s="2"/>
      <c r="X29" s="2">
        <f t="shared" si="6"/>
        <v>-2951.7099999999919</v>
      </c>
      <c r="Y29" s="2"/>
      <c r="Z29" s="5">
        <f t="shared" si="7"/>
        <v>-1.4214969563877291E-2</v>
      </c>
    </row>
    <row r="30" spans="1:26" s="70" customFormat="1" ht="15" hidden="1" customHeight="1" outlineLevel="2" x14ac:dyDescent="0.3">
      <c r="A30" s="21"/>
      <c r="B30" s="9" t="str">
        <f>CONCATENATE("          ","6001"," - ","ADMINISTRATIVE SALARIES")</f>
        <v xml:space="preserve">          6001 - ADMINISTRATIVE SALARIES</v>
      </c>
      <c r="C30" s="9"/>
      <c r="D30" s="6">
        <v>5756.01</v>
      </c>
      <c r="E30" s="3"/>
      <c r="F30" s="7">
        <f t="shared" si="0"/>
        <v>0</v>
      </c>
      <c r="G30" s="3"/>
      <c r="H30" s="6">
        <v>10268.307692307701</v>
      </c>
      <c r="I30" s="3"/>
      <c r="J30" s="7">
        <f t="shared" si="1"/>
        <v>0</v>
      </c>
      <c r="K30" s="3"/>
      <c r="L30" s="6">
        <f t="shared" si="2"/>
        <v>-4512.2976923077003</v>
      </c>
      <c r="M30" s="3"/>
      <c r="N30" s="7">
        <f t="shared" si="3"/>
        <v>-0.43943927544048944</v>
      </c>
      <c r="O30" s="9"/>
      <c r="P30" s="6">
        <v>128912.89</v>
      </c>
      <c r="Q30" s="3"/>
      <c r="R30" s="7">
        <f t="shared" si="4"/>
        <v>0</v>
      </c>
      <c r="S30" s="3"/>
      <c r="T30" s="6">
        <v>133488</v>
      </c>
      <c r="U30" s="3"/>
      <c r="V30" s="7">
        <f t="shared" si="5"/>
        <v>0</v>
      </c>
      <c r="W30" s="3"/>
      <c r="X30" s="6">
        <f t="shared" si="6"/>
        <v>-4575.1100000000006</v>
      </c>
      <c r="Y30" s="3"/>
      <c r="Z30" s="7">
        <f t="shared" si="7"/>
        <v>-3.4273567661512648E-2</v>
      </c>
    </row>
    <row r="31" spans="1:26" s="70" customFormat="1" ht="15" hidden="1" customHeight="1" outlineLevel="2" x14ac:dyDescent="0.3">
      <c r="A31" s="21"/>
      <c r="B31" s="9" t="str">
        <f>CONCATENATE("          ","6002"," - ","STAFF SALARIES")</f>
        <v xml:space="preserve">          6002 - STAFF SALARIES</v>
      </c>
      <c r="C31" s="9"/>
      <c r="D31" s="6">
        <v>4795.18</v>
      </c>
      <c r="E31" s="3"/>
      <c r="F31" s="7">
        <f t="shared" si="0"/>
        <v>0</v>
      </c>
      <c r="G31" s="3"/>
      <c r="H31" s="6">
        <v>5704.6153846153802</v>
      </c>
      <c r="I31" s="3"/>
      <c r="J31" s="7">
        <f t="shared" si="1"/>
        <v>0</v>
      </c>
      <c r="K31" s="3"/>
      <c r="L31" s="6">
        <f t="shared" si="2"/>
        <v>-909.43538461537992</v>
      </c>
      <c r="M31" s="3"/>
      <c r="N31" s="7">
        <f t="shared" si="3"/>
        <v>-0.15942098166127222</v>
      </c>
      <c r="O31" s="9"/>
      <c r="P31" s="6">
        <v>72776.160000000003</v>
      </c>
      <c r="Q31" s="3"/>
      <c r="R31" s="7">
        <f t="shared" si="4"/>
        <v>0</v>
      </c>
      <c r="S31" s="3"/>
      <c r="T31" s="6">
        <v>74160</v>
      </c>
      <c r="U31" s="3"/>
      <c r="V31" s="7">
        <f t="shared" si="5"/>
        <v>0</v>
      </c>
      <c r="W31" s="3"/>
      <c r="X31" s="6">
        <f t="shared" si="6"/>
        <v>-1383.8399999999965</v>
      </c>
      <c r="Y31" s="3"/>
      <c r="Z31" s="7">
        <f t="shared" si="7"/>
        <v>-1.8660194174757234E-2</v>
      </c>
    </row>
    <row r="32" spans="1:26" s="70" customFormat="1" ht="15" hidden="1" customHeight="1" outlineLevel="2" x14ac:dyDescent="0.3">
      <c r="A32" s="21"/>
      <c r="B32" s="9" t="str">
        <f>CONCATENATE("          ","6003"," - ","STAFF HOURLY-9 MONTH")</f>
        <v xml:space="preserve">          6003 - STAFF HOURLY-9 MONTH</v>
      </c>
      <c r="C32" s="9"/>
      <c r="D32" s="6"/>
      <c r="E32" s="3"/>
      <c r="F32" s="7">
        <f t="shared" si="0"/>
        <v>0</v>
      </c>
      <c r="G32" s="3"/>
      <c r="H32" s="6">
        <v>0</v>
      </c>
      <c r="I32" s="3"/>
      <c r="J32" s="7">
        <f t="shared" si="1"/>
        <v>0</v>
      </c>
      <c r="K32" s="3"/>
      <c r="L32" s="6">
        <f t="shared" si="2"/>
        <v>0</v>
      </c>
      <c r="M32" s="3"/>
      <c r="N32" s="7">
        <f t="shared" si="3"/>
        <v>0</v>
      </c>
      <c r="O32" s="9"/>
      <c r="P32" s="6"/>
      <c r="Q32" s="3"/>
      <c r="R32" s="7">
        <f t="shared" si="4"/>
        <v>0</v>
      </c>
      <c r="S32" s="3"/>
      <c r="T32" s="6">
        <v>0</v>
      </c>
      <c r="U32" s="3"/>
      <c r="V32" s="7">
        <f t="shared" si="5"/>
        <v>0</v>
      </c>
      <c r="W32" s="3"/>
      <c r="X32" s="6">
        <f t="shared" si="6"/>
        <v>0</v>
      </c>
      <c r="Y32" s="3"/>
      <c r="Z32" s="7">
        <f t="shared" si="7"/>
        <v>0</v>
      </c>
    </row>
    <row r="33" spans="1:26" s="70" customFormat="1" ht="15" hidden="1" customHeight="1" outlineLevel="2" x14ac:dyDescent="0.3">
      <c r="A33" s="21"/>
      <c r="B33" s="9" t="str">
        <f>CONCATENATE("          ","6004"," - ","STAFF HOURLY")</f>
        <v xml:space="preserve">          6004 - STAFF HOURLY</v>
      </c>
      <c r="C33" s="9"/>
      <c r="D33" s="6"/>
      <c r="E33" s="3"/>
      <c r="F33" s="7">
        <f t="shared" si="0"/>
        <v>0</v>
      </c>
      <c r="G33" s="3"/>
      <c r="H33" s="6">
        <v>0</v>
      </c>
      <c r="I33" s="3"/>
      <c r="J33" s="7">
        <f t="shared" si="1"/>
        <v>0</v>
      </c>
      <c r="K33" s="3"/>
      <c r="L33" s="6">
        <f t="shared" si="2"/>
        <v>0</v>
      </c>
      <c r="M33" s="3"/>
      <c r="N33" s="7">
        <f t="shared" si="3"/>
        <v>0</v>
      </c>
      <c r="O33" s="9"/>
      <c r="P33" s="6">
        <v>1380.76</v>
      </c>
      <c r="Q33" s="3"/>
      <c r="R33" s="7">
        <f t="shared" si="4"/>
        <v>0</v>
      </c>
      <c r="S33" s="3"/>
      <c r="T33" s="6">
        <v>0</v>
      </c>
      <c r="U33" s="3"/>
      <c r="V33" s="7">
        <f t="shared" si="5"/>
        <v>0</v>
      </c>
      <c r="W33" s="3"/>
      <c r="X33" s="6">
        <f t="shared" si="6"/>
        <v>1380.76</v>
      </c>
      <c r="Y33" s="3"/>
      <c r="Z33" s="7">
        <f t="shared" si="7"/>
        <v>0</v>
      </c>
    </row>
    <row r="34" spans="1:26" s="70" customFormat="1" ht="15" hidden="1" customHeight="1" outlineLevel="2" x14ac:dyDescent="0.3">
      <c r="A34" s="21"/>
      <c r="B34" s="9" t="str">
        <f>CONCATENATE("          ","6005"," - ","TEMPORARY WAGES-HOURLY")</f>
        <v xml:space="preserve">          6005 - TEMPORARY WAGES-HOURLY</v>
      </c>
      <c r="C34" s="9"/>
      <c r="D34" s="6"/>
      <c r="E34" s="3"/>
      <c r="F34" s="7">
        <f t="shared" si="0"/>
        <v>0</v>
      </c>
      <c r="G34" s="3"/>
      <c r="H34" s="6">
        <v>0</v>
      </c>
      <c r="I34" s="3"/>
      <c r="J34" s="7">
        <f t="shared" si="1"/>
        <v>0</v>
      </c>
      <c r="K34" s="3"/>
      <c r="L34" s="6">
        <f t="shared" si="2"/>
        <v>0</v>
      </c>
      <c r="M34" s="3"/>
      <c r="N34" s="7">
        <f t="shared" si="3"/>
        <v>0</v>
      </c>
      <c r="O34" s="9"/>
      <c r="P34" s="6">
        <v>1626.48</v>
      </c>
      <c r="Q34" s="3"/>
      <c r="R34" s="7">
        <f t="shared" si="4"/>
        <v>0</v>
      </c>
      <c r="S34" s="3"/>
      <c r="T34" s="6">
        <v>0</v>
      </c>
      <c r="U34" s="3"/>
      <c r="V34" s="7">
        <f t="shared" si="5"/>
        <v>0</v>
      </c>
      <c r="W34" s="3"/>
      <c r="X34" s="6">
        <f t="shared" si="6"/>
        <v>1626.48</v>
      </c>
      <c r="Y34" s="3"/>
      <c r="Z34" s="7">
        <f t="shared" si="7"/>
        <v>0</v>
      </c>
    </row>
    <row r="35" spans="1:26" s="70" customFormat="1" ht="15" hidden="1" customHeight="1" outlineLevel="2" x14ac:dyDescent="0.3">
      <c r="A35" s="21"/>
      <c r="B35" s="9" t="str">
        <f>CONCATENATE("          ","6006"," - ","TEMPORARY PART TIME")</f>
        <v xml:space="preserve">          6006 - TEMPORARY PART TIME</v>
      </c>
      <c r="C35" s="9"/>
      <c r="D35" s="6"/>
      <c r="E35" s="3"/>
      <c r="F35" s="7">
        <f t="shared" si="0"/>
        <v>0</v>
      </c>
      <c r="G35" s="3"/>
      <c r="H35" s="6">
        <v>0</v>
      </c>
      <c r="I35" s="3"/>
      <c r="J35" s="7">
        <f t="shared" si="1"/>
        <v>0</v>
      </c>
      <c r="K35" s="3"/>
      <c r="L35" s="6">
        <f t="shared" si="2"/>
        <v>0</v>
      </c>
      <c r="M35" s="3"/>
      <c r="N35" s="7">
        <f t="shared" si="3"/>
        <v>0</v>
      </c>
      <c r="O35" s="9"/>
      <c r="P35" s="6"/>
      <c r="Q35" s="3"/>
      <c r="R35" s="7">
        <f t="shared" si="4"/>
        <v>0</v>
      </c>
      <c r="S35" s="3"/>
      <c r="T35" s="6">
        <v>0</v>
      </c>
      <c r="U35" s="3"/>
      <c r="V35" s="7">
        <f t="shared" si="5"/>
        <v>0</v>
      </c>
      <c r="W35" s="3"/>
      <c r="X35" s="6">
        <f t="shared" si="6"/>
        <v>0</v>
      </c>
      <c r="Y35" s="3"/>
      <c r="Z35" s="7">
        <f t="shared" si="7"/>
        <v>0</v>
      </c>
    </row>
    <row r="36" spans="1:26" s="70" customFormat="1" ht="15" hidden="1" customHeight="1" outlineLevel="2" x14ac:dyDescent="0.3">
      <c r="A36" s="21"/>
      <c r="B36" s="9" t="str">
        <f>CONCATENATE("          ","6007"," - ","STUDENT HOURLY")</f>
        <v xml:space="preserve">          6007 - STUDENT HOURLY</v>
      </c>
      <c r="C36" s="9"/>
      <c r="D36" s="6"/>
      <c r="E36" s="3"/>
      <c r="F36" s="7">
        <f t="shared" si="0"/>
        <v>0</v>
      </c>
      <c r="G36" s="3"/>
      <c r="H36" s="6">
        <v>0</v>
      </c>
      <c r="I36" s="3"/>
      <c r="J36" s="7">
        <f t="shared" si="1"/>
        <v>0</v>
      </c>
      <c r="K36" s="3"/>
      <c r="L36" s="6">
        <f t="shared" si="2"/>
        <v>0</v>
      </c>
      <c r="M36" s="3"/>
      <c r="N36" s="7">
        <f t="shared" si="3"/>
        <v>0</v>
      </c>
      <c r="O36" s="9"/>
      <c r="P36" s="6">
        <v>0</v>
      </c>
      <c r="Q36" s="3"/>
      <c r="R36" s="7">
        <f t="shared" si="4"/>
        <v>0</v>
      </c>
      <c r="S36" s="3"/>
      <c r="T36" s="6">
        <v>0</v>
      </c>
      <c r="U36" s="3"/>
      <c r="V36" s="7">
        <f t="shared" si="5"/>
        <v>0</v>
      </c>
      <c r="W36" s="3"/>
      <c r="X36" s="6">
        <f t="shared" si="6"/>
        <v>0</v>
      </c>
      <c r="Y36" s="3"/>
      <c r="Z36" s="7">
        <f t="shared" si="7"/>
        <v>0</v>
      </c>
    </row>
    <row r="37" spans="1:26" s="70" customFormat="1" ht="15" hidden="1" customHeight="1" outlineLevel="2" x14ac:dyDescent="0.3">
      <c r="A37" s="21"/>
      <c r="B37" s="9" t="str">
        <f>CONCATENATE("          ","6008"," - ","STUDENT HOURLY-FICA EXEMPT")</f>
        <v xml:space="preserve">          6008 - STUDENT HOURLY-FICA EXEMPT</v>
      </c>
      <c r="C37" s="9"/>
      <c r="D37" s="6"/>
      <c r="E37" s="3"/>
      <c r="F37" s="7">
        <f t="shared" si="0"/>
        <v>0</v>
      </c>
      <c r="G37" s="3"/>
      <c r="H37" s="6">
        <v>0</v>
      </c>
      <c r="I37" s="3"/>
      <c r="J37" s="7">
        <f t="shared" si="1"/>
        <v>0</v>
      </c>
      <c r="K37" s="3"/>
      <c r="L37" s="6">
        <f t="shared" si="2"/>
        <v>0</v>
      </c>
      <c r="M37" s="3"/>
      <c r="N37" s="7">
        <f t="shared" si="3"/>
        <v>0</v>
      </c>
      <c r="O37" s="9"/>
      <c r="P37" s="6"/>
      <c r="Q37" s="3"/>
      <c r="R37" s="7">
        <f t="shared" si="4"/>
        <v>0</v>
      </c>
      <c r="S37" s="3"/>
      <c r="T37" s="6">
        <v>0</v>
      </c>
      <c r="U37" s="3"/>
      <c r="V37" s="7">
        <f t="shared" si="5"/>
        <v>0</v>
      </c>
      <c r="W37" s="3"/>
      <c r="X37" s="6">
        <f t="shared" si="6"/>
        <v>0</v>
      </c>
      <c r="Y37" s="3"/>
      <c r="Z37" s="7">
        <f t="shared" si="7"/>
        <v>0</v>
      </c>
    </row>
    <row r="38" spans="1:26" s="70" customFormat="1" ht="15" hidden="1" customHeight="1" outlineLevel="2" x14ac:dyDescent="0.3">
      <c r="A38" s="21"/>
      <c r="B38" s="9" t="str">
        <f>CONCATENATE("          ","6009"," - ","TEMPORARY-SEASONAL")</f>
        <v xml:space="preserve">          6009 - TEMPORARY-SEASONAL</v>
      </c>
      <c r="C38" s="9"/>
      <c r="D38" s="6"/>
      <c r="E38" s="3"/>
      <c r="F38" s="7">
        <f t="shared" si="0"/>
        <v>0</v>
      </c>
      <c r="G38" s="3"/>
      <c r="H38" s="6">
        <v>0</v>
      </c>
      <c r="I38" s="3"/>
      <c r="J38" s="7">
        <f t="shared" si="1"/>
        <v>0</v>
      </c>
      <c r="K38" s="3"/>
      <c r="L38" s="6">
        <f t="shared" si="2"/>
        <v>0</v>
      </c>
      <c r="M38" s="3"/>
      <c r="N38" s="7">
        <f t="shared" si="3"/>
        <v>0</v>
      </c>
      <c r="O38" s="9"/>
      <c r="P38" s="6"/>
      <c r="Q38" s="3"/>
      <c r="R38" s="7">
        <f t="shared" si="4"/>
        <v>0</v>
      </c>
      <c r="S38" s="3"/>
      <c r="T38" s="6">
        <v>0</v>
      </c>
      <c r="U38" s="3"/>
      <c r="V38" s="7">
        <f t="shared" si="5"/>
        <v>0</v>
      </c>
      <c r="W38" s="3"/>
      <c r="X38" s="6">
        <f t="shared" si="6"/>
        <v>0</v>
      </c>
      <c r="Y38" s="3"/>
      <c r="Z38" s="7">
        <f t="shared" si="7"/>
        <v>0</v>
      </c>
    </row>
    <row r="39" spans="1:26" s="70" customFormat="1" ht="15" hidden="1" customHeight="1" outlineLevel="2" x14ac:dyDescent="0.3">
      <c r="A39" s="21"/>
      <c r="B39" s="9" t="str">
        <f>CONCATENATE("          ","6010"," - ","GRATUITY")</f>
        <v xml:space="preserve">          6010 - GRATUITY</v>
      </c>
      <c r="C39" s="9"/>
      <c r="D39" s="6"/>
      <c r="E39" s="3"/>
      <c r="F39" s="7">
        <f t="shared" si="0"/>
        <v>0</v>
      </c>
      <c r="G39" s="3"/>
      <c r="H39" s="6">
        <v>0</v>
      </c>
      <c r="I39" s="3"/>
      <c r="J39" s="7">
        <f t="shared" si="1"/>
        <v>0</v>
      </c>
      <c r="K39" s="3"/>
      <c r="L39" s="6">
        <f t="shared" si="2"/>
        <v>0</v>
      </c>
      <c r="M39" s="3"/>
      <c r="N39" s="7">
        <f t="shared" si="3"/>
        <v>0</v>
      </c>
      <c r="O39" s="9"/>
      <c r="P39" s="6"/>
      <c r="Q39" s="3"/>
      <c r="R39" s="7">
        <f t="shared" si="4"/>
        <v>0</v>
      </c>
      <c r="S39" s="3"/>
      <c r="T39" s="6">
        <v>0</v>
      </c>
      <c r="U39" s="3"/>
      <c r="V39" s="7">
        <f t="shared" si="5"/>
        <v>0</v>
      </c>
      <c r="W39" s="3"/>
      <c r="X39" s="6">
        <f t="shared" si="6"/>
        <v>0</v>
      </c>
      <c r="Y39" s="3"/>
      <c r="Z39" s="7">
        <f t="shared" si="7"/>
        <v>0</v>
      </c>
    </row>
    <row r="40" spans="1:26" s="69" customFormat="1" ht="15" customHeight="1" outlineLevel="1" collapsed="1" x14ac:dyDescent="0.3">
      <c r="A40" s="20"/>
      <c r="B40" s="11" t="str">
        <f>CONCATENATE("     ","Bank/card Fees                                    ")</f>
        <v xml:space="preserve">     Bank/card Fees                                    </v>
      </c>
      <c r="C40" s="11"/>
      <c r="D40" s="2">
        <f>SUM(OSRRefD22_2x_0)</f>
        <v>11.02</v>
      </c>
      <c r="E40" s="2"/>
      <c r="F40" s="5">
        <f t="shared" si="0"/>
        <v>0</v>
      </c>
      <c r="G40" s="2"/>
      <c r="H40" s="2">
        <f>SUM(OSRRefH22_2x_0)</f>
        <v>839</v>
      </c>
      <c r="I40" s="2"/>
      <c r="J40" s="5">
        <f t="shared" si="1"/>
        <v>0</v>
      </c>
      <c r="K40" s="2"/>
      <c r="L40" s="2">
        <f t="shared" si="2"/>
        <v>-827.98</v>
      </c>
      <c r="M40" s="2"/>
      <c r="N40" s="5">
        <f t="shared" si="3"/>
        <v>-0.98686531585220505</v>
      </c>
      <c r="O40" s="11"/>
      <c r="P40" s="2">
        <f>SUM(OSRRefP22_2x_0)</f>
        <v>2129.25</v>
      </c>
      <c r="Q40" s="2"/>
      <c r="R40" s="5">
        <f t="shared" si="4"/>
        <v>0</v>
      </c>
      <c r="S40" s="2"/>
      <c r="T40" s="2">
        <f>SUM(OSRRefT22_2x_0)</f>
        <v>10068</v>
      </c>
      <c r="U40" s="2"/>
      <c r="V40" s="5">
        <f t="shared" si="5"/>
        <v>0</v>
      </c>
      <c r="W40" s="2"/>
      <c r="X40" s="2">
        <f t="shared" si="6"/>
        <v>-7938.75</v>
      </c>
      <c r="Y40" s="2"/>
      <c r="Z40" s="5">
        <f t="shared" si="7"/>
        <v>-0.78851311084624554</v>
      </c>
    </row>
    <row r="41" spans="1:26" s="70" customFormat="1" ht="15" hidden="1" customHeight="1" outlineLevel="2" x14ac:dyDescent="0.3">
      <c r="A41" s="21"/>
      <c r="B41" s="9" t="str">
        <f>CONCATENATE("          ","6381"," - ","BANK/CREDIT CARD FEES")</f>
        <v xml:space="preserve">          6381 - BANK/CREDIT CARD FEES</v>
      </c>
      <c r="C41" s="9"/>
      <c r="D41" s="6">
        <v>11.02</v>
      </c>
      <c r="E41" s="3"/>
      <c r="F41" s="7">
        <f t="shared" si="0"/>
        <v>0</v>
      </c>
      <c r="G41" s="3"/>
      <c r="H41" s="6">
        <v>839</v>
      </c>
      <c r="I41" s="3"/>
      <c r="J41" s="7">
        <f t="shared" si="1"/>
        <v>0</v>
      </c>
      <c r="K41" s="3"/>
      <c r="L41" s="6">
        <f t="shared" si="2"/>
        <v>-827.98</v>
      </c>
      <c r="M41" s="3"/>
      <c r="N41" s="7">
        <f t="shared" si="3"/>
        <v>-0.98686531585220505</v>
      </c>
      <c r="O41" s="9"/>
      <c r="P41" s="6">
        <v>2129.25</v>
      </c>
      <c r="Q41" s="3"/>
      <c r="R41" s="7">
        <f t="shared" si="4"/>
        <v>0</v>
      </c>
      <c r="S41" s="3"/>
      <c r="T41" s="6">
        <v>10068</v>
      </c>
      <c r="U41" s="3"/>
      <c r="V41" s="7">
        <f t="shared" si="5"/>
        <v>0</v>
      </c>
      <c r="W41" s="3"/>
      <c r="X41" s="6">
        <f t="shared" si="6"/>
        <v>-7938.75</v>
      </c>
      <c r="Y41" s="3"/>
      <c r="Z41" s="7">
        <f t="shared" si="7"/>
        <v>-0.78851311084624554</v>
      </c>
    </row>
    <row r="42" spans="1:26" s="69" customFormat="1" ht="15" customHeight="1" outlineLevel="1" collapsed="1" x14ac:dyDescent="0.3">
      <c r="A42" s="20"/>
      <c r="B42" s="11" t="str">
        <f>CONCATENATE("     ","Depreciation                                      ")</f>
        <v xml:space="preserve">     Depreciation                                      </v>
      </c>
      <c r="C42" s="11"/>
      <c r="D42" s="2">
        <f>SUM(OSRRefD22_3x_0)</f>
        <v>7700.59</v>
      </c>
      <c r="E42" s="2"/>
      <c r="F42" s="5">
        <f t="shared" si="0"/>
        <v>0</v>
      </c>
      <c r="G42" s="2"/>
      <c r="H42" s="2">
        <f>SUM(OSRRefH22_3x_0)</f>
        <v>4757</v>
      </c>
      <c r="I42" s="2"/>
      <c r="J42" s="5">
        <f t="shared" si="1"/>
        <v>0</v>
      </c>
      <c r="K42" s="2"/>
      <c r="L42" s="2">
        <f t="shared" si="2"/>
        <v>2943.59</v>
      </c>
      <c r="M42" s="2"/>
      <c r="N42" s="5">
        <f t="shared" si="3"/>
        <v>0.61879125499264243</v>
      </c>
      <c r="O42" s="11"/>
      <c r="P42" s="2">
        <f>SUM(OSRRefP22_3x_0)</f>
        <v>70090.3</v>
      </c>
      <c r="Q42" s="2"/>
      <c r="R42" s="5">
        <f t="shared" si="4"/>
        <v>0</v>
      </c>
      <c r="S42" s="2"/>
      <c r="T42" s="2">
        <f>SUM(OSRRefT22_3x_0)</f>
        <v>61684</v>
      </c>
      <c r="U42" s="2"/>
      <c r="V42" s="5">
        <f t="shared" si="5"/>
        <v>0</v>
      </c>
      <c r="W42" s="2"/>
      <c r="X42" s="2">
        <f t="shared" si="6"/>
        <v>8406.3000000000029</v>
      </c>
      <c r="Y42" s="2"/>
      <c r="Z42" s="5">
        <f t="shared" si="7"/>
        <v>0.13628007262823427</v>
      </c>
    </row>
    <row r="43" spans="1:26" s="70" customFormat="1" ht="15" hidden="1" customHeight="1" outlineLevel="2" x14ac:dyDescent="0.3">
      <c r="A43" s="21"/>
      <c r="B43" s="9" t="str">
        <f>CONCATENATE("          ","6321"," - ","BUILDING DEPRECIATION")</f>
        <v xml:space="preserve">          6321 - BUILDING DEPRECIATION</v>
      </c>
      <c r="C43" s="9"/>
      <c r="D43" s="6">
        <v>1822.7</v>
      </c>
      <c r="E43" s="3"/>
      <c r="F43" s="7">
        <f t="shared" si="0"/>
        <v>0</v>
      </c>
      <c r="G43" s="3"/>
      <c r="H43" s="6"/>
      <c r="I43" s="3"/>
      <c r="J43" s="7">
        <f t="shared" si="1"/>
        <v>0</v>
      </c>
      <c r="K43" s="3"/>
      <c r="L43" s="6">
        <f t="shared" si="2"/>
        <v>1822.7</v>
      </c>
      <c r="M43" s="3"/>
      <c r="N43" s="7">
        <f t="shared" si="3"/>
        <v>0</v>
      </c>
      <c r="O43" s="9"/>
      <c r="P43" s="6">
        <v>21872.18</v>
      </c>
      <c r="Q43" s="3"/>
      <c r="R43" s="7">
        <f t="shared" si="4"/>
        <v>0</v>
      </c>
      <c r="S43" s="3"/>
      <c r="T43" s="6"/>
      <c r="U43" s="3"/>
      <c r="V43" s="7">
        <f t="shared" si="5"/>
        <v>0</v>
      </c>
      <c r="W43" s="3"/>
      <c r="X43" s="6">
        <f t="shared" si="6"/>
        <v>21872.18</v>
      </c>
      <c r="Y43" s="3"/>
      <c r="Z43" s="7">
        <f t="shared" si="7"/>
        <v>0</v>
      </c>
    </row>
    <row r="44" spans="1:26" s="70" customFormat="1" ht="15" hidden="1" customHeight="1" outlineLevel="2" x14ac:dyDescent="0.3">
      <c r="A44" s="21"/>
      <c r="B44" s="9" t="str">
        <f>CONCATENATE("          ","6322"," - ","EQUIPMENT DEPRECIATION EXPENSE")</f>
        <v xml:space="preserve">          6322 - EQUIPMENT DEPRECIATION EXPENSE</v>
      </c>
      <c r="C44" s="9"/>
      <c r="D44" s="6">
        <v>5877.89</v>
      </c>
      <c r="E44" s="3"/>
      <c r="F44" s="7">
        <f t="shared" si="0"/>
        <v>0</v>
      </c>
      <c r="G44" s="3"/>
      <c r="H44" s="6">
        <v>4757</v>
      </c>
      <c r="I44" s="3"/>
      <c r="J44" s="7">
        <f t="shared" si="1"/>
        <v>0</v>
      </c>
      <c r="K44" s="3"/>
      <c r="L44" s="6">
        <f t="shared" si="2"/>
        <v>1120.8900000000003</v>
      </c>
      <c r="M44" s="3"/>
      <c r="N44" s="7">
        <f t="shared" si="3"/>
        <v>0.23562959848644111</v>
      </c>
      <c r="O44" s="9"/>
      <c r="P44" s="6">
        <v>48218.12</v>
      </c>
      <c r="Q44" s="3"/>
      <c r="R44" s="7">
        <f t="shared" si="4"/>
        <v>0</v>
      </c>
      <c r="S44" s="3"/>
      <c r="T44" s="6">
        <v>61684</v>
      </c>
      <c r="U44" s="3"/>
      <c r="V44" s="7">
        <f t="shared" si="5"/>
        <v>0</v>
      </c>
      <c r="W44" s="3"/>
      <c r="X44" s="6">
        <f t="shared" si="6"/>
        <v>-13465.879999999997</v>
      </c>
      <c r="Y44" s="3"/>
      <c r="Z44" s="7">
        <f t="shared" si="7"/>
        <v>-0.21830426042409698</v>
      </c>
    </row>
    <row r="45" spans="1:26" s="69" customFormat="1" ht="15" customHeight="1" outlineLevel="1" collapsed="1" x14ac:dyDescent="0.3">
      <c r="A45" s="20"/>
      <c r="B45" s="11" t="str">
        <f>CONCATENATE("     ","Employees' Appreciation                           ")</f>
        <v xml:space="preserve">     Employees' Appreciation                           </v>
      </c>
      <c r="C45" s="11"/>
      <c r="D45" s="2">
        <f>SUM(OSRRefD22_4x_0)</f>
        <v>0</v>
      </c>
      <c r="E45" s="2"/>
      <c r="F45" s="5">
        <f t="shared" si="0"/>
        <v>0</v>
      </c>
      <c r="G45" s="2"/>
      <c r="H45" s="2">
        <f>SUM(OSRRefH22_4x_0)</f>
        <v>0</v>
      </c>
      <c r="I45" s="2"/>
      <c r="J45" s="5">
        <f t="shared" si="1"/>
        <v>0</v>
      </c>
      <c r="K45" s="2"/>
      <c r="L45" s="2">
        <f t="shared" si="2"/>
        <v>0</v>
      </c>
      <c r="M45" s="2"/>
      <c r="N45" s="5">
        <f t="shared" si="3"/>
        <v>0</v>
      </c>
      <c r="O45" s="11"/>
      <c r="P45" s="2">
        <f>SUM(OSRRefP22_4x_0)</f>
        <v>18</v>
      </c>
      <c r="Q45" s="2"/>
      <c r="R45" s="5">
        <f t="shared" si="4"/>
        <v>0</v>
      </c>
      <c r="S45" s="2"/>
      <c r="T45" s="2">
        <f>SUM(OSRRefT22_4x_0)</f>
        <v>0</v>
      </c>
      <c r="U45" s="2"/>
      <c r="V45" s="5">
        <f t="shared" si="5"/>
        <v>0</v>
      </c>
      <c r="W45" s="2"/>
      <c r="X45" s="2">
        <f t="shared" si="6"/>
        <v>18</v>
      </c>
      <c r="Y45" s="2"/>
      <c r="Z45" s="5">
        <f t="shared" si="7"/>
        <v>0</v>
      </c>
    </row>
    <row r="46" spans="1:26" s="70" customFormat="1" ht="15" hidden="1" customHeight="1" outlineLevel="2" x14ac:dyDescent="0.3">
      <c r="A46" s="21"/>
      <c r="B46" s="9" t="str">
        <f>CONCATENATE("          ","6277"," - ","EMPLOYEE APPRECIATION")</f>
        <v xml:space="preserve">          6277 - EMPLOYEE APPRECIATION</v>
      </c>
      <c r="C46" s="9"/>
      <c r="D46" s="6"/>
      <c r="E46" s="3"/>
      <c r="F46" s="7">
        <f t="shared" si="0"/>
        <v>0</v>
      </c>
      <c r="G46" s="3"/>
      <c r="H46" s="6"/>
      <c r="I46" s="3"/>
      <c r="J46" s="7">
        <f t="shared" si="1"/>
        <v>0</v>
      </c>
      <c r="K46" s="3"/>
      <c r="L46" s="6">
        <f t="shared" si="2"/>
        <v>0</v>
      </c>
      <c r="M46" s="3"/>
      <c r="N46" s="7">
        <f t="shared" si="3"/>
        <v>0</v>
      </c>
      <c r="O46" s="9"/>
      <c r="P46" s="6">
        <v>18</v>
      </c>
      <c r="Q46" s="3"/>
      <c r="R46" s="7">
        <f t="shared" si="4"/>
        <v>0</v>
      </c>
      <c r="S46" s="3"/>
      <c r="T46" s="6"/>
      <c r="U46" s="3"/>
      <c r="V46" s="7">
        <f t="shared" si="5"/>
        <v>0</v>
      </c>
      <c r="W46" s="3"/>
      <c r="X46" s="6">
        <f t="shared" si="6"/>
        <v>18</v>
      </c>
      <c r="Y46" s="3"/>
      <c r="Z46" s="7">
        <f t="shared" si="7"/>
        <v>0</v>
      </c>
    </row>
    <row r="47" spans="1:26" s="69" customFormat="1" ht="15" customHeight="1" outlineLevel="1" collapsed="1" x14ac:dyDescent="0.3">
      <c r="A47" s="20"/>
      <c r="B47" s="11" t="str">
        <f>CONCATENATE("     ","Equipment Rental                                  ")</f>
        <v xml:space="preserve">     Equipment Rental                                  </v>
      </c>
      <c r="C47" s="11"/>
      <c r="D47" s="2">
        <f>SUM(OSRRefD22_5x_0)</f>
        <v>-91.26</v>
      </c>
      <c r="E47" s="2"/>
      <c r="F47" s="5">
        <f t="shared" si="0"/>
        <v>0</v>
      </c>
      <c r="G47" s="2"/>
      <c r="H47" s="2">
        <f>SUM(OSRRefH22_5x_0)</f>
        <v>300</v>
      </c>
      <c r="I47" s="2"/>
      <c r="J47" s="5">
        <f t="shared" si="1"/>
        <v>0</v>
      </c>
      <c r="K47" s="2"/>
      <c r="L47" s="2">
        <f t="shared" si="2"/>
        <v>-391.26</v>
      </c>
      <c r="M47" s="2"/>
      <c r="N47" s="5">
        <f t="shared" si="3"/>
        <v>-1.3042</v>
      </c>
      <c r="O47" s="11"/>
      <c r="P47" s="2">
        <f>SUM(OSRRefP22_5x_0)</f>
        <v>821.34</v>
      </c>
      <c r="Q47" s="2"/>
      <c r="R47" s="5">
        <f t="shared" si="4"/>
        <v>0</v>
      </c>
      <c r="S47" s="2"/>
      <c r="T47" s="2">
        <f>SUM(OSRRefT22_5x_0)</f>
        <v>3600</v>
      </c>
      <c r="U47" s="2"/>
      <c r="V47" s="5">
        <f t="shared" si="5"/>
        <v>0</v>
      </c>
      <c r="W47" s="2"/>
      <c r="X47" s="2">
        <f t="shared" si="6"/>
        <v>-2778.66</v>
      </c>
      <c r="Y47" s="2"/>
      <c r="Z47" s="5">
        <f t="shared" si="7"/>
        <v>-0.77184999999999993</v>
      </c>
    </row>
    <row r="48" spans="1:26" s="70" customFormat="1" ht="15" hidden="1" customHeight="1" outlineLevel="2" x14ac:dyDescent="0.3">
      <c r="A48" s="21"/>
      <c r="B48" s="9" t="str">
        <f>CONCATENATE("          ","6351"," - ","EQUIPMENT RENTAL")</f>
        <v xml:space="preserve">          6351 - EQUIPMENT RENTAL</v>
      </c>
      <c r="C48" s="9"/>
      <c r="D48" s="6">
        <v>-91.26</v>
      </c>
      <c r="E48" s="3"/>
      <c r="F48" s="7">
        <f t="shared" si="0"/>
        <v>0</v>
      </c>
      <c r="G48" s="3"/>
      <c r="H48" s="6">
        <v>300</v>
      </c>
      <c r="I48" s="3"/>
      <c r="J48" s="7">
        <f t="shared" si="1"/>
        <v>0</v>
      </c>
      <c r="K48" s="3"/>
      <c r="L48" s="6">
        <f t="shared" si="2"/>
        <v>-391.26</v>
      </c>
      <c r="M48" s="3"/>
      <c r="N48" s="7">
        <f t="shared" si="3"/>
        <v>-1.3042</v>
      </c>
      <c r="O48" s="9"/>
      <c r="P48" s="6">
        <v>821.34</v>
      </c>
      <c r="Q48" s="3"/>
      <c r="R48" s="7">
        <f t="shared" si="4"/>
        <v>0</v>
      </c>
      <c r="S48" s="3"/>
      <c r="T48" s="6">
        <v>3600</v>
      </c>
      <c r="U48" s="3"/>
      <c r="V48" s="7">
        <f t="shared" si="5"/>
        <v>0</v>
      </c>
      <c r="W48" s="3"/>
      <c r="X48" s="6">
        <f t="shared" si="6"/>
        <v>-2778.66</v>
      </c>
      <c r="Y48" s="3"/>
      <c r="Z48" s="7">
        <f t="shared" si="7"/>
        <v>-0.77184999999999993</v>
      </c>
    </row>
    <row r="49" spans="1:26" s="69" customFormat="1" ht="15" customHeight="1" outlineLevel="1" collapsed="1" x14ac:dyDescent="0.3">
      <c r="A49" s="20"/>
      <c r="B49" s="11" t="str">
        <f>CONCATENATE("     ","General                                           ")</f>
        <v xml:space="preserve">     General                                           </v>
      </c>
      <c r="C49" s="11"/>
      <c r="D49" s="2">
        <f>SUM(OSRRefD22_6x_0)</f>
        <v>0</v>
      </c>
      <c r="E49" s="2"/>
      <c r="F49" s="5">
        <f t="shared" si="0"/>
        <v>0</v>
      </c>
      <c r="G49" s="2"/>
      <c r="H49" s="2">
        <f>SUM(OSRRefH22_6x_0)</f>
        <v>0</v>
      </c>
      <c r="I49" s="2"/>
      <c r="J49" s="5">
        <f t="shared" si="1"/>
        <v>0</v>
      </c>
      <c r="K49" s="2"/>
      <c r="L49" s="2">
        <f t="shared" si="2"/>
        <v>0</v>
      </c>
      <c r="M49" s="2"/>
      <c r="N49" s="5">
        <f t="shared" si="3"/>
        <v>0</v>
      </c>
      <c r="O49" s="11"/>
      <c r="P49" s="2">
        <f>SUM(OSRRefP22_6x_0)</f>
        <v>337.51</v>
      </c>
      <c r="Q49" s="2"/>
      <c r="R49" s="5">
        <f t="shared" si="4"/>
        <v>0</v>
      </c>
      <c r="S49" s="2"/>
      <c r="T49" s="2">
        <f>SUM(OSRRefT22_6x_0)</f>
        <v>1000</v>
      </c>
      <c r="U49" s="2"/>
      <c r="V49" s="5">
        <f t="shared" si="5"/>
        <v>0</v>
      </c>
      <c r="W49" s="2"/>
      <c r="X49" s="2">
        <f t="shared" si="6"/>
        <v>-662.49</v>
      </c>
      <c r="Y49" s="2"/>
      <c r="Z49" s="5">
        <f t="shared" si="7"/>
        <v>-0.66249000000000002</v>
      </c>
    </row>
    <row r="50" spans="1:26" s="70" customFormat="1" ht="15" hidden="1" customHeight="1" outlineLevel="2" x14ac:dyDescent="0.3">
      <c r="A50" s="21"/>
      <c r="B50" s="9" t="str">
        <f>CONCATENATE("          ","6279"," - ","GENERAL EXPENSE")</f>
        <v xml:space="preserve">          6279 - GENERAL EXPENSE</v>
      </c>
      <c r="C50" s="9"/>
      <c r="D50" s="6"/>
      <c r="E50" s="3"/>
      <c r="F50" s="7">
        <f t="shared" ref="F50:F77" si="8">IF(D$12=0,0,D50/D$12)</f>
        <v>0</v>
      </c>
      <c r="G50" s="3"/>
      <c r="H50" s="6"/>
      <c r="I50" s="3"/>
      <c r="J50" s="7">
        <f t="shared" ref="J50:J77" si="9">IF(H$12=0,0,H50/H$12)</f>
        <v>0</v>
      </c>
      <c r="K50" s="3"/>
      <c r="L50" s="6">
        <f t="shared" ref="L50:L77" si="10">+D50-H50</f>
        <v>0</v>
      </c>
      <c r="M50" s="3"/>
      <c r="N50" s="7">
        <f t="shared" ref="N50:N77" si="11">IF(H50=0,0,L50/H50)</f>
        <v>0</v>
      </c>
      <c r="O50" s="9"/>
      <c r="P50" s="6">
        <v>337.51</v>
      </c>
      <c r="Q50" s="3"/>
      <c r="R50" s="7">
        <f t="shared" ref="R50:R77" si="12">IF(P$12=0,0,P50/P$12)</f>
        <v>0</v>
      </c>
      <c r="S50" s="3"/>
      <c r="T50" s="6">
        <v>1000</v>
      </c>
      <c r="U50" s="3"/>
      <c r="V50" s="7">
        <f t="shared" ref="V50:V77" si="13">IF(T$12=0,0,T50/T$12)</f>
        <v>0</v>
      </c>
      <c r="W50" s="3"/>
      <c r="X50" s="6">
        <f t="shared" ref="X50:X77" si="14">+P50-T50</f>
        <v>-662.49</v>
      </c>
      <c r="Y50" s="3"/>
      <c r="Z50" s="7">
        <f t="shared" ref="Z50:Z77" si="15">IF(T50=0,0,X50/T50)</f>
        <v>-0.66249000000000002</v>
      </c>
    </row>
    <row r="51" spans="1:26" s="69" customFormat="1" ht="15" customHeight="1" outlineLevel="1" collapsed="1" x14ac:dyDescent="0.3">
      <c r="A51" s="20"/>
      <c r="B51" s="11" t="str">
        <f>CONCATENATE("     ","Insurance                                         ")</f>
        <v xml:space="preserve">     Insurance                                         </v>
      </c>
      <c r="C51" s="11"/>
      <c r="D51" s="2">
        <f>SUM(OSRRefD22_7x_0)</f>
        <v>-1500.37</v>
      </c>
      <c r="E51" s="2"/>
      <c r="F51" s="5">
        <f t="shared" si="8"/>
        <v>0</v>
      </c>
      <c r="G51" s="2"/>
      <c r="H51" s="2">
        <f>SUM(OSRRefH22_7x_0)</f>
        <v>4820</v>
      </c>
      <c r="I51" s="2"/>
      <c r="J51" s="5">
        <f t="shared" si="9"/>
        <v>0</v>
      </c>
      <c r="K51" s="2"/>
      <c r="L51" s="2">
        <f t="shared" si="10"/>
        <v>-6320.37</v>
      </c>
      <c r="M51" s="2"/>
      <c r="N51" s="5">
        <f t="shared" si="11"/>
        <v>-1.3112800829875519</v>
      </c>
      <c r="O51" s="11"/>
      <c r="P51" s="2">
        <f>SUM(OSRRefP22_7x_0)</f>
        <v>59113.23</v>
      </c>
      <c r="Q51" s="2"/>
      <c r="R51" s="5">
        <f t="shared" si="12"/>
        <v>0</v>
      </c>
      <c r="S51" s="2"/>
      <c r="T51" s="2">
        <f>SUM(OSRRefT22_7x_0)</f>
        <v>57840</v>
      </c>
      <c r="U51" s="2"/>
      <c r="V51" s="5">
        <f t="shared" si="13"/>
        <v>0</v>
      </c>
      <c r="W51" s="2"/>
      <c r="X51" s="2">
        <f t="shared" si="14"/>
        <v>1273.2300000000032</v>
      </c>
      <c r="Y51" s="2"/>
      <c r="Z51" s="5">
        <f t="shared" si="15"/>
        <v>2.2012966804979307E-2</v>
      </c>
    </row>
    <row r="52" spans="1:26" s="70" customFormat="1" ht="15" hidden="1" customHeight="1" outlineLevel="2" x14ac:dyDescent="0.3">
      <c r="A52" s="21"/>
      <c r="B52" s="9" t="str">
        <f>CONCATENATE("          ","6314"," - ","LIABILITY INSURANCE")</f>
        <v xml:space="preserve">          6314 - LIABILITY INSURANCE</v>
      </c>
      <c r="C52" s="9"/>
      <c r="D52" s="6">
        <v>-1500.37</v>
      </c>
      <c r="E52" s="3"/>
      <c r="F52" s="7">
        <f t="shared" si="8"/>
        <v>0</v>
      </c>
      <c r="G52" s="3"/>
      <c r="H52" s="6">
        <v>4820</v>
      </c>
      <c r="I52" s="3"/>
      <c r="J52" s="7">
        <f t="shared" si="9"/>
        <v>0</v>
      </c>
      <c r="K52" s="3"/>
      <c r="L52" s="6">
        <f t="shared" si="10"/>
        <v>-6320.37</v>
      </c>
      <c r="M52" s="3"/>
      <c r="N52" s="7">
        <f t="shared" si="11"/>
        <v>-1.3112800829875519</v>
      </c>
      <c r="O52" s="9"/>
      <c r="P52" s="6">
        <v>59113.23</v>
      </c>
      <c r="Q52" s="3"/>
      <c r="R52" s="7">
        <f t="shared" si="12"/>
        <v>0</v>
      </c>
      <c r="S52" s="3"/>
      <c r="T52" s="6">
        <v>57840</v>
      </c>
      <c r="U52" s="3"/>
      <c r="V52" s="7">
        <f t="shared" si="13"/>
        <v>0</v>
      </c>
      <c r="W52" s="3"/>
      <c r="X52" s="6">
        <f t="shared" si="14"/>
        <v>1273.2300000000032</v>
      </c>
      <c r="Y52" s="3"/>
      <c r="Z52" s="7">
        <f t="shared" si="15"/>
        <v>2.2012966804979307E-2</v>
      </c>
    </row>
    <row r="53" spans="1:26" s="69" customFormat="1" ht="15" customHeight="1" outlineLevel="1" collapsed="1" x14ac:dyDescent="0.3">
      <c r="A53" s="20"/>
      <c r="B53" s="11" t="str">
        <f>CONCATENATE("     ","Professional Services                             ")</f>
        <v xml:space="preserve">     Professional Services                             </v>
      </c>
      <c r="C53" s="11"/>
      <c r="D53" s="2">
        <f>SUM(OSRRefD22_8x_0)</f>
        <v>0</v>
      </c>
      <c r="E53" s="2"/>
      <c r="F53" s="5">
        <f t="shared" si="8"/>
        <v>0</v>
      </c>
      <c r="G53" s="2"/>
      <c r="H53" s="2">
        <f>SUM(OSRRefH22_8x_0)</f>
        <v>0</v>
      </c>
      <c r="I53" s="2"/>
      <c r="J53" s="5">
        <f t="shared" si="9"/>
        <v>0</v>
      </c>
      <c r="K53" s="2"/>
      <c r="L53" s="2">
        <f t="shared" si="10"/>
        <v>0</v>
      </c>
      <c r="M53" s="2"/>
      <c r="N53" s="5">
        <f t="shared" si="11"/>
        <v>0</v>
      </c>
      <c r="O53" s="11"/>
      <c r="P53" s="2">
        <f>SUM(OSRRefP22_8x_0)</f>
        <v>511.58</v>
      </c>
      <c r="Q53" s="2"/>
      <c r="R53" s="5">
        <f t="shared" si="12"/>
        <v>0</v>
      </c>
      <c r="S53" s="2"/>
      <c r="T53" s="2">
        <f>SUM(OSRRefT22_8x_0)</f>
        <v>0</v>
      </c>
      <c r="U53" s="2"/>
      <c r="V53" s="5">
        <f t="shared" si="13"/>
        <v>0</v>
      </c>
      <c r="W53" s="2"/>
      <c r="X53" s="2">
        <f t="shared" si="14"/>
        <v>511.58</v>
      </c>
      <c r="Y53" s="2"/>
      <c r="Z53" s="5">
        <f t="shared" si="15"/>
        <v>0</v>
      </c>
    </row>
    <row r="54" spans="1:26" s="70" customFormat="1" ht="15" hidden="1" customHeight="1" outlineLevel="2" x14ac:dyDescent="0.3">
      <c r="A54" s="21"/>
      <c r="B54" s="9" t="str">
        <f>CONCATENATE("          ","6336"," - ","PROFESSIONAL SERVICES")</f>
        <v xml:space="preserve">          6336 - PROFESSIONAL SERVICES</v>
      </c>
      <c r="C54" s="9"/>
      <c r="D54" s="6"/>
      <c r="E54" s="3"/>
      <c r="F54" s="7">
        <f t="shared" si="8"/>
        <v>0</v>
      </c>
      <c r="G54" s="3"/>
      <c r="H54" s="6"/>
      <c r="I54" s="3"/>
      <c r="J54" s="7">
        <f t="shared" si="9"/>
        <v>0</v>
      </c>
      <c r="K54" s="3"/>
      <c r="L54" s="6">
        <f t="shared" si="10"/>
        <v>0</v>
      </c>
      <c r="M54" s="3"/>
      <c r="N54" s="7">
        <f t="shared" si="11"/>
        <v>0</v>
      </c>
      <c r="O54" s="9"/>
      <c r="P54" s="6">
        <v>511.58</v>
      </c>
      <c r="Q54" s="3"/>
      <c r="R54" s="7">
        <f t="shared" si="12"/>
        <v>0</v>
      </c>
      <c r="S54" s="3"/>
      <c r="T54" s="6"/>
      <c r="U54" s="3"/>
      <c r="V54" s="7">
        <f t="shared" si="13"/>
        <v>0</v>
      </c>
      <c r="W54" s="3"/>
      <c r="X54" s="6">
        <f t="shared" si="14"/>
        <v>511.58</v>
      </c>
      <c r="Y54" s="3"/>
      <c r="Z54" s="7">
        <f t="shared" si="15"/>
        <v>0</v>
      </c>
    </row>
    <row r="55" spans="1:26" s="69" customFormat="1" ht="15" customHeight="1" outlineLevel="1" collapsed="1" x14ac:dyDescent="0.3">
      <c r="A55" s="20"/>
      <c r="B55" s="11" t="str">
        <f>CONCATENATE("     ","Repair and Maintenance                            ")</f>
        <v xml:space="preserve">     Repair and Maintenance                            </v>
      </c>
      <c r="C55" s="11"/>
      <c r="D55" s="2">
        <f>SUM(OSRRefD22_9x_0)</f>
        <v>30808.39</v>
      </c>
      <c r="E55" s="2"/>
      <c r="F55" s="5">
        <f t="shared" si="8"/>
        <v>0</v>
      </c>
      <c r="G55" s="2"/>
      <c r="H55" s="2">
        <f>SUM(OSRRefH22_9x_0)</f>
        <v>0</v>
      </c>
      <c r="I55" s="2"/>
      <c r="J55" s="5">
        <f t="shared" si="9"/>
        <v>0</v>
      </c>
      <c r="K55" s="2"/>
      <c r="L55" s="2">
        <f t="shared" si="10"/>
        <v>30808.39</v>
      </c>
      <c r="M55" s="2"/>
      <c r="N55" s="5">
        <f t="shared" si="11"/>
        <v>0</v>
      </c>
      <c r="O55" s="11"/>
      <c r="P55" s="2">
        <f>SUM(OSRRefP22_9x_0)</f>
        <v>67839.22</v>
      </c>
      <c r="Q55" s="2"/>
      <c r="R55" s="5">
        <f t="shared" si="12"/>
        <v>0</v>
      </c>
      <c r="S55" s="2"/>
      <c r="T55" s="2">
        <f>SUM(OSRRefT22_9x_0)</f>
        <v>8000</v>
      </c>
      <c r="U55" s="2"/>
      <c r="V55" s="5">
        <f t="shared" si="13"/>
        <v>0</v>
      </c>
      <c r="W55" s="2"/>
      <c r="X55" s="2">
        <f t="shared" si="14"/>
        <v>59839.22</v>
      </c>
      <c r="Y55" s="2"/>
      <c r="Z55" s="5">
        <f t="shared" si="15"/>
        <v>7.4799025000000006</v>
      </c>
    </row>
    <row r="56" spans="1:26" s="70" customFormat="1" ht="15" hidden="1" customHeight="1" outlineLevel="2" x14ac:dyDescent="0.3">
      <c r="A56" s="21"/>
      <c r="B56" s="9" t="str">
        <f>CONCATENATE("          ","6371"," - ","COMPUTER SOFTWARE MAINTENANCE")</f>
        <v xml:space="preserve">          6371 - COMPUTER SOFTWARE MAINTENANCE</v>
      </c>
      <c r="C56" s="9"/>
      <c r="D56" s="6">
        <v>30321</v>
      </c>
      <c r="E56" s="3"/>
      <c r="F56" s="7">
        <f t="shared" si="8"/>
        <v>0</v>
      </c>
      <c r="G56" s="3"/>
      <c r="H56" s="6"/>
      <c r="I56" s="3"/>
      <c r="J56" s="7">
        <f t="shared" si="9"/>
        <v>0</v>
      </c>
      <c r="K56" s="3"/>
      <c r="L56" s="6">
        <f t="shared" si="10"/>
        <v>30321</v>
      </c>
      <c r="M56" s="3"/>
      <c r="N56" s="7">
        <f t="shared" si="11"/>
        <v>0</v>
      </c>
      <c r="O56" s="9"/>
      <c r="P56" s="6">
        <v>46888.06</v>
      </c>
      <c r="Q56" s="3"/>
      <c r="R56" s="7">
        <f t="shared" si="12"/>
        <v>0</v>
      </c>
      <c r="S56" s="3"/>
      <c r="T56" s="6"/>
      <c r="U56" s="3"/>
      <c r="V56" s="7">
        <f t="shared" si="13"/>
        <v>0</v>
      </c>
      <c r="W56" s="3"/>
      <c r="X56" s="6">
        <f t="shared" si="14"/>
        <v>46888.06</v>
      </c>
      <c r="Y56" s="3"/>
      <c r="Z56" s="7">
        <f t="shared" si="15"/>
        <v>0</v>
      </c>
    </row>
    <row r="57" spans="1:26" s="70" customFormat="1" ht="15" hidden="1" customHeight="1" outlineLevel="2" x14ac:dyDescent="0.3">
      <c r="A57" s="21"/>
      <c r="B57" s="9" t="str">
        <f>CONCATENATE("          ","6372"," - ","COMPUTER HARDWARE MAINTENANCE")</f>
        <v xml:space="preserve">          6372 - COMPUTER HARDWARE MAINTENANCE</v>
      </c>
      <c r="C57" s="9"/>
      <c r="D57" s="6"/>
      <c r="E57" s="3"/>
      <c r="F57" s="7">
        <f t="shared" si="8"/>
        <v>0</v>
      </c>
      <c r="G57" s="3"/>
      <c r="H57" s="6"/>
      <c r="I57" s="3"/>
      <c r="J57" s="7">
        <f t="shared" si="9"/>
        <v>0</v>
      </c>
      <c r="K57" s="3"/>
      <c r="L57" s="6">
        <f t="shared" si="10"/>
        <v>0</v>
      </c>
      <c r="M57" s="3"/>
      <c r="N57" s="7">
        <f t="shared" si="11"/>
        <v>0</v>
      </c>
      <c r="O57" s="9"/>
      <c r="P57" s="6"/>
      <c r="Q57" s="3"/>
      <c r="R57" s="7">
        <f t="shared" si="12"/>
        <v>0</v>
      </c>
      <c r="S57" s="3"/>
      <c r="T57" s="6">
        <v>8000</v>
      </c>
      <c r="U57" s="3"/>
      <c r="V57" s="7">
        <f t="shared" si="13"/>
        <v>0</v>
      </c>
      <c r="W57" s="3"/>
      <c r="X57" s="6">
        <f t="shared" si="14"/>
        <v>-8000</v>
      </c>
      <c r="Y57" s="3"/>
      <c r="Z57" s="7">
        <f t="shared" si="15"/>
        <v>-1</v>
      </c>
    </row>
    <row r="58" spans="1:26" s="70" customFormat="1" ht="15" hidden="1" customHeight="1" outlineLevel="2" x14ac:dyDescent="0.3">
      <c r="A58" s="21"/>
      <c r="B58" s="9" t="str">
        <f>CONCATENATE("          ","6373"," - ","MAINTENANCE CONTRACTS")</f>
        <v xml:space="preserve">          6373 - MAINTENANCE CONTRACTS</v>
      </c>
      <c r="C58" s="9"/>
      <c r="D58" s="6">
        <v>288.29000000000002</v>
      </c>
      <c r="E58" s="3"/>
      <c r="F58" s="7">
        <f t="shared" si="8"/>
        <v>0</v>
      </c>
      <c r="G58" s="3"/>
      <c r="H58" s="6"/>
      <c r="I58" s="3"/>
      <c r="J58" s="7">
        <f t="shared" si="9"/>
        <v>0</v>
      </c>
      <c r="K58" s="3"/>
      <c r="L58" s="6">
        <f t="shared" si="10"/>
        <v>288.29000000000002</v>
      </c>
      <c r="M58" s="3"/>
      <c r="N58" s="7">
        <f t="shared" si="11"/>
        <v>0</v>
      </c>
      <c r="O58" s="9"/>
      <c r="P58" s="6">
        <v>9676.23</v>
      </c>
      <c r="Q58" s="3"/>
      <c r="R58" s="7">
        <f t="shared" si="12"/>
        <v>0</v>
      </c>
      <c r="S58" s="3"/>
      <c r="T58" s="6"/>
      <c r="U58" s="3"/>
      <c r="V58" s="7">
        <f t="shared" si="13"/>
        <v>0</v>
      </c>
      <c r="W58" s="3"/>
      <c r="X58" s="6">
        <f t="shared" si="14"/>
        <v>9676.23</v>
      </c>
      <c r="Y58" s="3"/>
      <c r="Z58" s="7">
        <f t="shared" si="15"/>
        <v>0</v>
      </c>
    </row>
    <row r="59" spans="1:26" s="70" customFormat="1" ht="15" hidden="1" customHeight="1" outlineLevel="2" x14ac:dyDescent="0.3">
      <c r="A59" s="21"/>
      <c r="B59" s="9" t="str">
        <f>CONCATENATE("          ","6375"," - ","OUTSIDE REPAIRS &amp; MAINTENANCE")</f>
        <v xml:space="preserve">          6375 - OUTSIDE REPAIRS &amp; MAINTENANCE</v>
      </c>
      <c r="C59" s="9"/>
      <c r="D59" s="6">
        <v>199.1</v>
      </c>
      <c r="E59" s="3"/>
      <c r="F59" s="7">
        <f t="shared" si="8"/>
        <v>0</v>
      </c>
      <c r="G59" s="3"/>
      <c r="H59" s="6"/>
      <c r="I59" s="3"/>
      <c r="J59" s="7">
        <f t="shared" si="9"/>
        <v>0</v>
      </c>
      <c r="K59" s="3"/>
      <c r="L59" s="6">
        <f t="shared" si="10"/>
        <v>199.1</v>
      </c>
      <c r="M59" s="3"/>
      <c r="N59" s="7">
        <f t="shared" si="11"/>
        <v>0</v>
      </c>
      <c r="O59" s="9"/>
      <c r="P59" s="6">
        <v>11274.93</v>
      </c>
      <c r="Q59" s="3"/>
      <c r="R59" s="7">
        <f t="shared" si="12"/>
        <v>0</v>
      </c>
      <c r="S59" s="3"/>
      <c r="T59" s="6"/>
      <c r="U59" s="3"/>
      <c r="V59" s="7">
        <f t="shared" si="13"/>
        <v>0</v>
      </c>
      <c r="W59" s="3"/>
      <c r="X59" s="6">
        <f t="shared" si="14"/>
        <v>11274.93</v>
      </c>
      <c r="Y59" s="3"/>
      <c r="Z59" s="7">
        <f t="shared" si="15"/>
        <v>0</v>
      </c>
    </row>
    <row r="60" spans="1:26" s="69" customFormat="1" ht="15" customHeight="1" outlineLevel="1" collapsed="1" x14ac:dyDescent="0.3">
      <c r="A60" s="20"/>
      <c r="B60" s="11" t="str">
        <f>CONCATENATE("     ","Services                                          ")</f>
        <v xml:space="preserve">     Services                                          </v>
      </c>
      <c r="C60" s="11"/>
      <c r="D60" s="2">
        <f>SUM(OSRRefD22_10x_0)</f>
        <v>2842.62</v>
      </c>
      <c r="E60" s="2"/>
      <c r="F60" s="5">
        <f t="shared" si="8"/>
        <v>0</v>
      </c>
      <c r="G60" s="2"/>
      <c r="H60" s="2">
        <f>SUM(OSRRefH22_10x_0)</f>
        <v>650</v>
      </c>
      <c r="I60" s="2"/>
      <c r="J60" s="5">
        <f t="shared" si="9"/>
        <v>0</v>
      </c>
      <c r="K60" s="2"/>
      <c r="L60" s="2">
        <f t="shared" si="10"/>
        <v>2192.62</v>
      </c>
      <c r="M60" s="2"/>
      <c r="N60" s="5">
        <f t="shared" si="11"/>
        <v>3.3732615384615383</v>
      </c>
      <c r="O60" s="11"/>
      <c r="P60" s="2">
        <f>SUM(OSRRefP22_10x_0)</f>
        <v>13955.09</v>
      </c>
      <c r="Q60" s="2"/>
      <c r="R60" s="5">
        <f t="shared" si="12"/>
        <v>0</v>
      </c>
      <c r="S60" s="2"/>
      <c r="T60" s="2">
        <f>SUM(OSRRefT22_10x_0)</f>
        <v>9550</v>
      </c>
      <c r="U60" s="2"/>
      <c r="V60" s="5">
        <f t="shared" si="13"/>
        <v>0</v>
      </c>
      <c r="W60" s="2"/>
      <c r="X60" s="2">
        <f t="shared" si="14"/>
        <v>4405.09</v>
      </c>
      <c r="Y60" s="2"/>
      <c r="Z60" s="5">
        <f t="shared" si="15"/>
        <v>0.46126596858638746</v>
      </c>
    </row>
    <row r="61" spans="1:26" s="70" customFormat="1" ht="15" hidden="1" customHeight="1" outlineLevel="2" x14ac:dyDescent="0.3">
      <c r="A61" s="21"/>
      <c r="B61" s="9" t="str">
        <f>CONCATENATE("          ","6282"," - ","JANITORIAL/EXTERMINATOR EXPENS")</f>
        <v xml:space="preserve">          6282 - JANITORIAL/EXTERMINATOR EXPENS</v>
      </c>
      <c r="C61" s="9"/>
      <c r="D61" s="6">
        <v>737.15</v>
      </c>
      <c r="E61" s="3"/>
      <c r="F61" s="7">
        <f t="shared" si="8"/>
        <v>0</v>
      </c>
      <c r="G61" s="3"/>
      <c r="H61" s="6">
        <v>650</v>
      </c>
      <c r="I61" s="3"/>
      <c r="J61" s="7">
        <f t="shared" si="9"/>
        <v>0</v>
      </c>
      <c r="K61" s="3"/>
      <c r="L61" s="6">
        <f t="shared" si="10"/>
        <v>87.149999999999977</v>
      </c>
      <c r="M61" s="3"/>
      <c r="N61" s="7">
        <f t="shared" si="11"/>
        <v>0.13407692307692304</v>
      </c>
      <c r="O61" s="9"/>
      <c r="P61" s="6">
        <v>8175.3</v>
      </c>
      <c r="Q61" s="3"/>
      <c r="R61" s="7">
        <f t="shared" si="12"/>
        <v>0</v>
      </c>
      <c r="S61" s="3"/>
      <c r="T61" s="6">
        <v>7800</v>
      </c>
      <c r="U61" s="3"/>
      <c r="V61" s="7">
        <f t="shared" si="13"/>
        <v>0</v>
      </c>
      <c r="W61" s="3"/>
      <c r="X61" s="6">
        <f t="shared" si="14"/>
        <v>375.30000000000018</v>
      </c>
      <c r="Y61" s="3"/>
      <c r="Z61" s="7">
        <f t="shared" si="15"/>
        <v>4.8115384615384636E-2</v>
      </c>
    </row>
    <row r="62" spans="1:26" s="70" customFormat="1" ht="15" hidden="1" customHeight="1" outlineLevel="2" x14ac:dyDescent="0.3">
      <c r="A62" s="21"/>
      <c r="B62" s="9" t="str">
        <f>CONCATENATE("          ","6284"," - ","TRASH REMOVAL EXPENSE")</f>
        <v xml:space="preserve">          6284 - TRASH REMOVAL EXPENSE</v>
      </c>
      <c r="C62" s="9"/>
      <c r="D62" s="6"/>
      <c r="E62" s="3"/>
      <c r="F62" s="7">
        <f t="shared" si="8"/>
        <v>0</v>
      </c>
      <c r="G62" s="3"/>
      <c r="H62" s="6"/>
      <c r="I62" s="3"/>
      <c r="J62" s="7">
        <f t="shared" si="9"/>
        <v>0</v>
      </c>
      <c r="K62" s="3"/>
      <c r="L62" s="6">
        <f t="shared" si="10"/>
        <v>0</v>
      </c>
      <c r="M62" s="3"/>
      <c r="N62" s="7">
        <f t="shared" si="11"/>
        <v>0</v>
      </c>
      <c r="O62" s="9"/>
      <c r="P62" s="6"/>
      <c r="Q62" s="3"/>
      <c r="R62" s="7">
        <f t="shared" si="12"/>
        <v>0</v>
      </c>
      <c r="S62" s="3"/>
      <c r="T62" s="6">
        <v>0</v>
      </c>
      <c r="U62" s="3"/>
      <c r="V62" s="7">
        <f t="shared" si="13"/>
        <v>0</v>
      </c>
      <c r="W62" s="3"/>
      <c r="X62" s="6">
        <f t="shared" si="14"/>
        <v>0</v>
      </c>
      <c r="Y62" s="3"/>
      <c r="Z62" s="7">
        <f t="shared" si="15"/>
        <v>0</v>
      </c>
    </row>
    <row r="63" spans="1:26" s="70" customFormat="1" ht="15" hidden="1" customHeight="1" outlineLevel="2" x14ac:dyDescent="0.3">
      <c r="A63" s="21"/>
      <c r="B63" s="9" t="str">
        <f>CONCATENATE("          ","6285"," - ","JANITORIAL SERVICES")</f>
        <v xml:space="preserve">          6285 - JANITORIAL SERVICES</v>
      </c>
      <c r="C63" s="9"/>
      <c r="D63" s="6">
        <v>2105.4699999999998</v>
      </c>
      <c r="E63" s="3"/>
      <c r="F63" s="7">
        <f t="shared" si="8"/>
        <v>0</v>
      </c>
      <c r="G63" s="3"/>
      <c r="H63" s="6"/>
      <c r="I63" s="3"/>
      <c r="J63" s="7">
        <f t="shared" si="9"/>
        <v>0</v>
      </c>
      <c r="K63" s="3"/>
      <c r="L63" s="6">
        <f t="shared" si="10"/>
        <v>2105.4699999999998</v>
      </c>
      <c r="M63" s="3"/>
      <c r="N63" s="7">
        <f t="shared" si="11"/>
        <v>0</v>
      </c>
      <c r="O63" s="9"/>
      <c r="P63" s="6">
        <v>5779.79</v>
      </c>
      <c r="Q63" s="3"/>
      <c r="R63" s="7">
        <f t="shared" si="12"/>
        <v>0</v>
      </c>
      <c r="S63" s="3"/>
      <c r="T63" s="6">
        <v>1750</v>
      </c>
      <c r="U63" s="3"/>
      <c r="V63" s="7">
        <f t="shared" si="13"/>
        <v>0</v>
      </c>
      <c r="W63" s="3"/>
      <c r="X63" s="6">
        <f t="shared" si="14"/>
        <v>4029.79</v>
      </c>
      <c r="Y63" s="3"/>
      <c r="Z63" s="7">
        <f t="shared" si="15"/>
        <v>2.302737142857143</v>
      </c>
    </row>
    <row r="64" spans="1:26" s="69" customFormat="1" ht="15" customHeight="1" outlineLevel="1" collapsed="1" x14ac:dyDescent="0.3">
      <c r="A64" s="20"/>
      <c r="B64" s="11" t="str">
        <f>CONCATENATE("     ","Subscriptions &amp; Dues                              ")</f>
        <v xml:space="preserve">     Subscriptions &amp; Dues                              </v>
      </c>
      <c r="C64" s="11"/>
      <c r="D64" s="2">
        <f>SUM(OSRRefD22_11x_0)</f>
        <v>0</v>
      </c>
      <c r="E64" s="2"/>
      <c r="F64" s="5">
        <f t="shared" si="8"/>
        <v>0</v>
      </c>
      <c r="G64" s="2"/>
      <c r="H64" s="2">
        <f>SUM(OSRRefH22_11x_0)</f>
        <v>0</v>
      </c>
      <c r="I64" s="2"/>
      <c r="J64" s="5">
        <f t="shared" si="9"/>
        <v>0</v>
      </c>
      <c r="K64" s="2"/>
      <c r="L64" s="2">
        <f t="shared" si="10"/>
        <v>0</v>
      </c>
      <c r="M64" s="2"/>
      <c r="N64" s="5">
        <f t="shared" si="11"/>
        <v>0</v>
      </c>
      <c r="O64" s="11"/>
      <c r="P64" s="2">
        <f>SUM(OSRRefP22_11x_0)</f>
        <v>119.2</v>
      </c>
      <c r="Q64" s="2"/>
      <c r="R64" s="5">
        <f t="shared" si="12"/>
        <v>0</v>
      </c>
      <c r="S64" s="2"/>
      <c r="T64" s="2">
        <f>SUM(OSRRefT22_11x_0)</f>
        <v>0</v>
      </c>
      <c r="U64" s="2"/>
      <c r="V64" s="5">
        <f t="shared" si="13"/>
        <v>0</v>
      </c>
      <c r="W64" s="2"/>
      <c r="X64" s="2">
        <f t="shared" si="14"/>
        <v>119.2</v>
      </c>
      <c r="Y64" s="2"/>
      <c r="Z64" s="5">
        <f t="shared" si="15"/>
        <v>0</v>
      </c>
    </row>
    <row r="65" spans="1:26" s="70" customFormat="1" ht="15" hidden="1" customHeight="1" outlineLevel="2" x14ac:dyDescent="0.3">
      <c r="A65" s="21"/>
      <c r="B65" s="9" t="str">
        <f>CONCATENATE("          ","6275"," - ","SUBSCRIPTIONS")</f>
        <v xml:space="preserve">          6275 - SUBSCRIPTIONS</v>
      </c>
      <c r="C65" s="9"/>
      <c r="D65" s="6"/>
      <c r="E65" s="3"/>
      <c r="F65" s="7">
        <f t="shared" si="8"/>
        <v>0</v>
      </c>
      <c r="G65" s="3"/>
      <c r="H65" s="6"/>
      <c r="I65" s="3"/>
      <c r="J65" s="7">
        <f t="shared" si="9"/>
        <v>0</v>
      </c>
      <c r="K65" s="3"/>
      <c r="L65" s="6">
        <f t="shared" si="10"/>
        <v>0</v>
      </c>
      <c r="M65" s="3"/>
      <c r="N65" s="7">
        <f t="shared" si="11"/>
        <v>0</v>
      </c>
      <c r="O65" s="9"/>
      <c r="P65" s="6">
        <v>119.2</v>
      </c>
      <c r="Q65" s="3"/>
      <c r="R65" s="7">
        <f t="shared" si="12"/>
        <v>0</v>
      </c>
      <c r="S65" s="3"/>
      <c r="T65" s="6"/>
      <c r="U65" s="3"/>
      <c r="V65" s="7">
        <f t="shared" si="13"/>
        <v>0</v>
      </c>
      <c r="W65" s="3"/>
      <c r="X65" s="6">
        <f t="shared" si="14"/>
        <v>119.2</v>
      </c>
      <c r="Y65" s="3"/>
      <c r="Z65" s="7">
        <f t="shared" si="15"/>
        <v>0</v>
      </c>
    </row>
    <row r="66" spans="1:26" s="69" customFormat="1" ht="15" customHeight="1" outlineLevel="1" collapsed="1" x14ac:dyDescent="0.3">
      <c r="A66" s="20"/>
      <c r="B66" s="11" t="str">
        <f>CONCATENATE("     ","Supplies                                          ")</f>
        <v xml:space="preserve">     Supplies                                          </v>
      </c>
      <c r="C66" s="11"/>
      <c r="D66" s="2">
        <f>SUM(OSRRefD22_12x_0)</f>
        <v>83.47</v>
      </c>
      <c r="E66" s="2"/>
      <c r="F66" s="5">
        <f t="shared" si="8"/>
        <v>0</v>
      </c>
      <c r="G66" s="2"/>
      <c r="H66" s="2">
        <f>SUM(OSRRefH22_12x_0)</f>
        <v>0</v>
      </c>
      <c r="I66" s="2"/>
      <c r="J66" s="5">
        <f t="shared" si="9"/>
        <v>0</v>
      </c>
      <c r="K66" s="2"/>
      <c r="L66" s="2">
        <f t="shared" si="10"/>
        <v>83.47</v>
      </c>
      <c r="M66" s="2"/>
      <c r="N66" s="5">
        <f t="shared" si="11"/>
        <v>0</v>
      </c>
      <c r="O66" s="11"/>
      <c r="P66" s="2">
        <f>SUM(OSRRefP22_12x_0)</f>
        <v>619.11</v>
      </c>
      <c r="Q66" s="2"/>
      <c r="R66" s="5">
        <f t="shared" si="12"/>
        <v>0</v>
      </c>
      <c r="S66" s="2"/>
      <c r="T66" s="2">
        <f>SUM(OSRRefT22_12x_0)</f>
        <v>0</v>
      </c>
      <c r="U66" s="2"/>
      <c r="V66" s="5">
        <f t="shared" si="13"/>
        <v>0</v>
      </c>
      <c r="W66" s="2"/>
      <c r="X66" s="2">
        <f t="shared" si="14"/>
        <v>619.11</v>
      </c>
      <c r="Y66" s="2"/>
      <c r="Z66" s="5">
        <f t="shared" si="15"/>
        <v>0</v>
      </c>
    </row>
    <row r="67" spans="1:26" s="70" customFormat="1" ht="15" hidden="1" customHeight="1" outlineLevel="2" x14ac:dyDescent="0.3">
      <c r="A67" s="21"/>
      <c r="B67" s="9" t="str">
        <f>CONCATENATE("          ","6235"," - ","COVID-19 EXPENSES")</f>
        <v xml:space="preserve">          6235 - COVID-19 EXPENSES</v>
      </c>
      <c r="C67" s="9"/>
      <c r="D67" s="6"/>
      <c r="E67" s="3"/>
      <c r="F67" s="7">
        <f t="shared" si="8"/>
        <v>0</v>
      </c>
      <c r="G67" s="3"/>
      <c r="H67" s="6"/>
      <c r="I67" s="3"/>
      <c r="J67" s="7">
        <f t="shared" si="9"/>
        <v>0</v>
      </c>
      <c r="K67" s="3"/>
      <c r="L67" s="6">
        <f t="shared" si="10"/>
        <v>0</v>
      </c>
      <c r="M67" s="3"/>
      <c r="N67" s="7">
        <f t="shared" si="11"/>
        <v>0</v>
      </c>
      <c r="O67" s="9"/>
      <c r="P67" s="6">
        <v>318.42</v>
      </c>
      <c r="Q67" s="3"/>
      <c r="R67" s="7">
        <f t="shared" si="12"/>
        <v>0</v>
      </c>
      <c r="S67" s="3"/>
      <c r="T67" s="6"/>
      <c r="U67" s="3"/>
      <c r="V67" s="7">
        <f t="shared" si="13"/>
        <v>0</v>
      </c>
      <c r="W67" s="3"/>
      <c r="X67" s="6">
        <f t="shared" si="14"/>
        <v>318.42</v>
      </c>
      <c r="Y67" s="3"/>
      <c r="Z67" s="7">
        <f t="shared" si="15"/>
        <v>0</v>
      </c>
    </row>
    <row r="68" spans="1:26" s="70" customFormat="1" ht="15" hidden="1" customHeight="1" outlineLevel="2" x14ac:dyDescent="0.3">
      <c r="A68" s="21"/>
      <c r="B68" s="9" t="str">
        <f>CONCATENATE("          ","6241"," - ","OFFICE EXPENSE")</f>
        <v xml:space="preserve">          6241 - OFFICE EXPENSE</v>
      </c>
      <c r="C68" s="9"/>
      <c r="D68" s="6">
        <v>83.47</v>
      </c>
      <c r="E68" s="3"/>
      <c r="F68" s="7">
        <f t="shared" si="8"/>
        <v>0</v>
      </c>
      <c r="G68" s="3"/>
      <c r="H68" s="6"/>
      <c r="I68" s="3"/>
      <c r="J68" s="7">
        <f t="shared" si="9"/>
        <v>0</v>
      </c>
      <c r="K68" s="3"/>
      <c r="L68" s="6">
        <f t="shared" si="10"/>
        <v>83.47</v>
      </c>
      <c r="M68" s="3"/>
      <c r="N68" s="7">
        <f t="shared" si="11"/>
        <v>0</v>
      </c>
      <c r="O68" s="9"/>
      <c r="P68" s="6">
        <v>300.69</v>
      </c>
      <c r="Q68" s="3"/>
      <c r="R68" s="7">
        <f t="shared" si="12"/>
        <v>0</v>
      </c>
      <c r="S68" s="3"/>
      <c r="T68" s="6"/>
      <c r="U68" s="3"/>
      <c r="V68" s="7">
        <f t="shared" si="13"/>
        <v>0</v>
      </c>
      <c r="W68" s="3"/>
      <c r="X68" s="6">
        <f t="shared" si="14"/>
        <v>300.69</v>
      </c>
      <c r="Y68" s="3"/>
      <c r="Z68" s="7">
        <f t="shared" si="15"/>
        <v>0</v>
      </c>
    </row>
    <row r="69" spans="1:26" s="69" customFormat="1" ht="15" customHeight="1" outlineLevel="1" collapsed="1" x14ac:dyDescent="0.3">
      <c r="A69" s="20"/>
      <c r="B69" s="11" t="str">
        <f>CONCATENATE("     ","Telephone/Data Lines                              ")</f>
        <v xml:space="preserve">     Telephone/Data Lines                              </v>
      </c>
      <c r="C69" s="11"/>
      <c r="D69" s="2">
        <f>SUM(OSRRefD22_13x_0)</f>
        <v>39.6</v>
      </c>
      <c r="E69" s="2"/>
      <c r="F69" s="5">
        <f t="shared" si="8"/>
        <v>0</v>
      </c>
      <c r="G69" s="2"/>
      <c r="H69" s="2">
        <f>SUM(OSRRefH22_13x_0)</f>
        <v>0</v>
      </c>
      <c r="I69" s="2"/>
      <c r="J69" s="5">
        <f t="shared" si="9"/>
        <v>0</v>
      </c>
      <c r="K69" s="2"/>
      <c r="L69" s="2">
        <f t="shared" si="10"/>
        <v>39.6</v>
      </c>
      <c r="M69" s="2"/>
      <c r="N69" s="5">
        <f t="shared" si="11"/>
        <v>0</v>
      </c>
      <c r="O69" s="11"/>
      <c r="P69" s="2">
        <f>SUM(OSRRefP22_13x_0)</f>
        <v>2295.2600000000002</v>
      </c>
      <c r="Q69" s="2"/>
      <c r="R69" s="5">
        <f t="shared" si="12"/>
        <v>0</v>
      </c>
      <c r="S69" s="2"/>
      <c r="T69" s="2">
        <f>SUM(OSRRefT22_13x_0)</f>
        <v>0</v>
      </c>
      <c r="U69" s="2"/>
      <c r="V69" s="5">
        <f t="shared" si="13"/>
        <v>0</v>
      </c>
      <c r="W69" s="2"/>
      <c r="X69" s="2">
        <f t="shared" si="14"/>
        <v>2295.2600000000002</v>
      </c>
      <c r="Y69" s="2"/>
      <c r="Z69" s="5">
        <f t="shared" si="15"/>
        <v>0</v>
      </c>
    </row>
    <row r="70" spans="1:26" s="70" customFormat="1" ht="15" hidden="1" customHeight="1" outlineLevel="2" x14ac:dyDescent="0.3">
      <c r="A70" s="21"/>
      <c r="B70" s="9" t="str">
        <f>CONCATENATE("          ","6309"," - ","TELEPHONE")</f>
        <v xml:space="preserve">          6309 - TELEPHONE</v>
      </c>
      <c r="C70" s="9"/>
      <c r="D70" s="6">
        <v>39.6</v>
      </c>
      <c r="E70" s="3"/>
      <c r="F70" s="7">
        <f t="shared" si="8"/>
        <v>0</v>
      </c>
      <c r="G70" s="3"/>
      <c r="H70" s="6"/>
      <c r="I70" s="3"/>
      <c r="J70" s="7">
        <f t="shared" si="9"/>
        <v>0</v>
      </c>
      <c r="K70" s="3"/>
      <c r="L70" s="6">
        <f t="shared" si="10"/>
        <v>39.6</v>
      </c>
      <c r="M70" s="3"/>
      <c r="N70" s="7">
        <f t="shared" si="11"/>
        <v>0</v>
      </c>
      <c r="O70" s="9"/>
      <c r="P70" s="6">
        <v>2295.2600000000002</v>
      </c>
      <c r="Q70" s="3"/>
      <c r="R70" s="7">
        <f t="shared" si="12"/>
        <v>0</v>
      </c>
      <c r="S70" s="3"/>
      <c r="T70" s="6"/>
      <c r="U70" s="3"/>
      <c r="V70" s="7">
        <f t="shared" si="13"/>
        <v>0</v>
      </c>
      <c r="W70" s="3"/>
      <c r="X70" s="6">
        <f t="shared" si="14"/>
        <v>2295.2600000000002</v>
      </c>
      <c r="Y70" s="3"/>
      <c r="Z70" s="7">
        <f t="shared" si="15"/>
        <v>0</v>
      </c>
    </row>
    <row r="71" spans="1:26" s="69" customFormat="1" ht="15" customHeight="1" outlineLevel="1" collapsed="1" x14ac:dyDescent="0.3">
      <c r="A71" s="20"/>
      <c r="B71" s="11" t="str">
        <f>CONCATENATE("     ","Training                                          ")</f>
        <v xml:space="preserve">     Training                                          </v>
      </c>
      <c r="C71" s="11"/>
      <c r="D71" s="2">
        <f>SUM(OSRRefD22_14x_0)</f>
        <v>0</v>
      </c>
      <c r="E71" s="2"/>
      <c r="F71" s="5">
        <f t="shared" si="8"/>
        <v>0</v>
      </c>
      <c r="G71" s="2"/>
      <c r="H71" s="2">
        <f>SUM(OSRRefH22_14x_0)</f>
        <v>0</v>
      </c>
      <c r="I71" s="2"/>
      <c r="J71" s="5">
        <f t="shared" si="9"/>
        <v>0</v>
      </c>
      <c r="K71" s="2"/>
      <c r="L71" s="2">
        <f t="shared" si="10"/>
        <v>0</v>
      </c>
      <c r="M71" s="2"/>
      <c r="N71" s="5">
        <f t="shared" si="11"/>
        <v>0</v>
      </c>
      <c r="O71" s="11"/>
      <c r="P71" s="2">
        <f>SUM(OSRRefP22_14x_0)</f>
        <v>0</v>
      </c>
      <c r="Q71" s="2"/>
      <c r="R71" s="5">
        <f t="shared" si="12"/>
        <v>0</v>
      </c>
      <c r="S71" s="2"/>
      <c r="T71" s="2">
        <f>SUM(OSRRefT22_14x_0)</f>
        <v>3600</v>
      </c>
      <c r="U71" s="2"/>
      <c r="V71" s="5">
        <f t="shared" si="13"/>
        <v>0</v>
      </c>
      <c r="W71" s="2"/>
      <c r="X71" s="2">
        <f t="shared" si="14"/>
        <v>-3600</v>
      </c>
      <c r="Y71" s="2"/>
      <c r="Z71" s="5">
        <f t="shared" si="15"/>
        <v>-1</v>
      </c>
    </row>
    <row r="72" spans="1:26" s="70" customFormat="1" ht="15" hidden="1" customHeight="1" outlineLevel="2" x14ac:dyDescent="0.3">
      <c r="A72" s="21"/>
      <c r="B72" s="9" t="str">
        <f>CONCATENATE("          ","6376"," - ","TRAINING")</f>
        <v xml:space="preserve">          6376 - TRAINING</v>
      </c>
      <c r="C72" s="9"/>
      <c r="D72" s="6"/>
      <c r="E72" s="3"/>
      <c r="F72" s="7">
        <f t="shared" si="8"/>
        <v>0</v>
      </c>
      <c r="G72" s="3"/>
      <c r="H72" s="6"/>
      <c r="I72" s="3"/>
      <c r="J72" s="7">
        <f t="shared" si="9"/>
        <v>0</v>
      </c>
      <c r="K72" s="3"/>
      <c r="L72" s="6">
        <f t="shared" si="10"/>
        <v>0</v>
      </c>
      <c r="M72" s="3"/>
      <c r="N72" s="7">
        <f t="shared" si="11"/>
        <v>0</v>
      </c>
      <c r="O72" s="9"/>
      <c r="P72" s="6"/>
      <c r="Q72" s="3"/>
      <c r="R72" s="7">
        <f t="shared" si="12"/>
        <v>0</v>
      </c>
      <c r="S72" s="3"/>
      <c r="T72" s="6">
        <v>3600</v>
      </c>
      <c r="U72" s="3"/>
      <c r="V72" s="7">
        <f t="shared" si="13"/>
        <v>0</v>
      </c>
      <c r="W72" s="3"/>
      <c r="X72" s="6">
        <f t="shared" si="14"/>
        <v>-3600</v>
      </c>
      <c r="Y72" s="3"/>
      <c r="Z72" s="7">
        <f t="shared" si="15"/>
        <v>-1</v>
      </c>
    </row>
    <row r="73" spans="1:26" s="69" customFormat="1" ht="15" customHeight="1" outlineLevel="1" collapsed="1" x14ac:dyDescent="0.3">
      <c r="A73" s="20"/>
      <c r="B73" s="11" t="str">
        <f>CONCATENATE("     ","Travel                                            ")</f>
        <v xml:space="preserve">     Travel                                            </v>
      </c>
      <c r="C73" s="11"/>
      <c r="D73" s="2">
        <f>SUM(OSRRefD22_15x_0)</f>
        <v>0</v>
      </c>
      <c r="E73" s="2"/>
      <c r="F73" s="5">
        <f t="shared" si="8"/>
        <v>0</v>
      </c>
      <c r="G73" s="2"/>
      <c r="H73" s="2">
        <f>SUM(OSRRefH22_15x_0)</f>
        <v>0</v>
      </c>
      <c r="I73" s="2"/>
      <c r="J73" s="5">
        <f t="shared" si="9"/>
        <v>0</v>
      </c>
      <c r="K73" s="2"/>
      <c r="L73" s="2">
        <f t="shared" si="10"/>
        <v>0</v>
      </c>
      <c r="M73" s="2"/>
      <c r="N73" s="5">
        <f t="shared" si="11"/>
        <v>0</v>
      </c>
      <c r="O73" s="11"/>
      <c r="P73" s="2">
        <f>SUM(OSRRefP22_15x_0)</f>
        <v>141.24</v>
      </c>
      <c r="Q73" s="2"/>
      <c r="R73" s="5">
        <f t="shared" si="12"/>
        <v>0</v>
      </c>
      <c r="S73" s="2"/>
      <c r="T73" s="2">
        <f>SUM(OSRRefT22_15x_0)</f>
        <v>0</v>
      </c>
      <c r="U73" s="2"/>
      <c r="V73" s="5">
        <f t="shared" si="13"/>
        <v>0</v>
      </c>
      <c r="W73" s="2"/>
      <c r="X73" s="2">
        <f t="shared" si="14"/>
        <v>141.24</v>
      </c>
      <c r="Y73" s="2"/>
      <c r="Z73" s="5">
        <f t="shared" si="15"/>
        <v>0</v>
      </c>
    </row>
    <row r="74" spans="1:26" s="70" customFormat="1" ht="15" hidden="1" customHeight="1" outlineLevel="2" x14ac:dyDescent="0.3">
      <c r="A74" s="21"/>
      <c r="B74" s="9" t="str">
        <f>CONCATENATE("          ","6292"," - ","TRAVEL/CONFERENCE")</f>
        <v xml:space="preserve">          6292 - TRAVEL/CONFERENCE</v>
      </c>
      <c r="C74" s="9"/>
      <c r="D74" s="6"/>
      <c r="E74" s="3"/>
      <c r="F74" s="7">
        <f t="shared" si="8"/>
        <v>0</v>
      </c>
      <c r="G74" s="3"/>
      <c r="H74" s="6"/>
      <c r="I74" s="3"/>
      <c r="J74" s="7">
        <f t="shared" si="9"/>
        <v>0</v>
      </c>
      <c r="K74" s="3"/>
      <c r="L74" s="6">
        <f t="shared" si="10"/>
        <v>0</v>
      </c>
      <c r="M74" s="3"/>
      <c r="N74" s="7">
        <f t="shared" si="11"/>
        <v>0</v>
      </c>
      <c r="O74" s="9"/>
      <c r="P74" s="6">
        <v>18.59</v>
      </c>
      <c r="Q74" s="3"/>
      <c r="R74" s="7">
        <f t="shared" si="12"/>
        <v>0</v>
      </c>
      <c r="S74" s="3"/>
      <c r="T74" s="6"/>
      <c r="U74" s="3"/>
      <c r="V74" s="7">
        <f t="shared" si="13"/>
        <v>0</v>
      </c>
      <c r="W74" s="3"/>
      <c r="X74" s="6">
        <f t="shared" si="14"/>
        <v>18.59</v>
      </c>
      <c r="Y74" s="3"/>
      <c r="Z74" s="7">
        <f t="shared" si="15"/>
        <v>0</v>
      </c>
    </row>
    <row r="75" spans="1:26" s="70" customFormat="1" ht="15" hidden="1" customHeight="1" outlineLevel="2" x14ac:dyDescent="0.3">
      <c r="A75" s="21"/>
      <c r="B75" s="9" t="str">
        <f>CONCATENATE("          ","6298"," - ","VEHICLE MILEAGE")</f>
        <v xml:space="preserve">          6298 - VEHICLE MILEAGE</v>
      </c>
      <c r="C75" s="9"/>
      <c r="D75" s="6"/>
      <c r="E75" s="3"/>
      <c r="F75" s="7">
        <f t="shared" si="8"/>
        <v>0</v>
      </c>
      <c r="G75" s="3"/>
      <c r="H75" s="6"/>
      <c r="I75" s="3"/>
      <c r="J75" s="7">
        <f t="shared" si="9"/>
        <v>0</v>
      </c>
      <c r="K75" s="3"/>
      <c r="L75" s="6">
        <f t="shared" si="10"/>
        <v>0</v>
      </c>
      <c r="M75" s="3"/>
      <c r="N75" s="7">
        <f t="shared" si="11"/>
        <v>0</v>
      </c>
      <c r="O75" s="9"/>
      <c r="P75" s="6">
        <v>122.65</v>
      </c>
      <c r="Q75" s="3"/>
      <c r="R75" s="7">
        <f t="shared" si="12"/>
        <v>0</v>
      </c>
      <c r="S75" s="3"/>
      <c r="T75" s="6"/>
      <c r="U75" s="3"/>
      <c r="V75" s="7">
        <f t="shared" si="13"/>
        <v>0</v>
      </c>
      <c r="W75" s="3"/>
      <c r="X75" s="6">
        <f t="shared" si="14"/>
        <v>122.65</v>
      </c>
      <c r="Y75" s="3"/>
      <c r="Z75" s="7">
        <f t="shared" si="15"/>
        <v>0</v>
      </c>
    </row>
    <row r="76" spans="1:26" s="69" customFormat="1" ht="15" customHeight="1" outlineLevel="1" collapsed="1" x14ac:dyDescent="0.3">
      <c r="A76" s="20"/>
      <c r="B76" s="11" t="str">
        <f>CONCATENATE("     ","Utilities                                         ")</f>
        <v xml:space="preserve">     Utilities                                         </v>
      </c>
      <c r="C76" s="11"/>
      <c r="D76" s="2">
        <f>SUM(OSRRefD22_16x_0)</f>
        <v>9517.98</v>
      </c>
      <c r="E76" s="2"/>
      <c r="F76" s="5">
        <f t="shared" si="8"/>
        <v>0</v>
      </c>
      <c r="G76" s="2"/>
      <c r="H76" s="2">
        <f>SUM(OSRRefH22_16x_0)</f>
        <v>5550</v>
      </c>
      <c r="I76" s="2"/>
      <c r="J76" s="5">
        <f t="shared" si="9"/>
        <v>0</v>
      </c>
      <c r="K76" s="2"/>
      <c r="L76" s="2">
        <f t="shared" si="10"/>
        <v>3967.9799999999996</v>
      </c>
      <c r="M76" s="2"/>
      <c r="N76" s="5">
        <f t="shared" si="11"/>
        <v>0.71495135135135124</v>
      </c>
      <c r="O76" s="11"/>
      <c r="P76" s="2">
        <f>SUM(OSRRefP22_16x_0)</f>
        <v>87861.92</v>
      </c>
      <c r="Q76" s="2"/>
      <c r="R76" s="5">
        <f t="shared" si="12"/>
        <v>0</v>
      </c>
      <c r="S76" s="2"/>
      <c r="T76" s="2">
        <f>SUM(OSRRefT22_16x_0)</f>
        <v>66600</v>
      </c>
      <c r="U76" s="2"/>
      <c r="V76" s="5">
        <f t="shared" si="13"/>
        <v>0</v>
      </c>
      <c r="W76" s="2"/>
      <c r="X76" s="2">
        <f t="shared" si="14"/>
        <v>21261.919999999998</v>
      </c>
      <c r="Y76" s="2"/>
      <c r="Z76" s="5">
        <f t="shared" si="15"/>
        <v>0.31924804804804802</v>
      </c>
    </row>
    <row r="77" spans="1:26" s="70" customFormat="1" ht="15" hidden="1" customHeight="1" outlineLevel="2" x14ac:dyDescent="0.3">
      <c r="A77" s="21"/>
      <c r="B77" s="9" t="str">
        <f>CONCATENATE("          ","6274"," - ","UTILITIES")</f>
        <v xml:space="preserve">          6274 - UTILITIES</v>
      </c>
      <c r="C77" s="9"/>
      <c r="D77" s="6">
        <v>9517.98</v>
      </c>
      <c r="E77" s="3"/>
      <c r="F77" s="7">
        <f t="shared" si="8"/>
        <v>0</v>
      </c>
      <c r="G77" s="3"/>
      <c r="H77" s="6">
        <v>5550</v>
      </c>
      <c r="I77" s="3"/>
      <c r="J77" s="7">
        <f t="shared" si="9"/>
        <v>0</v>
      </c>
      <c r="K77" s="3"/>
      <c r="L77" s="6">
        <f t="shared" si="10"/>
        <v>3967.9799999999996</v>
      </c>
      <c r="M77" s="3"/>
      <c r="N77" s="7">
        <f t="shared" si="11"/>
        <v>0.71495135135135124</v>
      </c>
      <c r="O77" s="9"/>
      <c r="P77" s="6">
        <v>87861.92</v>
      </c>
      <c r="Q77" s="3"/>
      <c r="R77" s="7">
        <f t="shared" si="12"/>
        <v>0</v>
      </c>
      <c r="S77" s="3"/>
      <c r="T77" s="6">
        <v>66600</v>
      </c>
      <c r="U77" s="3"/>
      <c r="V77" s="7">
        <f t="shared" si="13"/>
        <v>0</v>
      </c>
      <c r="W77" s="3"/>
      <c r="X77" s="6">
        <f t="shared" si="14"/>
        <v>21261.919999999998</v>
      </c>
      <c r="Y77" s="3"/>
      <c r="Z77" s="7">
        <f t="shared" si="15"/>
        <v>0.31924804804804802</v>
      </c>
    </row>
    <row r="78" spans="1:26" s="65" customFormat="1" ht="15" customHeight="1" x14ac:dyDescent="0.3">
      <c r="A78" s="36"/>
      <c r="B78" s="36"/>
      <c r="C78" s="36"/>
      <c r="D78" s="2"/>
      <c r="E78" s="2"/>
      <c r="F78" s="5"/>
      <c r="G78" s="2"/>
      <c r="H78" s="2"/>
      <c r="I78" s="2"/>
      <c r="J78" s="5"/>
      <c r="K78" s="2"/>
      <c r="L78" s="2"/>
      <c r="M78" s="2"/>
      <c r="N78" s="5"/>
      <c r="O78" s="36"/>
      <c r="P78" s="2"/>
      <c r="Q78" s="2"/>
      <c r="R78" s="5"/>
      <c r="S78" s="2"/>
      <c r="T78" s="2"/>
      <c r="U78" s="2"/>
      <c r="V78" s="5"/>
      <c r="W78" s="2"/>
      <c r="X78" s="2"/>
      <c r="Y78" s="2"/>
      <c r="Z78" s="5"/>
    </row>
    <row r="79" spans="1:26" s="63" customFormat="1" ht="15" customHeight="1" collapsed="1" x14ac:dyDescent="0.3">
      <c r="A79" s="13"/>
      <c r="B79" s="28" t="s">
        <v>291</v>
      </c>
      <c r="C79" s="13"/>
      <c r="D79" s="8">
        <f>SUM(OSRRefD25x_0)</f>
        <v>7555.69</v>
      </c>
      <c r="E79" s="8"/>
      <c r="F79" s="14">
        <f>IF(D$12=0,0,D79/D$12)</f>
        <v>0</v>
      </c>
      <c r="G79" s="8"/>
      <c r="H79" s="8">
        <f>SUM(OSRRefH25x_0)</f>
        <v>0</v>
      </c>
      <c r="I79" s="8"/>
      <c r="J79" s="14">
        <f>IF(H$12=0,0,H79/H$12)</f>
        <v>0</v>
      </c>
      <c r="K79" s="8"/>
      <c r="L79" s="8">
        <f>+D79-H79</f>
        <v>7555.69</v>
      </c>
      <c r="M79" s="8"/>
      <c r="N79" s="14">
        <f>IF(H79=0,0,L79/H79)</f>
        <v>0</v>
      </c>
      <c r="O79" s="13"/>
      <c r="P79" s="8">
        <f>SUM(OSRRefP25x_0)</f>
        <v>53663.3</v>
      </c>
      <c r="Q79" s="8"/>
      <c r="R79" s="14">
        <f>IF(P$12=0,0,P79/P$12)</f>
        <v>0</v>
      </c>
      <c r="S79" s="8"/>
      <c r="T79" s="8">
        <f>SUM(OSRRefT25x_0)</f>
        <v>0</v>
      </c>
      <c r="U79" s="8"/>
      <c r="V79" s="14">
        <f>IF(T$12=0,0,T79/T$12)</f>
        <v>0</v>
      </c>
      <c r="W79" s="8"/>
      <c r="X79" s="8">
        <f>+P79-T79</f>
        <v>53663.3</v>
      </c>
      <c r="Y79" s="8"/>
      <c r="Z79" s="14">
        <f>IF(T79=0,0,X79/T79)</f>
        <v>0</v>
      </c>
    </row>
    <row r="80" spans="1:26" s="70" customFormat="1" ht="15" hidden="1" customHeight="1" outlineLevel="1" x14ac:dyDescent="0.3">
      <c r="A80" s="48"/>
      <c r="B80" s="9" t="str">
        <f>CONCATENATE("          ","9150"," - ","MISC. INCOME")</f>
        <v xml:space="preserve">          9150 - MISC. INCOME</v>
      </c>
      <c r="C80" s="9"/>
      <c r="D80" s="3">
        <f>--7555.69</f>
        <v>7555.69</v>
      </c>
      <c r="E80" s="3"/>
      <c r="F80" s="26">
        <f>IF(D$12=0,0,D80/D$12)</f>
        <v>0</v>
      </c>
      <c r="G80" s="3"/>
      <c r="H80" s="3"/>
      <c r="I80" s="3"/>
      <c r="J80" s="26">
        <f>IF(H$12=0,0,H80/H$12)</f>
        <v>0</v>
      </c>
      <c r="K80" s="3"/>
      <c r="L80" s="3">
        <f>+D80-H80</f>
        <v>7555.69</v>
      </c>
      <c r="M80" s="3"/>
      <c r="N80" s="26">
        <f>IF(H80=0,0,L80/H80)</f>
        <v>0</v>
      </c>
      <c r="O80" s="9"/>
      <c r="P80" s="3">
        <f>--53663.3</f>
        <v>53663.3</v>
      </c>
      <c r="Q80" s="3"/>
      <c r="R80" s="26">
        <f>IF(P$12=0,0,P80/P$12)</f>
        <v>0</v>
      </c>
      <c r="S80" s="3"/>
      <c r="T80" s="3"/>
      <c r="U80" s="3"/>
      <c r="V80" s="26">
        <f>IF(T$12=0,0,T80/T$12)</f>
        <v>0</v>
      </c>
      <c r="W80" s="3"/>
      <c r="X80" s="3">
        <f>+P80-T80</f>
        <v>53663.3</v>
      </c>
      <c r="Y80" s="3"/>
      <c r="Z80" s="26">
        <f>IF(T80=0,0,X80/T80)</f>
        <v>0</v>
      </c>
    </row>
    <row r="81" spans="1:26" ht="15" customHeight="1" x14ac:dyDescent="0.3">
      <c r="A81" s="12"/>
      <c r="B81" s="13"/>
      <c r="C81" s="13"/>
      <c r="D81" s="4"/>
      <c r="E81" s="4"/>
      <c r="F81" s="10"/>
      <c r="G81" s="4"/>
      <c r="H81" s="4"/>
      <c r="I81" s="4"/>
      <c r="J81" s="10"/>
      <c r="K81" s="4"/>
      <c r="L81" s="4"/>
      <c r="M81" s="4"/>
      <c r="N81" s="10"/>
      <c r="O81" s="13"/>
      <c r="P81" s="4"/>
      <c r="Q81" s="4"/>
      <c r="R81" s="10"/>
      <c r="S81" s="4"/>
      <c r="T81" s="4"/>
      <c r="U81" s="4"/>
      <c r="V81" s="10"/>
      <c r="W81" s="4"/>
      <c r="X81" s="4"/>
      <c r="Y81" s="4"/>
      <c r="Z81" s="10"/>
    </row>
    <row r="82" spans="1:26" s="63" customFormat="1" ht="15" customHeight="1" x14ac:dyDescent="0.3">
      <c r="A82" s="13"/>
      <c r="B82" s="27" t="s">
        <v>292</v>
      </c>
      <c r="C82" s="27"/>
      <c r="D82" s="23">
        <f>+D16-D18+D79</f>
        <v>-61543.839999999997</v>
      </c>
      <c r="E82" s="15"/>
      <c r="F82" s="22">
        <f>IF(D$12=0,0,D82/D$12)</f>
        <v>0</v>
      </c>
      <c r="G82" s="15"/>
      <c r="H82" s="23">
        <f>+H16-H18+H79</f>
        <v>-41372.132430769241</v>
      </c>
      <c r="I82" s="15"/>
      <c r="J82" s="22">
        <f>IF(H$12=0,0,H82/H$12)</f>
        <v>0</v>
      </c>
      <c r="K82" s="17"/>
      <c r="L82" s="23">
        <f>+D82-H82</f>
        <v>-20171.707569230755</v>
      </c>
      <c r="M82" s="17"/>
      <c r="N82" s="22">
        <f>IF(H82=0,0,L82/H82)</f>
        <v>0.48756750943368521</v>
      </c>
      <c r="O82" s="28"/>
      <c r="P82" s="23">
        <f>+P16-P18+P79</f>
        <v>-583387.35000000009</v>
      </c>
      <c r="Q82" s="15"/>
      <c r="R82" s="22">
        <f>IF(P$12=0,0,P82/P$12)</f>
        <v>0</v>
      </c>
      <c r="S82" s="15"/>
      <c r="T82" s="23">
        <f>+T16-T18+T79</f>
        <v>-536757.72160000005</v>
      </c>
      <c r="U82" s="15"/>
      <c r="V82" s="22">
        <f>IF(T$12=0,0,T82/T$12)</f>
        <v>0</v>
      </c>
      <c r="W82" s="17"/>
      <c r="X82" s="23">
        <f>+P82-T82</f>
        <v>-46629.628400000045</v>
      </c>
      <c r="Y82" s="17"/>
      <c r="Z82" s="22">
        <f>IF(T82=0,0,X82/T82)</f>
        <v>8.6872766843490601E-2</v>
      </c>
    </row>
    <row r="83" spans="1:26" ht="15" customHeight="1" x14ac:dyDescent="0.3">
      <c r="A83" s="12"/>
      <c r="B83" s="13"/>
      <c r="C83" s="12"/>
      <c r="D83" s="4"/>
      <c r="E83" s="4"/>
      <c r="F83" s="10"/>
      <c r="G83" s="4"/>
      <c r="H83" s="4"/>
      <c r="I83" s="4"/>
      <c r="J83" s="10"/>
      <c r="K83" s="4"/>
      <c r="L83" s="4"/>
      <c r="M83" s="4"/>
      <c r="N83" s="10"/>
      <c r="P83" s="4"/>
      <c r="Q83" s="4"/>
      <c r="R83" s="10"/>
      <c r="S83" s="4"/>
      <c r="T83" s="4"/>
      <c r="U83" s="4"/>
      <c r="V83" s="10"/>
      <c r="W83" s="4"/>
      <c r="X83" s="4"/>
      <c r="Y83" s="4"/>
      <c r="Z83" s="10"/>
    </row>
    <row r="84" spans="1:26" s="63" customFormat="1" ht="15" customHeight="1" x14ac:dyDescent="0.3">
      <c r="A84" s="49"/>
      <c r="B84" s="13" t="s">
        <v>293</v>
      </c>
      <c r="C84" s="13"/>
      <c r="D84" s="8"/>
      <c r="E84" s="8"/>
      <c r="F84" s="14">
        <f>IF(D$12=0,0,D84/D$12)</f>
        <v>0</v>
      </c>
      <c r="G84" s="8"/>
      <c r="H84" s="8"/>
      <c r="I84" s="8"/>
      <c r="J84" s="14">
        <f>IF(H$12=0,0,H84/H$12)</f>
        <v>0</v>
      </c>
      <c r="K84" s="8"/>
      <c r="L84" s="8">
        <f>+D84-H84</f>
        <v>0</v>
      </c>
      <c r="M84" s="8"/>
      <c r="N84" s="14">
        <f>IF(H84=0,0,L84/H84)</f>
        <v>0</v>
      </c>
      <c r="O84" s="13"/>
      <c r="P84" s="8"/>
      <c r="Q84" s="8"/>
      <c r="R84" s="14">
        <f>IF(P$12=0,0,P84/P$12)</f>
        <v>0</v>
      </c>
      <c r="S84" s="8"/>
      <c r="T84" s="8"/>
      <c r="U84" s="8"/>
      <c r="V84" s="14">
        <f>IF(T$12=0,0,T84/T$12)</f>
        <v>0</v>
      </c>
      <c r="W84" s="8"/>
      <c r="X84" s="8">
        <f>+P84-T84</f>
        <v>0</v>
      </c>
      <c r="Y84" s="8"/>
      <c r="Z84" s="14">
        <f>IF(T84=0,0,X84/T84)</f>
        <v>0</v>
      </c>
    </row>
    <row r="85" spans="1:26" ht="15" customHeight="1" x14ac:dyDescent="0.3">
      <c r="A85" s="12"/>
      <c r="B85" s="13"/>
      <c r="C85" s="13"/>
      <c r="D85" s="4"/>
      <c r="E85" s="4"/>
      <c r="F85" s="10"/>
      <c r="G85" s="4"/>
      <c r="H85" s="4"/>
      <c r="I85" s="4"/>
      <c r="J85" s="10"/>
      <c r="K85" s="4"/>
      <c r="L85" s="4"/>
      <c r="M85" s="4"/>
      <c r="N85" s="10"/>
      <c r="O85" s="13"/>
      <c r="P85" s="4"/>
      <c r="Q85" s="4"/>
      <c r="R85" s="10"/>
      <c r="S85" s="4"/>
      <c r="T85" s="4"/>
      <c r="U85" s="4"/>
      <c r="V85" s="10"/>
      <c r="W85" s="4"/>
      <c r="X85" s="4"/>
      <c r="Y85" s="4"/>
      <c r="Z85" s="10"/>
    </row>
    <row r="86" spans="1:26" s="63" customFormat="1" ht="15" customHeight="1" x14ac:dyDescent="0.3">
      <c r="A86" s="13"/>
      <c r="B86" s="27" t="s">
        <v>294</v>
      </c>
      <c r="C86" s="27"/>
      <c r="D86" s="30">
        <f>+D82-D84</f>
        <v>-61543.839999999997</v>
      </c>
      <c r="E86" s="15"/>
      <c r="F86" s="35">
        <f>IF(D$12=0,0,D86/D$12)</f>
        <v>0</v>
      </c>
      <c r="G86" s="15"/>
      <c r="H86" s="30">
        <f>+H82-H84</f>
        <v>-41372.132430769241</v>
      </c>
      <c r="I86" s="15"/>
      <c r="J86" s="35">
        <f>IF(H$12=0,0,H86/H$12)</f>
        <v>0</v>
      </c>
      <c r="K86" s="17"/>
      <c r="L86" s="30">
        <f>D86-H86</f>
        <v>-20171.707569230755</v>
      </c>
      <c r="M86" s="17"/>
      <c r="N86" s="35">
        <f>IF(H86=0,0,L86/H86)</f>
        <v>0.48756750943368521</v>
      </c>
      <c r="O86" s="28"/>
      <c r="P86" s="30">
        <f>+P82-P84</f>
        <v>-583387.35000000009</v>
      </c>
      <c r="Q86" s="15"/>
      <c r="R86" s="35">
        <f>IF(P$12=0,0,P86/P$12)</f>
        <v>0</v>
      </c>
      <c r="S86" s="15"/>
      <c r="T86" s="30">
        <f>+T82-T84</f>
        <v>-536757.72160000005</v>
      </c>
      <c r="U86" s="15"/>
      <c r="V86" s="35">
        <f>IF(T$12=0,0,T86/T$12)</f>
        <v>0</v>
      </c>
      <c r="W86" s="17"/>
      <c r="X86" s="30">
        <f>P86-T86</f>
        <v>-46629.628400000045</v>
      </c>
      <c r="Y86" s="17"/>
      <c r="Z86" s="35">
        <f>IF(T86=0,0,X86/T86)</f>
        <v>8.6872766843490601E-2</v>
      </c>
    </row>
    <row r="87" spans="1:26" ht="15" customHeight="1" x14ac:dyDescent="0.3">
      <c r="A87" s="12"/>
      <c r="B87" s="12"/>
      <c r="C87" s="12"/>
      <c r="D87" s="4"/>
      <c r="E87" s="4"/>
      <c r="F87" s="10"/>
      <c r="G87" s="4"/>
      <c r="H87" s="4"/>
      <c r="I87" s="4"/>
      <c r="J87" s="10"/>
      <c r="K87" s="4"/>
      <c r="L87" s="4"/>
      <c r="M87" s="4"/>
      <c r="N87" s="10"/>
      <c r="P87" s="4"/>
      <c r="Q87" s="4"/>
      <c r="R87" s="10"/>
      <c r="S87" s="4"/>
      <c r="T87" s="4"/>
      <c r="U87" s="4"/>
      <c r="V87" s="10"/>
      <c r="W87" s="4"/>
      <c r="X87" s="4"/>
      <c r="Y87" s="4"/>
      <c r="Z87" s="10"/>
    </row>
    <row r="88" spans="1:26" ht="15" customHeight="1" x14ac:dyDescent="0.3">
      <c r="A88" s="12"/>
      <c r="B88" s="12"/>
      <c r="C88" s="12"/>
      <c r="D88" s="4"/>
      <c r="E88" s="4"/>
      <c r="F88" s="10"/>
      <c r="G88" s="4"/>
      <c r="H88" s="4"/>
      <c r="I88" s="4"/>
      <c r="J88" s="10"/>
      <c r="K88" s="4"/>
      <c r="L88" s="4"/>
      <c r="M88" s="4"/>
      <c r="N88" s="10"/>
      <c r="P88" s="4"/>
      <c r="Q88" s="4"/>
      <c r="R88" s="10"/>
      <c r="S88" s="4"/>
      <c r="T88" s="4"/>
      <c r="U88" s="4"/>
      <c r="V88" s="10"/>
      <c r="W88" s="4"/>
      <c r="X88" s="4"/>
      <c r="Y88" s="4"/>
      <c r="Z88" s="10"/>
    </row>
    <row r="89" spans="1:26" s="63" customFormat="1" ht="15" customHeight="1" x14ac:dyDescent="0.3">
      <c r="A89" s="13"/>
      <c r="B89" s="27" t="s">
        <v>297</v>
      </c>
      <c r="C89" s="27"/>
      <c r="D89" s="33">
        <f>SUM(D86:D88)</f>
        <v>-61543.839999999997</v>
      </c>
      <c r="E89" s="15"/>
      <c r="F89" s="31">
        <f>IF(D$12=0,0,D89/D$12)</f>
        <v>0</v>
      </c>
      <c r="G89" s="15"/>
      <c r="H89" s="33">
        <f>SUM(H86:H88)</f>
        <v>-41372.132430769241</v>
      </c>
      <c r="I89" s="15"/>
      <c r="J89" s="31">
        <f>IF(H$12=0,0,H89/H$12)</f>
        <v>0</v>
      </c>
      <c r="K89" s="17"/>
      <c r="L89" s="33">
        <f>+D89-H89</f>
        <v>-20171.707569230755</v>
      </c>
      <c r="M89" s="17"/>
      <c r="N89" s="31">
        <f>IF(H89=0,0,L89/H89)</f>
        <v>0.48756750943368521</v>
      </c>
      <c r="O89" s="28"/>
      <c r="P89" s="33">
        <f>SUM(P86:P88)</f>
        <v>-583387.35000000009</v>
      </c>
      <c r="Q89" s="15"/>
      <c r="R89" s="31">
        <f>IF(P$12=0,0,P89/P$12)</f>
        <v>0</v>
      </c>
      <c r="S89" s="15"/>
      <c r="T89" s="33">
        <f>SUM(T86:T88)</f>
        <v>-536757.72160000005</v>
      </c>
      <c r="U89" s="15"/>
      <c r="V89" s="31">
        <f>IF(T$12=0,0,T89/T$12)</f>
        <v>0</v>
      </c>
      <c r="W89" s="17"/>
      <c r="X89" s="33">
        <f>+P89-T89</f>
        <v>-46629.628400000045</v>
      </c>
      <c r="Y89" s="17"/>
      <c r="Z89" s="31">
        <f>IF(T89=0,0,X89/T89)</f>
        <v>8.6872766843490601E-2</v>
      </c>
    </row>
    <row r="90" spans="1:26" ht="15" customHeight="1" x14ac:dyDescent="0.3">
      <c r="A90" s="12"/>
      <c r="C90" s="12"/>
      <c r="D90" s="19"/>
      <c r="E90" s="19"/>
      <c r="G90" s="19"/>
      <c r="H90" s="19"/>
      <c r="I90" s="19"/>
      <c r="J90" s="41"/>
      <c r="K90" s="19"/>
      <c r="L90" s="19"/>
      <c r="M90" s="19"/>
      <c r="P90" s="19"/>
      <c r="Q90" s="19"/>
      <c r="R90" s="41"/>
      <c r="S90" s="19"/>
      <c r="T90" s="19"/>
      <c r="U90" s="19"/>
      <c r="V90" s="41"/>
      <c r="W90" s="19"/>
      <c r="X90" s="19"/>
    </row>
    <row r="91" spans="1:26" ht="15" customHeight="1" x14ac:dyDescent="0.3">
      <c r="A91" s="12"/>
      <c r="B91" s="50">
        <v>44767.799547766204</v>
      </c>
      <c r="D91" s="19"/>
      <c r="E91" s="19"/>
      <c r="G91" s="19"/>
      <c r="H91" s="19"/>
      <c r="I91" s="19"/>
      <c r="J91" s="41"/>
      <c r="K91" s="19"/>
      <c r="L91" s="19"/>
      <c r="M91" s="19"/>
      <c r="P91" s="19"/>
      <c r="Q91" s="19"/>
      <c r="R91" s="41"/>
      <c r="S91" s="19"/>
      <c r="T91" s="19"/>
      <c r="U91" s="19"/>
      <c r="V91" s="41"/>
      <c r="W91" s="19"/>
      <c r="X91" s="19"/>
    </row>
    <row r="92" spans="1:26" ht="15" customHeight="1" x14ac:dyDescent="0.3">
      <c r="A92" s="12"/>
      <c r="B92" s="57" t="s">
        <v>298</v>
      </c>
      <c r="D92" s="19"/>
      <c r="E92" s="19"/>
      <c r="G92" s="19"/>
      <c r="H92" s="19"/>
      <c r="I92" s="19"/>
      <c r="J92" s="41"/>
      <c r="K92" s="19"/>
      <c r="L92" s="19"/>
      <c r="M92" s="19"/>
      <c r="P92" s="19"/>
      <c r="Q92" s="19"/>
      <c r="R92" s="41"/>
      <c r="S92" s="19"/>
      <c r="T92" s="19"/>
      <c r="U92" s="19"/>
      <c r="V92" s="41"/>
      <c r="W92" s="19"/>
      <c r="X92" s="19"/>
    </row>
    <row r="93" spans="1:26" ht="15" customHeight="1" x14ac:dyDescent="0.3">
      <c r="A93" s="12"/>
      <c r="B93" s="51"/>
      <c r="D93" s="19"/>
      <c r="E93" s="19"/>
      <c r="G93" s="19"/>
      <c r="H93" s="19"/>
      <c r="I93" s="19"/>
      <c r="J93" s="41"/>
      <c r="K93" s="19"/>
      <c r="L93" s="19"/>
      <c r="M93" s="19"/>
      <c r="P93" s="19"/>
      <c r="Q93" s="19"/>
      <c r="R93" s="41"/>
      <c r="S93" s="19"/>
      <c r="T93" s="19"/>
      <c r="U93" s="19"/>
      <c r="V93" s="41"/>
      <c r="W93" s="19"/>
      <c r="X93" s="19"/>
    </row>
    <row r="94" spans="1:26" ht="15" customHeight="1" x14ac:dyDescent="0.3">
      <c r="D94" s="19"/>
      <c r="E94" s="19"/>
      <c r="G94" s="19"/>
      <c r="H94" s="19"/>
      <c r="I94" s="19"/>
      <c r="J94" s="41"/>
      <c r="K94" s="19"/>
      <c r="L94" s="19"/>
      <c r="M94" s="19"/>
      <c r="P94" s="19"/>
      <c r="Q94" s="19"/>
      <c r="R94" s="41"/>
      <c r="S94" s="19"/>
      <c r="T94" s="19"/>
      <c r="U94" s="19"/>
      <c r="V94" s="41"/>
      <c r="W94" s="19"/>
      <c r="X94" s="19"/>
    </row>
  </sheetData>
  <pageMargins left="0.25" right="0.25" top="0.75" bottom="0.75" header="0.3" footer="0.3"/>
  <pageSetup scale="55" orientation="landscape" r:id="rId1"/>
  <headerFooter>
    <oddHeader>&amp;RPre-Audit</oddHeader>
    <oddFooter>&amp;L&amp;C&amp;R</oddFooter>
    <evenHeader>&amp;L&amp;C&amp;R</evenHeader>
    <evenFooter>&amp;L&amp;C&amp;R</even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C9081D-6308-847E-2D33-A0F3E73C4C7B}">
  <sheetPr>
    <tabColor rgb="FF92D050"/>
    <outlinePr summaryBelow="0" summaryRight="0"/>
  </sheetPr>
  <dimension ref="A2:Z45"/>
  <sheetViews>
    <sheetView showGridLines="0" defaultGridColor="0" colorId="8" zoomScale="80" workbookViewId="0">
      <pane xSplit="3" ySplit="10" topLeftCell="D11" activePane="bottomRight" state="frozen"/>
      <selection activeCell="D78" sqref="D78"/>
      <selection pane="topRight" activeCell="D78" sqref="D78"/>
      <selection pane="bottomLeft" activeCell="D78" sqref="D78"/>
      <selection pane="bottomRight" activeCell="D78" sqref="D78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3" t="s">
        <v>276</v>
      </c>
    </row>
    <row r="3" spans="1:26" ht="15" customHeight="1" x14ac:dyDescent="0.3">
      <c r="D3" s="53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3" t="str">
        <f>CONCATENATE("Period ",RIGHT(202212,2),", ",2022)</f>
        <v>Period 12,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5"/>
      <c r="D5" s="60">
        <v>44742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5"/>
      <c r="B6" s="47"/>
      <c r="C6" s="47"/>
      <c r="D6" s="25" t="str">
        <f>CONCATENATE("Department ","412"," - ","Chartroom")</f>
        <v>Department 412 - Chartroom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4"/>
    </row>
    <row r="8" spans="1:26" ht="15" customHeight="1" x14ac:dyDescent="0.3">
      <c r="B8" s="54"/>
    </row>
    <row r="9" spans="1:26" ht="15" customHeight="1" x14ac:dyDescent="0.3">
      <c r="B9" s="12"/>
      <c r="C9" s="12"/>
      <c r="D9" s="16" t="s">
        <v>279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280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ht="15" customHeight="1" x14ac:dyDescent="0.3">
      <c r="A10" s="13"/>
      <c r="B10" s="52"/>
      <c r="C10" s="13"/>
      <c r="D10" s="40" t="s">
        <v>281</v>
      </c>
      <c r="E10" s="32"/>
      <c r="F10" s="39" t="s">
        <v>282</v>
      </c>
      <c r="G10" s="32"/>
      <c r="H10" s="45" t="s">
        <v>283</v>
      </c>
      <c r="I10" s="32"/>
      <c r="J10" s="42" t="s">
        <v>284</v>
      </c>
      <c r="K10" s="13"/>
      <c r="L10" s="40" t="s">
        <v>285</v>
      </c>
      <c r="M10" s="13"/>
      <c r="N10" s="39" t="s">
        <v>286</v>
      </c>
      <c r="O10" s="13"/>
      <c r="P10" s="55" t="s">
        <v>281</v>
      </c>
      <c r="Q10" s="32"/>
      <c r="R10" s="39" t="s">
        <v>282</v>
      </c>
      <c r="S10" s="32"/>
      <c r="T10" s="45" t="s">
        <v>283</v>
      </c>
      <c r="U10" s="32"/>
      <c r="V10" s="42" t="s">
        <v>284</v>
      </c>
      <c r="W10" s="13"/>
      <c r="X10" s="40" t="s">
        <v>285</v>
      </c>
      <c r="Y10" s="13"/>
      <c r="Z10" s="39" t="s">
        <v>286</v>
      </c>
    </row>
    <row r="11" spans="1:26" ht="16.5" customHeight="1" x14ac:dyDescent="0.3">
      <c r="A11" s="12"/>
      <c r="B11" s="58"/>
      <c r="C11" s="12"/>
      <c r="D11" s="12"/>
      <c r="E11" s="12"/>
      <c r="F11" s="10"/>
      <c r="G11" s="12"/>
      <c r="H11" s="12"/>
      <c r="I11" s="12"/>
      <c r="J11" s="43"/>
      <c r="K11" s="12"/>
      <c r="L11" s="12"/>
      <c r="M11" s="12"/>
      <c r="N11" s="10"/>
      <c r="P11" s="12"/>
      <c r="Q11" s="12"/>
      <c r="R11" s="10"/>
      <c r="S11" s="12"/>
      <c r="T11" s="12"/>
      <c r="U11" s="12"/>
      <c r="V11" s="43"/>
      <c r="W11" s="12"/>
      <c r="X11" s="12"/>
      <c r="Y11" s="12"/>
      <c r="Z11" s="10"/>
    </row>
    <row r="12" spans="1:26" s="63" customFormat="1" ht="15" customHeight="1" x14ac:dyDescent="0.3">
      <c r="A12" s="13"/>
      <c r="B12" s="28" t="s">
        <v>287</v>
      </c>
      <c r="C12" s="13"/>
      <c r="D12" s="8">
        <f>SUM(0)</f>
        <v>0</v>
      </c>
      <c r="E12" s="8"/>
      <c r="F12" s="14"/>
      <c r="G12" s="8"/>
      <c r="H12" s="8">
        <f>SUM(0)</f>
        <v>0</v>
      </c>
      <c r="I12" s="8"/>
      <c r="J12" s="14"/>
      <c r="K12" s="8"/>
      <c r="L12" s="8">
        <f>+D12-H12</f>
        <v>0</v>
      </c>
      <c r="M12" s="8"/>
      <c r="N12" s="14">
        <f>IF(H12=0,0,L12/H12)</f>
        <v>0</v>
      </c>
      <c r="O12" s="13"/>
      <c r="P12" s="8">
        <f>SUM(0)</f>
        <v>0</v>
      </c>
      <c r="Q12" s="8"/>
      <c r="R12" s="14"/>
      <c r="S12" s="8"/>
      <c r="T12" s="8">
        <f>SUM(0)</f>
        <v>0</v>
      </c>
      <c r="U12" s="8"/>
      <c r="V12" s="14"/>
      <c r="W12" s="8"/>
      <c r="X12" s="8">
        <f>+P12-T12</f>
        <v>0</v>
      </c>
      <c r="Y12" s="8"/>
      <c r="Z12" s="14">
        <f>IF(T12=0,0,X12/T12)</f>
        <v>0</v>
      </c>
    </row>
    <row r="13" spans="1:26" ht="15" customHeight="1" x14ac:dyDescent="0.3">
      <c r="A13" s="12"/>
      <c r="B13" s="13"/>
      <c r="C13" s="12"/>
      <c r="D13" s="4"/>
      <c r="E13" s="4"/>
      <c r="F13" s="10"/>
      <c r="G13" s="4"/>
      <c r="H13" s="4"/>
      <c r="I13" s="4"/>
      <c r="J13" s="10"/>
      <c r="K13" s="4"/>
      <c r="L13" s="4"/>
      <c r="M13" s="4"/>
      <c r="N13" s="10"/>
      <c r="P13" s="4"/>
      <c r="Q13" s="4"/>
      <c r="R13" s="10"/>
      <c r="S13" s="4"/>
      <c r="T13" s="4"/>
      <c r="U13" s="4"/>
      <c r="V13" s="10"/>
      <c r="W13" s="4"/>
      <c r="X13" s="4"/>
      <c r="Y13" s="4"/>
      <c r="Z13" s="10"/>
    </row>
    <row r="14" spans="1:26" s="63" customFormat="1" ht="15" customHeight="1" collapsed="1" x14ac:dyDescent="0.3">
      <c r="A14" s="13"/>
      <c r="B14" s="28" t="s">
        <v>288</v>
      </c>
      <c r="C14" s="13"/>
      <c r="D14" s="8">
        <f>SUM(OSRRefD16x_0)</f>
        <v>2343</v>
      </c>
      <c r="E14" s="8"/>
      <c r="F14" s="14">
        <f>IF(D$12=0,0,D14/D$12)</f>
        <v>0</v>
      </c>
      <c r="G14" s="8"/>
      <c r="H14" s="8">
        <f>SUM(OSRRefH16x_0)</f>
        <v>0</v>
      </c>
      <c r="I14" s="8"/>
      <c r="J14" s="14">
        <f>IF(H$12=0,0,H14/H$12)</f>
        <v>0</v>
      </c>
      <c r="K14" s="8"/>
      <c r="L14" s="8">
        <f>+D14-H14</f>
        <v>2343</v>
      </c>
      <c r="M14" s="8"/>
      <c r="N14" s="14">
        <f>IF(H14=0,0,L14/H14)</f>
        <v>0</v>
      </c>
      <c r="O14" s="13"/>
      <c r="P14" s="8">
        <f>SUM(OSRRefP16x_0)</f>
        <v>2343</v>
      </c>
      <c r="Q14" s="8"/>
      <c r="R14" s="14">
        <f>IF(P$12=0,0,P14/P$12)</f>
        <v>0</v>
      </c>
      <c r="S14" s="8"/>
      <c r="T14" s="8">
        <f>SUM(OSRRefT16x_0)</f>
        <v>0</v>
      </c>
      <c r="U14" s="8"/>
      <c r="V14" s="14">
        <f>IF(T$12=0,0,T14/T$12)</f>
        <v>0</v>
      </c>
      <c r="W14" s="8"/>
      <c r="X14" s="8">
        <f>+P14-T14</f>
        <v>2343</v>
      </c>
      <c r="Y14" s="8"/>
      <c r="Z14" s="14">
        <f>IF(T14=0,0,X14/T14)</f>
        <v>0</v>
      </c>
    </row>
    <row r="15" spans="1:26" s="70" customFormat="1" ht="15" hidden="1" customHeight="1" outlineLevel="1" x14ac:dyDescent="0.3">
      <c r="A15" s="48"/>
      <c r="B15" s="9" t="str">
        <f>CONCATENATE("          ","5059"," - ","PURCHASES @ COST-FOOD")</f>
        <v xml:space="preserve">          5059 - PURCHASES @ COST-FOOD</v>
      </c>
      <c r="C15" s="9"/>
      <c r="D15" s="3">
        <v>2343</v>
      </c>
      <c r="E15" s="3"/>
      <c r="F15" s="26">
        <f>IF(D$12=0,0,D15/D$12)</f>
        <v>0</v>
      </c>
      <c r="G15" s="3"/>
      <c r="H15" s="3"/>
      <c r="I15" s="3"/>
      <c r="J15" s="26">
        <f>IF(H$12=0,0,H15/H$12)</f>
        <v>0</v>
      </c>
      <c r="K15" s="3"/>
      <c r="L15" s="3">
        <f>+D15-H15</f>
        <v>2343</v>
      </c>
      <c r="M15" s="3"/>
      <c r="N15" s="26">
        <f>IF(H15=0,0,L15/H15)</f>
        <v>0</v>
      </c>
      <c r="O15" s="9"/>
      <c r="P15" s="3">
        <v>2343</v>
      </c>
      <c r="Q15" s="3"/>
      <c r="R15" s="26">
        <f>IF(P$12=0,0,P15/P$12)</f>
        <v>0</v>
      </c>
      <c r="S15" s="3"/>
      <c r="T15" s="3"/>
      <c r="U15" s="3"/>
      <c r="V15" s="26">
        <f>IF(T$12=0,0,T15/T$12)</f>
        <v>0</v>
      </c>
      <c r="W15" s="3"/>
      <c r="X15" s="3">
        <f>+P15-T15</f>
        <v>2343</v>
      </c>
      <c r="Y15" s="3"/>
      <c r="Z15" s="26">
        <f>IF(T15=0,0,X15/T15)</f>
        <v>0</v>
      </c>
    </row>
    <row r="16" spans="1:26" ht="15" customHeight="1" x14ac:dyDescent="0.3">
      <c r="A16" s="12"/>
      <c r="B16" s="13"/>
      <c r="C16" s="13"/>
      <c r="D16" s="4"/>
      <c r="E16" s="4"/>
      <c r="F16" s="10"/>
      <c r="G16" s="4"/>
      <c r="H16" s="4"/>
      <c r="I16" s="4"/>
      <c r="J16" s="10"/>
      <c r="K16" s="4"/>
      <c r="L16" s="4"/>
      <c r="M16" s="4"/>
      <c r="N16" s="10"/>
      <c r="O16" s="13"/>
      <c r="P16" s="4"/>
      <c r="Q16" s="4"/>
      <c r="R16" s="10"/>
      <c r="S16" s="4"/>
      <c r="T16" s="4"/>
      <c r="U16" s="4"/>
      <c r="V16" s="10"/>
      <c r="W16" s="4"/>
      <c r="X16" s="4"/>
      <c r="Y16" s="4"/>
      <c r="Z16" s="10"/>
    </row>
    <row r="17" spans="1:26" s="63" customFormat="1" ht="15" customHeight="1" x14ac:dyDescent="0.3">
      <c r="A17" s="13"/>
      <c r="B17" s="27" t="s">
        <v>289</v>
      </c>
      <c r="C17" s="27"/>
      <c r="D17" s="23">
        <f>D12-D14</f>
        <v>-2343</v>
      </c>
      <c r="E17" s="15"/>
      <c r="F17" s="22">
        <f>IF(D$12=0,0,D17/D$12)</f>
        <v>0</v>
      </c>
      <c r="G17" s="15"/>
      <c r="H17" s="23">
        <f>H12-H14</f>
        <v>0</v>
      </c>
      <c r="I17" s="15"/>
      <c r="J17" s="22">
        <f>IF(H$12=0,0,H17/H$12)</f>
        <v>0</v>
      </c>
      <c r="K17" s="17"/>
      <c r="L17" s="23">
        <f>+D17-H17</f>
        <v>-2343</v>
      </c>
      <c r="M17" s="17"/>
      <c r="N17" s="22">
        <f>IF(H17=0,0,L17/H17)</f>
        <v>0</v>
      </c>
      <c r="O17" s="28"/>
      <c r="P17" s="23">
        <f>P12-P14</f>
        <v>-2343</v>
      </c>
      <c r="Q17" s="15"/>
      <c r="R17" s="22">
        <f>IF(P$12=0,0,P17/P$12)</f>
        <v>0</v>
      </c>
      <c r="S17" s="15"/>
      <c r="T17" s="23">
        <f>T12-T14</f>
        <v>0</v>
      </c>
      <c r="U17" s="15"/>
      <c r="V17" s="22">
        <f>IF(T$12=0,0,T17/T$12)</f>
        <v>0</v>
      </c>
      <c r="W17" s="17"/>
      <c r="X17" s="23">
        <f>+P17-T17</f>
        <v>-2343</v>
      </c>
      <c r="Y17" s="17"/>
      <c r="Z17" s="22">
        <f>IF(T17=0,0,X17/T17)</f>
        <v>0</v>
      </c>
    </row>
    <row r="18" spans="1:26" ht="15" customHeight="1" x14ac:dyDescent="0.3">
      <c r="A18" s="12"/>
      <c r="B18" s="13"/>
      <c r="C18" s="12"/>
      <c r="D18" s="2"/>
      <c r="E18" s="2"/>
      <c r="F18" s="5"/>
      <c r="G18" s="2"/>
      <c r="H18" s="2"/>
      <c r="I18" s="2"/>
      <c r="J18" s="5"/>
      <c r="K18" s="2"/>
      <c r="L18" s="2"/>
      <c r="M18" s="2"/>
      <c r="N18" s="5"/>
      <c r="O18" s="36"/>
      <c r="P18" s="2"/>
      <c r="Q18" s="2"/>
      <c r="R18" s="5"/>
      <c r="S18" s="2"/>
      <c r="T18" s="2"/>
      <c r="U18" s="2"/>
      <c r="V18" s="5"/>
      <c r="W18" s="2"/>
      <c r="X18" s="2"/>
      <c r="Y18" s="2"/>
      <c r="Z18" s="5"/>
    </row>
    <row r="19" spans="1:26" s="63" customFormat="1" ht="15" customHeight="1" x14ac:dyDescent="0.3">
      <c r="A19" s="13"/>
      <c r="B19" s="28" t="s">
        <v>290</v>
      </c>
      <c r="C19" s="13"/>
      <c r="D19" s="24" cm="1">
        <f t="array" ref="D19">SUM(OSRRefD22x_0)</f>
        <v>577.49</v>
      </c>
      <c r="E19" s="24"/>
      <c r="F19" s="34">
        <f t="shared" ref="F19:F29" si="0">IF(D$12=0,0,D19/D$12)</f>
        <v>0</v>
      </c>
      <c r="G19" s="24"/>
      <c r="H19" s="24" cm="1">
        <f t="array" ref="H19">SUM(OSRRefH22x_0)</f>
        <v>577</v>
      </c>
      <c r="I19" s="24"/>
      <c r="J19" s="34">
        <f t="shared" ref="J19:J29" si="1">IF(H$12=0,0,H19/H$12)</f>
        <v>0</v>
      </c>
      <c r="K19" s="8"/>
      <c r="L19" s="24">
        <f t="shared" ref="L19:L29" si="2">+D19-H19</f>
        <v>0.49000000000000909</v>
      </c>
      <c r="M19" s="8"/>
      <c r="N19" s="34">
        <f t="shared" ref="N19:N29" si="3">IF(H19=0,0,L19/H19)</f>
        <v>8.4922010398615099E-4</v>
      </c>
      <c r="O19" s="13"/>
      <c r="P19" s="24" cm="1">
        <f t="array" ref="P19">SUM(OSRRefP22x_0)</f>
        <v>6988.4900000000007</v>
      </c>
      <c r="Q19" s="24"/>
      <c r="R19" s="34">
        <f t="shared" ref="R19:R29" si="4">IF(P$12=0,0,P19/P$12)</f>
        <v>0</v>
      </c>
      <c r="S19" s="24"/>
      <c r="T19" s="24" cm="1">
        <f t="array" ref="T19">SUM(OSRRefT22x_0)</f>
        <v>6924</v>
      </c>
      <c r="U19" s="24"/>
      <c r="V19" s="34">
        <f t="shared" ref="V19:V29" si="5">IF(T$12=0,0,T19/T$12)</f>
        <v>0</v>
      </c>
      <c r="W19" s="8"/>
      <c r="X19" s="24">
        <f t="shared" ref="X19:X29" si="6">+P19-T19</f>
        <v>64.490000000000691</v>
      </c>
      <c r="Y19" s="8"/>
      <c r="Z19" s="34">
        <f t="shared" ref="Z19:Z29" si="7">IF(T19=0,0,X19/T19)</f>
        <v>9.3139803581745659E-3</v>
      </c>
    </row>
    <row r="20" spans="1:26" s="69" customFormat="1" ht="15" customHeight="1" outlineLevel="1" collapsed="1" x14ac:dyDescent="0.3">
      <c r="A20" s="20"/>
      <c r="B20" s="11" t="str">
        <f>CONCATENATE("     ","*Payroll                                          ")</f>
        <v xml:space="preserve">     *Payroll                                          </v>
      </c>
      <c r="C20" s="11"/>
      <c r="D20" s="2">
        <f>SUM(OSRRefD22_0x_0)</f>
        <v>0</v>
      </c>
      <c r="E20" s="2"/>
      <c r="F20" s="5">
        <f t="shared" si="0"/>
        <v>0</v>
      </c>
      <c r="G20" s="2"/>
      <c r="H20" s="2">
        <f>SUM(OSRRefH22_0x_0)</f>
        <v>0</v>
      </c>
      <c r="I20" s="2"/>
      <c r="J20" s="5">
        <f t="shared" si="1"/>
        <v>0</v>
      </c>
      <c r="K20" s="2"/>
      <c r="L20" s="2">
        <f t="shared" si="2"/>
        <v>0</v>
      </c>
      <c r="M20" s="2"/>
      <c r="N20" s="5">
        <f t="shared" si="3"/>
        <v>0</v>
      </c>
      <c r="O20" s="11"/>
      <c r="P20" s="2">
        <f>SUM(OSRRefP22_0x_0)</f>
        <v>-262.52999999999997</v>
      </c>
      <c r="Q20" s="2"/>
      <c r="R20" s="5">
        <f t="shared" si="4"/>
        <v>0</v>
      </c>
      <c r="S20" s="2"/>
      <c r="T20" s="2">
        <f>SUM(OSRRefT22_0x_0)</f>
        <v>0</v>
      </c>
      <c r="U20" s="2"/>
      <c r="V20" s="5">
        <f t="shared" si="5"/>
        <v>0</v>
      </c>
      <c r="W20" s="2"/>
      <c r="X20" s="2">
        <f t="shared" si="6"/>
        <v>-262.52999999999997</v>
      </c>
      <c r="Y20" s="2"/>
      <c r="Z20" s="5">
        <f t="shared" si="7"/>
        <v>0</v>
      </c>
    </row>
    <row r="21" spans="1:26" s="70" customFormat="1" ht="15" hidden="1" customHeight="1" outlineLevel="2" x14ac:dyDescent="0.3">
      <c r="A21" s="21"/>
      <c r="B21" s="9" t="str">
        <f>CONCATENATE("          ","6002"," - ","STAFF SALARIES")</f>
        <v xml:space="preserve">          6002 - STAFF SALARIES</v>
      </c>
      <c r="C21" s="9"/>
      <c r="D21" s="6"/>
      <c r="E21" s="3"/>
      <c r="F21" s="7">
        <f t="shared" si="0"/>
        <v>0</v>
      </c>
      <c r="G21" s="3"/>
      <c r="H21" s="6"/>
      <c r="I21" s="3"/>
      <c r="J21" s="7">
        <f t="shared" si="1"/>
        <v>0</v>
      </c>
      <c r="K21" s="3"/>
      <c r="L21" s="6">
        <f t="shared" si="2"/>
        <v>0</v>
      </c>
      <c r="M21" s="3"/>
      <c r="N21" s="7">
        <f t="shared" si="3"/>
        <v>0</v>
      </c>
      <c r="O21" s="9"/>
      <c r="P21" s="6">
        <v>-262.52999999999997</v>
      </c>
      <c r="Q21" s="3"/>
      <c r="R21" s="7">
        <f t="shared" si="4"/>
        <v>0</v>
      </c>
      <c r="S21" s="3"/>
      <c r="T21" s="6"/>
      <c r="U21" s="3"/>
      <c r="V21" s="7">
        <f t="shared" si="5"/>
        <v>0</v>
      </c>
      <c r="W21" s="3"/>
      <c r="X21" s="6">
        <f t="shared" si="6"/>
        <v>-262.52999999999997</v>
      </c>
      <c r="Y21" s="3"/>
      <c r="Z21" s="7">
        <f t="shared" si="7"/>
        <v>0</v>
      </c>
    </row>
    <row r="22" spans="1:26" s="69" customFormat="1" ht="15" customHeight="1" outlineLevel="1" collapsed="1" x14ac:dyDescent="0.3">
      <c r="A22" s="20"/>
      <c r="B22" s="11" t="str">
        <f>CONCATENATE("     ","Depreciation                                      ")</f>
        <v xml:space="preserve">     Depreciation                                      </v>
      </c>
      <c r="C22" s="11"/>
      <c r="D22" s="2">
        <f>SUM(OSRRefD22_1x_0)</f>
        <v>577.49</v>
      </c>
      <c r="E22" s="2"/>
      <c r="F22" s="5">
        <f t="shared" si="0"/>
        <v>0</v>
      </c>
      <c r="G22" s="2"/>
      <c r="H22" s="2">
        <f>SUM(OSRRefH22_1x_0)</f>
        <v>577</v>
      </c>
      <c r="I22" s="2"/>
      <c r="J22" s="5">
        <f t="shared" si="1"/>
        <v>0</v>
      </c>
      <c r="K22" s="2"/>
      <c r="L22" s="2">
        <f t="shared" si="2"/>
        <v>0.49000000000000909</v>
      </c>
      <c r="M22" s="2"/>
      <c r="N22" s="5">
        <f t="shared" si="3"/>
        <v>8.4922010398615099E-4</v>
      </c>
      <c r="O22" s="11"/>
      <c r="P22" s="2">
        <f>SUM(OSRRefP22_1x_0)</f>
        <v>6928.45</v>
      </c>
      <c r="Q22" s="2"/>
      <c r="R22" s="5">
        <f t="shared" si="4"/>
        <v>0</v>
      </c>
      <c r="S22" s="2"/>
      <c r="T22" s="2">
        <f>SUM(OSRRefT22_1x_0)</f>
        <v>6924</v>
      </c>
      <c r="U22" s="2"/>
      <c r="V22" s="5">
        <f t="shared" si="5"/>
        <v>0</v>
      </c>
      <c r="W22" s="2"/>
      <c r="X22" s="2">
        <f t="shared" si="6"/>
        <v>4.4499999999998181</v>
      </c>
      <c r="Y22" s="2"/>
      <c r="Z22" s="5">
        <f t="shared" si="7"/>
        <v>6.4269208549968485E-4</v>
      </c>
    </row>
    <row r="23" spans="1:26" s="70" customFormat="1" ht="15" hidden="1" customHeight="1" outlineLevel="2" x14ac:dyDescent="0.3">
      <c r="A23" s="21"/>
      <c r="B23" s="9" t="str">
        <f>CONCATENATE("          ","6322"," - ","EQUIPMENT DEPRECIATION EXPENSE")</f>
        <v xml:space="preserve">          6322 - EQUIPMENT DEPRECIATION EXPENSE</v>
      </c>
      <c r="C23" s="9"/>
      <c r="D23" s="6">
        <v>577.49</v>
      </c>
      <c r="E23" s="3"/>
      <c r="F23" s="7">
        <f t="shared" si="0"/>
        <v>0</v>
      </c>
      <c r="G23" s="3"/>
      <c r="H23" s="6">
        <v>577</v>
      </c>
      <c r="I23" s="3"/>
      <c r="J23" s="7">
        <f t="shared" si="1"/>
        <v>0</v>
      </c>
      <c r="K23" s="3"/>
      <c r="L23" s="6">
        <f t="shared" si="2"/>
        <v>0.49000000000000909</v>
      </c>
      <c r="M23" s="3"/>
      <c r="N23" s="7">
        <f t="shared" si="3"/>
        <v>8.4922010398615099E-4</v>
      </c>
      <c r="O23" s="9"/>
      <c r="P23" s="6">
        <v>6928.45</v>
      </c>
      <c r="Q23" s="3"/>
      <c r="R23" s="7">
        <f t="shared" si="4"/>
        <v>0</v>
      </c>
      <c r="S23" s="3"/>
      <c r="T23" s="6">
        <v>6924</v>
      </c>
      <c r="U23" s="3"/>
      <c r="V23" s="7">
        <f t="shared" si="5"/>
        <v>0</v>
      </c>
      <c r="W23" s="3"/>
      <c r="X23" s="6">
        <f t="shared" si="6"/>
        <v>4.4499999999998181</v>
      </c>
      <c r="Y23" s="3"/>
      <c r="Z23" s="7">
        <f t="shared" si="7"/>
        <v>6.4269208549968485E-4</v>
      </c>
    </row>
    <row r="24" spans="1:26" s="69" customFormat="1" ht="15" customHeight="1" outlineLevel="1" collapsed="1" x14ac:dyDescent="0.3">
      <c r="A24" s="20"/>
      <c r="B24" s="11" t="str">
        <f>CONCATENATE("     ","Repair and Maintenance                            ")</f>
        <v xml:space="preserve">     Repair and Maintenance                            </v>
      </c>
      <c r="C24" s="11"/>
      <c r="D24" s="2">
        <f>SUM(OSRRefD22_2x_0)</f>
        <v>0</v>
      </c>
      <c r="E24" s="2"/>
      <c r="F24" s="5">
        <f t="shared" si="0"/>
        <v>0</v>
      </c>
      <c r="G24" s="2"/>
      <c r="H24" s="2">
        <f>SUM(OSRRefH22_2x_0)</f>
        <v>0</v>
      </c>
      <c r="I24" s="2"/>
      <c r="J24" s="5">
        <f t="shared" si="1"/>
        <v>0</v>
      </c>
      <c r="K24" s="2"/>
      <c r="L24" s="2">
        <f t="shared" si="2"/>
        <v>0</v>
      </c>
      <c r="M24" s="2"/>
      <c r="N24" s="5">
        <f t="shared" si="3"/>
        <v>0</v>
      </c>
      <c r="O24" s="11"/>
      <c r="P24" s="2">
        <f>SUM(OSRRefP22_2x_0)</f>
        <v>186.97</v>
      </c>
      <c r="Q24" s="2"/>
      <c r="R24" s="5">
        <f t="shared" si="4"/>
        <v>0</v>
      </c>
      <c r="S24" s="2"/>
      <c r="T24" s="2">
        <f>SUM(OSRRefT22_2x_0)</f>
        <v>0</v>
      </c>
      <c r="U24" s="2"/>
      <c r="V24" s="5">
        <f t="shared" si="5"/>
        <v>0</v>
      </c>
      <c r="W24" s="2"/>
      <c r="X24" s="2">
        <f t="shared" si="6"/>
        <v>186.97</v>
      </c>
      <c r="Y24" s="2"/>
      <c r="Z24" s="5">
        <f t="shared" si="7"/>
        <v>0</v>
      </c>
    </row>
    <row r="25" spans="1:26" s="70" customFormat="1" ht="15" hidden="1" customHeight="1" outlineLevel="2" x14ac:dyDescent="0.3">
      <c r="A25" s="21"/>
      <c r="B25" s="9" t="str">
        <f>CONCATENATE("          ","6373"," - ","MAINTENANCE CONTRACTS")</f>
        <v xml:space="preserve">          6373 - MAINTENANCE CONTRACTS</v>
      </c>
      <c r="C25" s="9"/>
      <c r="D25" s="6"/>
      <c r="E25" s="3"/>
      <c r="F25" s="7">
        <f t="shared" si="0"/>
        <v>0</v>
      </c>
      <c r="G25" s="3"/>
      <c r="H25" s="6"/>
      <c r="I25" s="3"/>
      <c r="J25" s="7">
        <f t="shared" si="1"/>
        <v>0</v>
      </c>
      <c r="K25" s="3"/>
      <c r="L25" s="6">
        <f t="shared" si="2"/>
        <v>0</v>
      </c>
      <c r="M25" s="3"/>
      <c r="N25" s="7">
        <f t="shared" si="3"/>
        <v>0</v>
      </c>
      <c r="O25" s="9"/>
      <c r="P25" s="6">
        <v>186.97</v>
      </c>
      <c r="Q25" s="3"/>
      <c r="R25" s="7">
        <f t="shared" si="4"/>
        <v>0</v>
      </c>
      <c r="S25" s="3"/>
      <c r="T25" s="6"/>
      <c r="U25" s="3"/>
      <c r="V25" s="7">
        <f t="shared" si="5"/>
        <v>0</v>
      </c>
      <c r="W25" s="3"/>
      <c r="X25" s="6">
        <f t="shared" si="6"/>
        <v>186.97</v>
      </c>
      <c r="Y25" s="3"/>
      <c r="Z25" s="7">
        <f t="shared" si="7"/>
        <v>0</v>
      </c>
    </row>
    <row r="26" spans="1:26" s="69" customFormat="1" ht="15" customHeight="1" outlineLevel="1" collapsed="1" x14ac:dyDescent="0.3">
      <c r="A26" s="20"/>
      <c r="B26" s="11" t="str">
        <f>CONCATENATE("     ","Services                                          ")</f>
        <v xml:space="preserve">     Services                                          </v>
      </c>
      <c r="C26" s="11"/>
      <c r="D26" s="2">
        <f>SUM(OSRRefD22_3x_0)</f>
        <v>0</v>
      </c>
      <c r="E26" s="2"/>
      <c r="F26" s="5">
        <f t="shared" si="0"/>
        <v>0</v>
      </c>
      <c r="G26" s="2"/>
      <c r="H26" s="2">
        <f>SUM(OSRRefH22_3x_0)</f>
        <v>0</v>
      </c>
      <c r="I26" s="2"/>
      <c r="J26" s="5">
        <f t="shared" si="1"/>
        <v>0</v>
      </c>
      <c r="K26" s="2"/>
      <c r="L26" s="2">
        <f t="shared" si="2"/>
        <v>0</v>
      </c>
      <c r="M26" s="2"/>
      <c r="N26" s="5">
        <f t="shared" si="3"/>
        <v>0</v>
      </c>
      <c r="O26" s="11"/>
      <c r="P26" s="2">
        <f>SUM(OSRRefP22_3x_0)</f>
        <v>0</v>
      </c>
      <c r="Q26" s="2"/>
      <c r="R26" s="5">
        <f t="shared" si="4"/>
        <v>0</v>
      </c>
      <c r="S26" s="2"/>
      <c r="T26" s="2">
        <f>SUM(OSRRefT22_3x_0)</f>
        <v>0</v>
      </c>
      <c r="U26" s="2"/>
      <c r="V26" s="5">
        <f t="shared" si="5"/>
        <v>0</v>
      </c>
      <c r="W26" s="2"/>
      <c r="X26" s="2">
        <f t="shared" si="6"/>
        <v>0</v>
      </c>
      <c r="Y26" s="2"/>
      <c r="Z26" s="5">
        <f t="shared" si="7"/>
        <v>0</v>
      </c>
    </row>
    <row r="27" spans="1:26" s="70" customFormat="1" ht="15" hidden="1" customHeight="1" outlineLevel="2" x14ac:dyDescent="0.3">
      <c r="A27" s="21"/>
      <c r="B27" s="9" t="str">
        <f>CONCATENATE("          ","6284"," - ","TRASH REMOVAL EXPENSE")</f>
        <v xml:space="preserve">          6284 - TRASH REMOVAL EXPENSE</v>
      </c>
      <c r="C27" s="9"/>
      <c r="D27" s="6"/>
      <c r="E27" s="3"/>
      <c r="F27" s="7">
        <f t="shared" si="0"/>
        <v>0</v>
      </c>
      <c r="G27" s="3"/>
      <c r="H27" s="6"/>
      <c r="I27" s="3"/>
      <c r="J27" s="7">
        <f t="shared" si="1"/>
        <v>0</v>
      </c>
      <c r="K27" s="3"/>
      <c r="L27" s="6">
        <f t="shared" si="2"/>
        <v>0</v>
      </c>
      <c r="M27" s="3"/>
      <c r="N27" s="7">
        <f t="shared" si="3"/>
        <v>0</v>
      </c>
      <c r="O27" s="9"/>
      <c r="P27" s="6"/>
      <c r="Q27" s="3"/>
      <c r="R27" s="7">
        <f t="shared" si="4"/>
        <v>0</v>
      </c>
      <c r="S27" s="3"/>
      <c r="T27" s="6">
        <v>0</v>
      </c>
      <c r="U27" s="3"/>
      <c r="V27" s="7">
        <f t="shared" si="5"/>
        <v>0</v>
      </c>
      <c r="W27" s="3"/>
      <c r="X27" s="6">
        <f t="shared" si="6"/>
        <v>0</v>
      </c>
      <c r="Y27" s="3"/>
      <c r="Z27" s="7">
        <f t="shared" si="7"/>
        <v>0</v>
      </c>
    </row>
    <row r="28" spans="1:26" s="69" customFormat="1" ht="15" customHeight="1" outlineLevel="1" collapsed="1" x14ac:dyDescent="0.3">
      <c r="A28" s="20"/>
      <c r="B28" s="11" t="str">
        <f>CONCATENATE("     ","Telephone/Data Lines                              ")</f>
        <v xml:space="preserve">     Telephone/Data Lines                              </v>
      </c>
      <c r="C28" s="11"/>
      <c r="D28" s="2">
        <f>SUM(OSRRefD22_4x_0)</f>
        <v>0</v>
      </c>
      <c r="E28" s="2"/>
      <c r="F28" s="5">
        <f t="shared" si="0"/>
        <v>0</v>
      </c>
      <c r="G28" s="2"/>
      <c r="H28" s="2">
        <f>SUM(OSRRefH22_4x_0)</f>
        <v>0</v>
      </c>
      <c r="I28" s="2"/>
      <c r="J28" s="5">
        <f t="shared" si="1"/>
        <v>0</v>
      </c>
      <c r="K28" s="2"/>
      <c r="L28" s="2">
        <f t="shared" si="2"/>
        <v>0</v>
      </c>
      <c r="M28" s="2"/>
      <c r="N28" s="5">
        <f t="shared" si="3"/>
        <v>0</v>
      </c>
      <c r="O28" s="11"/>
      <c r="P28" s="2">
        <f>SUM(OSRRefP22_4x_0)</f>
        <v>135.6</v>
      </c>
      <c r="Q28" s="2"/>
      <c r="R28" s="5">
        <f t="shared" si="4"/>
        <v>0</v>
      </c>
      <c r="S28" s="2"/>
      <c r="T28" s="2">
        <f>SUM(OSRRefT22_4x_0)</f>
        <v>0</v>
      </c>
      <c r="U28" s="2"/>
      <c r="V28" s="5">
        <f t="shared" si="5"/>
        <v>0</v>
      </c>
      <c r="W28" s="2"/>
      <c r="X28" s="2">
        <f t="shared" si="6"/>
        <v>135.6</v>
      </c>
      <c r="Y28" s="2"/>
      <c r="Z28" s="5">
        <f t="shared" si="7"/>
        <v>0</v>
      </c>
    </row>
    <row r="29" spans="1:26" s="70" customFormat="1" ht="15" hidden="1" customHeight="1" outlineLevel="2" x14ac:dyDescent="0.3">
      <c r="A29" s="21"/>
      <c r="B29" s="9" t="str">
        <f>CONCATENATE("          ","6309"," - ","TELEPHONE")</f>
        <v xml:space="preserve">          6309 - TELEPHONE</v>
      </c>
      <c r="C29" s="9"/>
      <c r="D29" s="6"/>
      <c r="E29" s="3"/>
      <c r="F29" s="7">
        <f t="shared" si="0"/>
        <v>0</v>
      </c>
      <c r="G29" s="3"/>
      <c r="H29" s="6"/>
      <c r="I29" s="3"/>
      <c r="J29" s="7">
        <f t="shared" si="1"/>
        <v>0</v>
      </c>
      <c r="K29" s="3"/>
      <c r="L29" s="6">
        <f t="shared" si="2"/>
        <v>0</v>
      </c>
      <c r="M29" s="3"/>
      <c r="N29" s="7">
        <f t="shared" si="3"/>
        <v>0</v>
      </c>
      <c r="O29" s="9"/>
      <c r="P29" s="6">
        <v>135.6</v>
      </c>
      <c r="Q29" s="3"/>
      <c r="R29" s="7">
        <f t="shared" si="4"/>
        <v>0</v>
      </c>
      <c r="S29" s="3"/>
      <c r="T29" s="6"/>
      <c r="U29" s="3"/>
      <c r="V29" s="7">
        <f t="shared" si="5"/>
        <v>0</v>
      </c>
      <c r="W29" s="3"/>
      <c r="X29" s="6">
        <f t="shared" si="6"/>
        <v>135.6</v>
      </c>
      <c r="Y29" s="3"/>
      <c r="Z29" s="7">
        <f t="shared" si="7"/>
        <v>0</v>
      </c>
    </row>
    <row r="30" spans="1:26" s="65" customFormat="1" ht="15" customHeight="1" x14ac:dyDescent="0.3">
      <c r="A30" s="36"/>
      <c r="B30" s="36"/>
      <c r="C30" s="36"/>
      <c r="D30" s="2"/>
      <c r="E30" s="2"/>
      <c r="F30" s="5"/>
      <c r="G30" s="2"/>
      <c r="H30" s="2"/>
      <c r="I30" s="2"/>
      <c r="J30" s="5"/>
      <c r="K30" s="2"/>
      <c r="L30" s="2"/>
      <c r="M30" s="2"/>
      <c r="N30" s="5"/>
      <c r="O30" s="36"/>
      <c r="P30" s="2"/>
      <c r="Q30" s="2"/>
      <c r="R30" s="5"/>
      <c r="S30" s="2"/>
      <c r="T30" s="2"/>
      <c r="U30" s="2"/>
      <c r="V30" s="5"/>
      <c r="W30" s="2"/>
      <c r="X30" s="2"/>
      <c r="Y30" s="2"/>
      <c r="Z30" s="5"/>
    </row>
    <row r="31" spans="1:26" s="63" customFormat="1" ht="15" customHeight="1" x14ac:dyDescent="0.3">
      <c r="A31" s="13"/>
      <c r="B31" s="28" t="s">
        <v>291</v>
      </c>
      <c r="C31" s="13"/>
      <c r="D31" s="8">
        <f>SUM(0)</f>
        <v>0</v>
      </c>
      <c r="E31" s="8"/>
      <c r="F31" s="14">
        <f>IF(D$12=0,0,D31/D$12)</f>
        <v>0</v>
      </c>
      <c r="G31" s="8"/>
      <c r="H31" s="8">
        <f>SUM(0)</f>
        <v>0</v>
      </c>
      <c r="I31" s="8"/>
      <c r="J31" s="14">
        <f>IF(H$12=0,0,H31/H$12)</f>
        <v>0</v>
      </c>
      <c r="K31" s="8"/>
      <c r="L31" s="8">
        <f>+D31-H31</f>
        <v>0</v>
      </c>
      <c r="M31" s="8"/>
      <c r="N31" s="14">
        <f>IF(H31=0,0,L31/H31)</f>
        <v>0</v>
      </c>
      <c r="O31" s="13"/>
      <c r="P31" s="8">
        <f>SUM(0)</f>
        <v>0</v>
      </c>
      <c r="Q31" s="8"/>
      <c r="R31" s="14">
        <f>IF(P$12=0,0,P31/P$12)</f>
        <v>0</v>
      </c>
      <c r="S31" s="8"/>
      <c r="T31" s="8">
        <f>SUM(0)</f>
        <v>0</v>
      </c>
      <c r="U31" s="8"/>
      <c r="V31" s="14">
        <f>IF(T$12=0,0,T31/T$12)</f>
        <v>0</v>
      </c>
      <c r="W31" s="8"/>
      <c r="X31" s="8">
        <f>+P31-T31</f>
        <v>0</v>
      </c>
      <c r="Y31" s="8"/>
      <c r="Z31" s="14">
        <f>IF(T31=0,0,X31/T31)</f>
        <v>0</v>
      </c>
    </row>
    <row r="32" spans="1:26" ht="15" customHeight="1" x14ac:dyDescent="0.3">
      <c r="A32" s="12"/>
      <c r="B32" s="13"/>
      <c r="C32" s="13"/>
      <c r="D32" s="4"/>
      <c r="E32" s="4"/>
      <c r="F32" s="10"/>
      <c r="G32" s="4"/>
      <c r="H32" s="4"/>
      <c r="I32" s="4"/>
      <c r="J32" s="10"/>
      <c r="K32" s="4"/>
      <c r="L32" s="4"/>
      <c r="M32" s="4"/>
      <c r="N32" s="10"/>
      <c r="O32" s="13"/>
      <c r="P32" s="4"/>
      <c r="Q32" s="4"/>
      <c r="R32" s="10"/>
      <c r="S32" s="4"/>
      <c r="T32" s="4"/>
      <c r="U32" s="4"/>
      <c r="V32" s="10"/>
      <c r="W32" s="4"/>
      <c r="X32" s="4"/>
      <c r="Y32" s="4"/>
      <c r="Z32" s="10"/>
    </row>
    <row r="33" spans="1:26" s="63" customFormat="1" ht="15" customHeight="1" x14ac:dyDescent="0.3">
      <c r="A33" s="13"/>
      <c r="B33" s="27" t="s">
        <v>292</v>
      </c>
      <c r="C33" s="27"/>
      <c r="D33" s="23">
        <f>+D17-D19+D31</f>
        <v>-2920.49</v>
      </c>
      <c r="E33" s="15"/>
      <c r="F33" s="22">
        <f>IF(D$12=0,0,D33/D$12)</f>
        <v>0</v>
      </c>
      <c r="G33" s="15"/>
      <c r="H33" s="23">
        <f>+H17-H19+H31</f>
        <v>-577</v>
      </c>
      <c r="I33" s="15"/>
      <c r="J33" s="22">
        <f>IF(H$12=0,0,H33/H$12)</f>
        <v>0</v>
      </c>
      <c r="K33" s="17"/>
      <c r="L33" s="23">
        <f>+D33-H33</f>
        <v>-2343.4899999999998</v>
      </c>
      <c r="M33" s="17"/>
      <c r="N33" s="22">
        <f>IF(H33=0,0,L33/H33)</f>
        <v>4.0615077989601387</v>
      </c>
      <c r="O33" s="28"/>
      <c r="P33" s="23">
        <f>+P17-P19+P31</f>
        <v>-9331.4900000000016</v>
      </c>
      <c r="Q33" s="15"/>
      <c r="R33" s="22">
        <f>IF(P$12=0,0,P33/P$12)</f>
        <v>0</v>
      </c>
      <c r="S33" s="15"/>
      <c r="T33" s="23">
        <f>+T17-T19+T31</f>
        <v>-6924</v>
      </c>
      <c r="U33" s="15"/>
      <c r="V33" s="22">
        <f>IF(T$12=0,0,T33/T$12)</f>
        <v>0</v>
      </c>
      <c r="W33" s="17"/>
      <c r="X33" s="23">
        <f>+P33-T33</f>
        <v>-2407.4900000000016</v>
      </c>
      <c r="Y33" s="17"/>
      <c r="Z33" s="22">
        <f>IF(T33=0,0,X33/T33)</f>
        <v>0.34770219526285406</v>
      </c>
    </row>
    <row r="34" spans="1:26" ht="15" customHeight="1" x14ac:dyDescent="0.3">
      <c r="A34" s="12"/>
      <c r="B34" s="13"/>
      <c r="C34" s="12"/>
      <c r="D34" s="4"/>
      <c r="E34" s="4"/>
      <c r="F34" s="10"/>
      <c r="G34" s="4"/>
      <c r="H34" s="4"/>
      <c r="I34" s="4"/>
      <c r="J34" s="10"/>
      <c r="K34" s="4"/>
      <c r="L34" s="4"/>
      <c r="M34" s="4"/>
      <c r="N34" s="10"/>
      <c r="P34" s="4"/>
      <c r="Q34" s="4"/>
      <c r="R34" s="10"/>
      <c r="S34" s="4"/>
      <c r="T34" s="4"/>
      <c r="U34" s="4"/>
      <c r="V34" s="10"/>
      <c r="W34" s="4"/>
      <c r="X34" s="4"/>
      <c r="Y34" s="4"/>
      <c r="Z34" s="10"/>
    </row>
    <row r="35" spans="1:26" s="63" customFormat="1" ht="15" customHeight="1" x14ac:dyDescent="0.3">
      <c r="A35" s="49"/>
      <c r="B35" s="13" t="s">
        <v>293</v>
      </c>
      <c r="C35" s="13"/>
      <c r="D35" s="8"/>
      <c r="E35" s="8"/>
      <c r="F35" s="14">
        <f>IF(D$12=0,0,D35/D$12)</f>
        <v>0</v>
      </c>
      <c r="G35" s="8"/>
      <c r="H35" s="8"/>
      <c r="I35" s="8"/>
      <c r="J35" s="14">
        <f>IF(H$12=0,0,H35/H$12)</f>
        <v>0</v>
      </c>
      <c r="K35" s="8"/>
      <c r="L35" s="8">
        <f>+D35-H35</f>
        <v>0</v>
      </c>
      <c r="M35" s="8"/>
      <c r="N35" s="14">
        <f>IF(H35=0,0,L35/H35)</f>
        <v>0</v>
      </c>
      <c r="O35" s="13"/>
      <c r="P35" s="8"/>
      <c r="Q35" s="8"/>
      <c r="R35" s="14">
        <f>IF(P$12=0,0,P35/P$12)</f>
        <v>0</v>
      </c>
      <c r="S35" s="8"/>
      <c r="T35" s="8"/>
      <c r="U35" s="8"/>
      <c r="V35" s="14">
        <f>IF(T$12=0,0,T35/T$12)</f>
        <v>0</v>
      </c>
      <c r="W35" s="8"/>
      <c r="X35" s="8">
        <f>+P35-T35</f>
        <v>0</v>
      </c>
      <c r="Y35" s="8"/>
      <c r="Z35" s="14">
        <f>IF(T35=0,0,X35/T35)</f>
        <v>0</v>
      </c>
    </row>
    <row r="36" spans="1:26" ht="15" customHeight="1" x14ac:dyDescent="0.3">
      <c r="A36" s="12"/>
      <c r="B36" s="13"/>
      <c r="C36" s="13"/>
      <c r="D36" s="4"/>
      <c r="E36" s="4"/>
      <c r="F36" s="10"/>
      <c r="G36" s="4"/>
      <c r="H36" s="4"/>
      <c r="I36" s="4"/>
      <c r="J36" s="10"/>
      <c r="K36" s="4"/>
      <c r="L36" s="4"/>
      <c r="M36" s="4"/>
      <c r="N36" s="10"/>
      <c r="O36" s="13"/>
      <c r="P36" s="4"/>
      <c r="Q36" s="4"/>
      <c r="R36" s="10"/>
      <c r="S36" s="4"/>
      <c r="T36" s="4"/>
      <c r="U36" s="4"/>
      <c r="V36" s="10"/>
      <c r="W36" s="4"/>
      <c r="X36" s="4"/>
      <c r="Y36" s="4"/>
      <c r="Z36" s="10"/>
    </row>
    <row r="37" spans="1:26" s="63" customFormat="1" ht="15" customHeight="1" x14ac:dyDescent="0.3">
      <c r="A37" s="13"/>
      <c r="B37" s="27" t="s">
        <v>294</v>
      </c>
      <c r="C37" s="27"/>
      <c r="D37" s="30">
        <f>+D33-D35</f>
        <v>-2920.49</v>
      </c>
      <c r="E37" s="15"/>
      <c r="F37" s="35">
        <f>IF(D$12=0,0,D37/D$12)</f>
        <v>0</v>
      </c>
      <c r="G37" s="15"/>
      <c r="H37" s="30">
        <f>+H33-H35</f>
        <v>-577</v>
      </c>
      <c r="I37" s="15"/>
      <c r="J37" s="35">
        <f>IF(H$12=0,0,H37/H$12)</f>
        <v>0</v>
      </c>
      <c r="K37" s="17"/>
      <c r="L37" s="30">
        <f>D37-H37</f>
        <v>-2343.4899999999998</v>
      </c>
      <c r="M37" s="17"/>
      <c r="N37" s="35">
        <f>IF(H37=0,0,L37/H37)</f>
        <v>4.0615077989601387</v>
      </c>
      <c r="O37" s="28"/>
      <c r="P37" s="30">
        <f>+P33-P35</f>
        <v>-9331.4900000000016</v>
      </c>
      <c r="Q37" s="15"/>
      <c r="R37" s="35">
        <f>IF(P$12=0,0,P37/P$12)</f>
        <v>0</v>
      </c>
      <c r="S37" s="15"/>
      <c r="T37" s="30">
        <f>+T33-T35</f>
        <v>-6924</v>
      </c>
      <c r="U37" s="15"/>
      <c r="V37" s="35">
        <f>IF(T$12=0,0,T37/T$12)</f>
        <v>0</v>
      </c>
      <c r="W37" s="17"/>
      <c r="X37" s="30">
        <f>P37-T37</f>
        <v>-2407.4900000000016</v>
      </c>
      <c r="Y37" s="17"/>
      <c r="Z37" s="35">
        <f>IF(T37=0,0,X37/T37)</f>
        <v>0.34770219526285406</v>
      </c>
    </row>
    <row r="38" spans="1:26" ht="15" customHeight="1" x14ac:dyDescent="0.3">
      <c r="A38" s="12"/>
      <c r="B38" s="12"/>
      <c r="C38" s="12"/>
      <c r="D38" s="4"/>
      <c r="E38" s="4"/>
      <c r="F38" s="10"/>
      <c r="G38" s="4"/>
      <c r="H38" s="4"/>
      <c r="I38" s="4"/>
      <c r="J38" s="10"/>
      <c r="K38" s="4"/>
      <c r="L38" s="4"/>
      <c r="M38" s="4"/>
      <c r="N38" s="10"/>
      <c r="P38" s="4"/>
      <c r="Q38" s="4"/>
      <c r="R38" s="10"/>
      <c r="S38" s="4"/>
      <c r="T38" s="4"/>
      <c r="U38" s="4"/>
      <c r="V38" s="10"/>
      <c r="W38" s="4"/>
      <c r="X38" s="4"/>
      <c r="Y38" s="4"/>
      <c r="Z38" s="10"/>
    </row>
    <row r="39" spans="1:26" ht="15" customHeight="1" x14ac:dyDescent="0.3">
      <c r="A39" s="12"/>
      <c r="B39" s="12"/>
      <c r="C39" s="12"/>
      <c r="D39" s="4"/>
      <c r="E39" s="4"/>
      <c r="F39" s="10"/>
      <c r="G39" s="4"/>
      <c r="H39" s="4"/>
      <c r="I39" s="4"/>
      <c r="J39" s="10"/>
      <c r="K39" s="4"/>
      <c r="L39" s="4"/>
      <c r="M39" s="4"/>
      <c r="N39" s="10"/>
      <c r="P39" s="4"/>
      <c r="Q39" s="4"/>
      <c r="R39" s="10"/>
      <c r="S39" s="4"/>
      <c r="T39" s="4"/>
      <c r="U39" s="4"/>
      <c r="V39" s="10"/>
      <c r="W39" s="4"/>
      <c r="X39" s="4"/>
      <c r="Y39" s="4"/>
      <c r="Z39" s="10"/>
    </row>
    <row r="40" spans="1:26" s="63" customFormat="1" ht="15" customHeight="1" x14ac:dyDescent="0.3">
      <c r="A40" s="13"/>
      <c r="B40" s="27" t="s">
        <v>297</v>
      </c>
      <c r="C40" s="27"/>
      <c r="D40" s="33">
        <f>SUM(D37:D39)</f>
        <v>-2920.49</v>
      </c>
      <c r="E40" s="15"/>
      <c r="F40" s="31">
        <f>IF(D$12=0,0,D40/D$12)</f>
        <v>0</v>
      </c>
      <c r="G40" s="15"/>
      <c r="H40" s="33">
        <f>SUM(H37:H39)</f>
        <v>-577</v>
      </c>
      <c r="I40" s="15"/>
      <c r="J40" s="31">
        <f>IF(H$12=0,0,H40/H$12)</f>
        <v>0</v>
      </c>
      <c r="K40" s="17"/>
      <c r="L40" s="33">
        <f>+D40-H40</f>
        <v>-2343.4899999999998</v>
      </c>
      <c r="M40" s="17"/>
      <c r="N40" s="31">
        <f>IF(H40=0,0,L40/H40)</f>
        <v>4.0615077989601387</v>
      </c>
      <c r="O40" s="28"/>
      <c r="P40" s="33">
        <f>SUM(P37:P39)</f>
        <v>-9331.4900000000016</v>
      </c>
      <c r="Q40" s="15"/>
      <c r="R40" s="31">
        <f>IF(P$12=0,0,P40/P$12)</f>
        <v>0</v>
      </c>
      <c r="S40" s="15"/>
      <c r="T40" s="33">
        <f>SUM(T37:T39)</f>
        <v>-6924</v>
      </c>
      <c r="U40" s="15"/>
      <c r="V40" s="31">
        <f>IF(T$12=0,0,T40/T$12)</f>
        <v>0</v>
      </c>
      <c r="W40" s="17"/>
      <c r="X40" s="33">
        <f>+P40-T40</f>
        <v>-2407.4900000000016</v>
      </c>
      <c r="Y40" s="17"/>
      <c r="Z40" s="31">
        <f>IF(T40=0,0,X40/T40)</f>
        <v>0.34770219526285406</v>
      </c>
    </row>
    <row r="41" spans="1:26" ht="15" customHeight="1" x14ac:dyDescent="0.3">
      <c r="A41" s="12"/>
      <c r="C41" s="12"/>
      <c r="D41" s="19"/>
      <c r="E41" s="19"/>
      <c r="G41" s="19"/>
      <c r="H41" s="19"/>
      <c r="I41" s="19"/>
      <c r="J41" s="41"/>
      <c r="K41" s="19"/>
      <c r="L41" s="19"/>
      <c r="M41" s="19"/>
      <c r="P41" s="19"/>
      <c r="Q41" s="19"/>
      <c r="R41" s="41"/>
      <c r="S41" s="19"/>
      <c r="T41" s="19"/>
      <c r="U41" s="19"/>
      <c r="V41" s="41"/>
      <c r="W41" s="19"/>
      <c r="X41" s="19"/>
    </row>
    <row r="42" spans="1:26" ht="15" customHeight="1" x14ac:dyDescent="0.3">
      <c r="A42" s="12"/>
      <c r="B42" s="50">
        <v>44767.799547766204</v>
      </c>
      <c r="D42" s="19"/>
      <c r="E42" s="19"/>
      <c r="G42" s="19"/>
      <c r="H42" s="19"/>
      <c r="I42" s="19"/>
      <c r="J42" s="41"/>
      <c r="K42" s="19"/>
      <c r="L42" s="19"/>
      <c r="M42" s="19"/>
      <c r="P42" s="19"/>
      <c r="Q42" s="19"/>
      <c r="R42" s="41"/>
      <c r="S42" s="19"/>
      <c r="T42" s="19"/>
      <c r="U42" s="19"/>
      <c r="V42" s="41"/>
      <c r="W42" s="19"/>
      <c r="X42" s="19"/>
    </row>
    <row r="43" spans="1:26" ht="15" customHeight="1" x14ac:dyDescent="0.3">
      <c r="A43" s="12"/>
      <c r="B43" s="57" t="s">
        <v>298</v>
      </c>
      <c r="D43" s="19"/>
      <c r="E43" s="19"/>
      <c r="G43" s="19"/>
      <c r="H43" s="19"/>
      <c r="I43" s="19"/>
      <c r="J43" s="41"/>
      <c r="K43" s="19"/>
      <c r="L43" s="19"/>
      <c r="M43" s="19"/>
      <c r="P43" s="19"/>
      <c r="Q43" s="19"/>
      <c r="R43" s="41"/>
      <c r="S43" s="19"/>
      <c r="T43" s="19"/>
      <c r="U43" s="19"/>
      <c r="V43" s="41"/>
      <c r="W43" s="19"/>
      <c r="X43" s="19"/>
    </row>
    <row r="44" spans="1:26" ht="15" customHeight="1" x14ac:dyDescent="0.3">
      <c r="A44" s="12"/>
      <c r="B44" s="51"/>
      <c r="D44" s="19"/>
      <c r="E44" s="19"/>
      <c r="G44" s="19"/>
      <c r="H44" s="19"/>
      <c r="I44" s="19"/>
      <c r="J44" s="41"/>
      <c r="K44" s="19"/>
      <c r="L44" s="19"/>
      <c r="M44" s="19"/>
      <c r="P44" s="19"/>
      <c r="Q44" s="19"/>
      <c r="R44" s="41"/>
      <c r="S44" s="19"/>
      <c r="T44" s="19"/>
      <c r="U44" s="19"/>
      <c r="V44" s="41"/>
      <c r="W44" s="19"/>
      <c r="X44" s="19"/>
    </row>
    <row r="45" spans="1:26" ht="15" customHeight="1" x14ac:dyDescent="0.3">
      <c r="D45" s="19"/>
      <c r="E45" s="19"/>
      <c r="G45" s="19"/>
      <c r="H45" s="19"/>
      <c r="I45" s="19"/>
      <c r="J45" s="41"/>
      <c r="K45" s="19"/>
      <c r="L45" s="19"/>
      <c r="M45" s="19"/>
      <c r="P45" s="19"/>
      <c r="Q45" s="19"/>
      <c r="R45" s="41"/>
      <c r="S45" s="19"/>
      <c r="T45" s="19"/>
      <c r="U45" s="19"/>
      <c r="V45" s="41"/>
      <c r="W45" s="19"/>
      <c r="X45" s="19"/>
    </row>
  </sheetData>
  <pageMargins left="0.25" right="0.25" top="0.75" bottom="0.75" header="0.3" footer="0.3"/>
  <pageSetup scale="55" orientation="landscape" r:id="rId1"/>
  <headerFooter>
    <oddHeader>&amp;RPre-Audit</oddHeader>
    <oddFooter>&amp;L&amp;C&amp;R</oddFooter>
    <evenHeader>&amp;L&amp;C&amp;R</evenHeader>
    <evenFooter>&amp;L&amp;C&amp;R</even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CB3176-E886-64FB-0884-C7AE5A2E0F38}">
  <sheetPr>
    <tabColor rgb="FF92D050"/>
    <outlinePr summaryBelow="0" summaryRight="0"/>
  </sheetPr>
  <dimension ref="A2:Z40"/>
  <sheetViews>
    <sheetView showGridLines="0" defaultGridColor="0" colorId="8" zoomScale="80" workbookViewId="0">
      <pane xSplit="3" ySplit="10" topLeftCell="D11" activePane="bottomRight" state="frozen"/>
      <selection activeCell="D78" sqref="D78"/>
      <selection pane="topRight" activeCell="D78" sqref="D78"/>
      <selection pane="bottomLeft" activeCell="D78" sqref="D78"/>
      <selection pane="bottomRight" activeCell="D78" sqref="D78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3" t="s">
        <v>276</v>
      </c>
    </row>
    <row r="3" spans="1:26" ht="15" customHeight="1" x14ac:dyDescent="0.3">
      <c r="D3" s="53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3" t="str">
        <f>CONCATENATE("Period ",RIGHT(202212,2),", ",2022)</f>
        <v>Period 12,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5"/>
      <c r="D5" s="60">
        <v>44742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5"/>
      <c r="B6" s="47"/>
      <c r="C6" s="47"/>
      <c r="D6" s="25" t="str">
        <f>CONCATENATE("Department ","413"," - ","Beach Walk")</f>
        <v>Department 413 - Beach Walk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4"/>
    </row>
    <row r="8" spans="1:26" ht="15" customHeight="1" x14ac:dyDescent="0.3">
      <c r="B8" s="54"/>
    </row>
    <row r="9" spans="1:26" ht="15" customHeight="1" x14ac:dyDescent="0.3">
      <c r="B9" s="12"/>
      <c r="C9" s="12"/>
      <c r="D9" s="16" t="s">
        <v>279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280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ht="15" customHeight="1" x14ac:dyDescent="0.3">
      <c r="A10" s="13"/>
      <c r="B10" s="52"/>
      <c r="C10" s="13"/>
      <c r="D10" s="40" t="s">
        <v>281</v>
      </c>
      <c r="E10" s="32"/>
      <c r="F10" s="39" t="s">
        <v>282</v>
      </c>
      <c r="G10" s="32"/>
      <c r="H10" s="45" t="s">
        <v>283</v>
      </c>
      <c r="I10" s="32"/>
      <c r="J10" s="42" t="s">
        <v>284</v>
      </c>
      <c r="K10" s="13"/>
      <c r="L10" s="40" t="s">
        <v>285</v>
      </c>
      <c r="M10" s="13"/>
      <c r="N10" s="39" t="s">
        <v>286</v>
      </c>
      <c r="O10" s="13"/>
      <c r="P10" s="55" t="s">
        <v>281</v>
      </c>
      <c r="Q10" s="32"/>
      <c r="R10" s="39" t="s">
        <v>282</v>
      </c>
      <c r="S10" s="32"/>
      <c r="T10" s="45" t="s">
        <v>283</v>
      </c>
      <c r="U10" s="32"/>
      <c r="V10" s="42" t="s">
        <v>284</v>
      </c>
      <c r="W10" s="13"/>
      <c r="X10" s="40" t="s">
        <v>285</v>
      </c>
      <c r="Y10" s="13"/>
      <c r="Z10" s="39" t="s">
        <v>286</v>
      </c>
    </row>
    <row r="11" spans="1:26" ht="16.5" customHeight="1" x14ac:dyDescent="0.3">
      <c r="A11" s="12"/>
      <c r="B11" s="58"/>
      <c r="C11" s="12"/>
      <c r="D11" s="12"/>
      <c r="E11" s="12"/>
      <c r="F11" s="10"/>
      <c r="G11" s="12"/>
      <c r="H11" s="12"/>
      <c r="I11" s="12"/>
      <c r="J11" s="43"/>
      <c r="K11" s="12"/>
      <c r="L11" s="12"/>
      <c r="M11" s="12"/>
      <c r="N11" s="10"/>
      <c r="P11" s="12"/>
      <c r="Q11" s="12"/>
      <c r="R11" s="10"/>
      <c r="S11" s="12"/>
      <c r="T11" s="12"/>
      <c r="U11" s="12"/>
      <c r="V11" s="43"/>
      <c r="W11" s="12"/>
      <c r="X11" s="12"/>
      <c r="Y11" s="12"/>
      <c r="Z11" s="10"/>
    </row>
    <row r="12" spans="1:26" s="63" customFormat="1" ht="15" customHeight="1" x14ac:dyDescent="0.3">
      <c r="A12" s="13"/>
      <c r="B12" s="28" t="s">
        <v>287</v>
      </c>
      <c r="C12" s="13"/>
      <c r="D12" s="8">
        <f>SUM(0)</f>
        <v>0</v>
      </c>
      <c r="E12" s="8"/>
      <c r="F12" s="14"/>
      <c r="G12" s="8"/>
      <c r="H12" s="8">
        <f>SUM(0)</f>
        <v>0</v>
      </c>
      <c r="I12" s="8"/>
      <c r="J12" s="14"/>
      <c r="K12" s="8"/>
      <c r="L12" s="8">
        <f>+D12-H12</f>
        <v>0</v>
      </c>
      <c r="M12" s="8"/>
      <c r="N12" s="14">
        <f>IF(H12=0,0,L12/H12)</f>
        <v>0</v>
      </c>
      <c r="O12" s="13"/>
      <c r="P12" s="8">
        <f>SUM(0)</f>
        <v>0</v>
      </c>
      <c r="Q12" s="8"/>
      <c r="R12" s="14"/>
      <c r="S12" s="8"/>
      <c r="T12" s="8">
        <f>SUM(0)</f>
        <v>0</v>
      </c>
      <c r="U12" s="8"/>
      <c r="V12" s="14"/>
      <c r="W12" s="8"/>
      <c r="X12" s="8">
        <f>+P12-T12</f>
        <v>0</v>
      </c>
      <c r="Y12" s="8"/>
      <c r="Z12" s="14">
        <f>IF(T12=0,0,X12/T12)</f>
        <v>0</v>
      </c>
    </row>
    <row r="13" spans="1:26" ht="15" customHeight="1" x14ac:dyDescent="0.3">
      <c r="A13" s="12"/>
      <c r="B13" s="13"/>
      <c r="C13" s="12"/>
      <c r="D13" s="4"/>
      <c r="E13" s="4"/>
      <c r="F13" s="10"/>
      <c r="G13" s="4"/>
      <c r="H13" s="4"/>
      <c r="I13" s="4"/>
      <c r="J13" s="10"/>
      <c r="K13" s="4"/>
      <c r="L13" s="4"/>
      <c r="M13" s="4"/>
      <c r="N13" s="10"/>
      <c r="P13" s="4"/>
      <c r="Q13" s="4"/>
      <c r="R13" s="10"/>
      <c r="S13" s="4"/>
      <c r="T13" s="4"/>
      <c r="U13" s="4"/>
      <c r="V13" s="10"/>
      <c r="W13" s="4"/>
      <c r="X13" s="4"/>
      <c r="Y13" s="4"/>
      <c r="Z13" s="10"/>
    </row>
    <row r="14" spans="1:26" s="63" customFormat="1" ht="15" customHeight="1" x14ac:dyDescent="0.3">
      <c r="A14" s="13"/>
      <c r="B14" s="28" t="s">
        <v>288</v>
      </c>
      <c r="C14" s="13"/>
      <c r="D14" s="8">
        <f>SUM(0)</f>
        <v>0</v>
      </c>
      <c r="E14" s="8"/>
      <c r="F14" s="14">
        <f>IF(D$12=0,0,D14/D$12)</f>
        <v>0</v>
      </c>
      <c r="G14" s="8"/>
      <c r="H14" s="8">
        <f>SUM(0)</f>
        <v>0</v>
      </c>
      <c r="I14" s="8"/>
      <c r="J14" s="14">
        <f>IF(H$12=0,0,H14/H$12)</f>
        <v>0</v>
      </c>
      <c r="K14" s="8"/>
      <c r="L14" s="8">
        <f>+D14-H14</f>
        <v>0</v>
      </c>
      <c r="M14" s="8"/>
      <c r="N14" s="14">
        <f>IF(H14=0,0,L14/H14)</f>
        <v>0</v>
      </c>
      <c r="O14" s="13"/>
      <c r="P14" s="8">
        <f>SUM(0)</f>
        <v>0</v>
      </c>
      <c r="Q14" s="8"/>
      <c r="R14" s="14">
        <f>IF(P$12=0,0,P14/P$12)</f>
        <v>0</v>
      </c>
      <c r="S14" s="8"/>
      <c r="T14" s="8">
        <f>SUM(0)</f>
        <v>0</v>
      </c>
      <c r="U14" s="8"/>
      <c r="V14" s="14">
        <f>IF(T$12=0,0,T14/T$12)</f>
        <v>0</v>
      </c>
      <c r="W14" s="8"/>
      <c r="X14" s="8">
        <f>+P14-T14</f>
        <v>0</v>
      </c>
      <c r="Y14" s="8"/>
      <c r="Z14" s="14">
        <f>IF(T14=0,0,X14/T14)</f>
        <v>0</v>
      </c>
    </row>
    <row r="15" spans="1:26" ht="15" customHeight="1" x14ac:dyDescent="0.3">
      <c r="A15" s="12"/>
      <c r="B15" s="13"/>
      <c r="C15" s="13"/>
      <c r="D15" s="4"/>
      <c r="E15" s="4"/>
      <c r="F15" s="10"/>
      <c r="G15" s="4"/>
      <c r="H15" s="4"/>
      <c r="I15" s="4"/>
      <c r="J15" s="10"/>
      <c r="K15" s="4"/>
      <c r="L15" s="4"/>
      <c r="M15" s="4"/>
      <c r="N15" s="10"/>
      <c r="O15" s="13"/>
      <c r="P15" s="4"/>
      <c r="Q15" s="4"/>
      <c r="R15" s="10"/>
      <c r="S15" s="4"/>
      <c r="T15" s="4"/>
      <c r="U15" s="4"/>
      <c r="V15" s="10"/>
      <c r="W15" s="4"/>
      <c r="X15" s="4"/>
      <c r="Y15" s="4"/>
      <c r="Z15" s="10"/>
    </row>
    <row r="16" spans="1:26" s="63" customFormat="1" ht="15" customHeight="1" x14ac:dyDescent="0.3">
      <c r="A16" s="13"/>
      <c r="B16" s="27" t="s">
        <v>289</v>
      </c>
      <c r="C16" s="27"/>
      <c r="D16" s="23">
        <f>D12-D14</f>
        <v>0</v>
      </c>
      <c r="E16" s="15"/>
      <c r="F16" s="22">
        <f>IF(D$12=0,0,D16/D$12)</f>
        <v>0</v>
      </c>
      <c r="G16" s="15"/>
      <c r="H16" s="23">
        <f>H12-H14</f>
        <v>0</v>
      </c>
      <c r="I16" s="15"/>
      <c r="J16" s="22">
        <f>IF(H$12=0,0,H16/H$12)</f>
        <v>0</v>
      </c>
      <c r="K16" s="17"/>
      <c r="L16" s="23">
        <f>+D16-H16</f>
        <v>0</v>
      </c>
      <c r="M16" s="17"/>
      <c r="N16" s="22">
        <f>IF(H16=0,0,L16/H16)</f>
        <v>0</v>
      </c>
      <c r="O16" s="28"/>
      <c r="P16" s="23">
        <f>P12-P14</f>
        <v>0</v>
      </c>
      <c r="Q16" s="15"/>
      <c r="R16" s="22">
        <f>IF(P$12=0,0,P16/P$12)</f>
        <v>0</v>
      </c>
      <c r="S16" s="15"/>
      <c r="T16" s="23">
        <f>T12-T14</f>
        <v>0</v>
      </c>
      <c r="U16" s="15"/>
      <c r="V16" s="22">
        <f>IF(T$12=0,0,T16/T$12)</f>
        <v>0</v>
      </c>
      <c r="W16" s="17"/>
      <c r="X16" s="23">
        <f>+P16-T16</f>
        <v>0</v>
      </c>
      <c r="Y16" s="17"/>
      <c r="Z16" s="22">
        <f>IF(T16=0,0,X16/T16)</f>
        <v>0</v>
      </c>
    </row>
    <row r="17" spans="1:26" ht="15" customHeight="1" x14ac:dyDescent="0.3">
      <c r="A17" s="12"/>
      <c r="B17" s="13"/>
      <c r="C17" s="12"/>
      <c r="D17" s="2"/>
      <c r="E17" s="2"/>
      <c r="F17" s="5"/>
      <c r="G17" s="2"/>
      <c r="H17" s="2"/>
      <c r="I17" s="2"/>
      <c r="J17" s="5"/>
      <c r="K17" s="2"/>
      <c r="L17" s="2"/>
      <c r="M17" s="2"/>
      <c r="N17" s="5"/>
      <c r="O17" s="36"/>
      <c r="P17" s="2"/>
      <c r="Q17" s="2"/>
      <c r="R17" s="5"/>
      <c r="S17" s="2"/>
      <c r="T17" s="2"/>
      <c r="U17" s="2"/>
      <c r="V17" s="5"/>
      <c r="W17" s="2"/>
      <c r="X17" s="2"/>
      <c r="Y17" s="2"/>
      <c r="Z17" s="5"/>
    </row>
    <row r="18" spans="1:26" s="63" customFormat="1" ht="15" customHeight="1" x14ac:dyDescent="0.3">
      <c r="A18" s="13"/>
      <c r="B18" s="28" t="s">
        <v>290</v>
      </c>
      <c r="C18" s="13"/>
      <c r="D18" s="24" cm="1">
        <f t="array" ref="D18">SUM(OSRRefD22x_0)</f>
        <v>58.07</v>
      </c>
      <c r="E18" s="24"/>
      <c r="F18" s="34">
        <f t="shared" ref="F18:F24" si="0">IF(D$12=0,0,D18/D$12)</f>
        <v>0</v>
      </c>
      <c r="G18" s="24"/>
      <c r="H18" s="24" cm="1">
        <f t="array" ref="H18">SUM(OSRRefH22x_0)</f>
        <v>58</v>
      </c>
      <c r="I18" s="24"/>
      <c r="J18" s="34">
        <f t="shared" ref="J18:J24" si="1">IF(H$12=0,0,H18/H$12)</f>
        <v>0</v>
      </c>
      <c r="K18" s="8"/>
      <c r="L18" s="24">
        <f t="shared" ref="L18:L24" si="2">+D18-H18</f>
        <v>7.0000000000000284E-2</v>
      </c>
      <c r="M18" s="8"/>
      <c r="N18" s="34">
        <f t="shared" ref="N18:N24" si="3">IF(H18=0,0,L18/H18)</f>
        <v>1.2068965517241428E-3</v>
      </c>
      <c r="O18" s="13"/>
      <c r="P18" s="24" cm="1">
        <f t="array" ref="P18">SUM(OSRRefP22x_0)</f>
        <v>1061.21</v>
      </c>
      <c r="Q18" s="24"/>
      <c r="R18" s="34">
        <f t="shared" ref="R18:R24" si="4">IF(P$12=0,0,P18/P$12)</f>
        <v>0</v>
      </c>
      <c r="S18" s="24"/>
      <c r="T18" s="24" cm="1">
        <f t="array" ref="T18">SUM(OSRRefT22x_0)</f>
        <v>696</v>
      </c>
      <c r="U18" s="24"/>
      <c r="V18" s="34">
        <f t="shared" ref="V18:V24" si="5">IF(T$12=0,0,T18/T$12)</f>
        <v>0</v>
      </c>
      <c r="W18" s="8"/>
      <c r="X18" s="24">
        <f t="shared" ref="X18:X24" si="6">+P18-T18</f>
        <v>365.21000000000004</v>
      </c>
      <c r="Y18" s="8"/>
      <c r="Z18" s="34">
        <f t="shared" ref="Z18:Z24" si="7">IF(T18=0,0,X18/T18)</f>
        <v>0.52472701149425294</v>
      </c>
    </row>
    <row r="19" spans="1:26" s="69" customFormat="1" ht="15" customHeight="1" outlineLevel="1" collapsed="1" x14ac:dyDescent="0.3">
      <c r="A19" s="20"/>
      <c r="B19" s="11" t="str">
        <f>CONCATENATE("     ","Depreciation                                      ")</f>
        <v xml:space="preserve">     Depreciation                                      </v>
      </c>
      <c r="C19" s="11"/>
      <c r="D19" s="2">
        <f>SUM(OSRRefD22_0x_0)</f>
        <v>58.07</v>
      </c>
      <c r="E19" s="2"/>
      <c r="F19" s="5">
        <f t="shared" si="0"/>
        <v>0</v>
      </c>
      <c r="G19" s="2"/>
      <c r="H19" s="2">
        <f>SUM(OSRRefH22_0x_0)</f>
        <v>58</v>
      </c>
      <c r="I19" s="2"/>
      <c r="J19" s="5">
        <f t="shared" si="1"/>
        <v>0</v>
      </c>
      <c r="K19" s="2"/>
      <c r="L19" s="2">
        <f t="shared" si="2"/>
        <v>7.0000000000000284E-2</v>
      </c>
      <c r="M19" s="2"/>
      <c r="N19" s="5">
        <f t="shared" si="3"/>
        <v>1.2068965517241428E-3</v>
      </c>
      <c r="O19" s="11"/>
      <c r="P19" s="2">
        <f>SUM(OSRRefP22_0x_0)</f>
        <v>696.4</v>
      </c>
      <c r="Q19" s="2"/>
      <c r="R19" s="5">
        <f t="shared" si="4"/>
        <v>0</v>
      </c>
      <c r="S19" s="2"/>
      <c r="T19" s="2">
        <f>SUM(OSRRefT22_0x_0)</f>
        <v>696</v>
      </c>
      <c r="U19" s="2"/>
      <c r="V19" s="5">
        <f t="shared" si="5"/>
        <v>0</v>
      </c>
      <c r="W19" s="2"/>
      <c r="X19" s="2">
        <f t="shared" si="6"/>
        <v>0.39999999999997726</v>
      </c>
      <c r="Y19" s="2"/>
      <c r="Z19" s="5">
        <f t="shared" si="7"/>
        <v>5.7471264367812828E-4</v>
      </c>
    </row>
    <row r="20" spans="1:26" s="70" customFormat="1" ht="15" hidden="1" customHeight="1" outlineLevel="2" x14ac:dyDescent="0.3">
      <c r="A20" s="21"/>
      <c r="B20" s="9" t="str">
        <f>CONCATENATE("          ","6322"," - ","EQUIPMENT DEPRECIATION EXPENSE")</f>
        <v xml:space="preserve">          6322 - EQUIPMENT DEPRECIATION EXPENSE</v>
      </c>
      <c r="C20" s="9"/>
      <c r="D20" s="6">
        <v>58.07</v>
      </c>
      <c r="E20" s="3"/>
      <c r="F20" s="7">
        <f t="shared" si="0"/>
        <v>0</v>
      </c>
      <c r="G20" s="3"/>
      <c r="H20" s="6">
        <v>58</v>
      </c>
      <c r="I20" s="3"/>
      <c r="J20" s="7">
        <f t="shared" si="1"/>
        <v>0</v>
      </c>
      <c r="K20" s="3"/>
      <c r="L20" s="6">
        <f t="shared" si="2"/>
        <v>7.0000000000000284E-2</v>
      </c>
      <c r="M20" s="3"/>
      <c r="N20" s="7">
        <f t="shared" si="3"/>
        <v>1.2068965517241428E-3</v>
      </c>
      <c r="O20" s="9"/>
      <c r="P20" s="6">
        <v>696.4</v>
      </c>
      <c r="Q20" s="3"/>
      <c r="R20" s="7">
        <f t="shared" si="4"/>
        <v>0</v>
      </c>
      <c r="S20" s="3"/>
      <c r="T20" s="6">
        <v>696</v>
      </c>
      <c r="U20" s="3"/>
      <c r="V20" s="7">
        <f t="shared" si="5"/>
        <v>0</v>
      </c>
      <c r="W20" s="3"/>
      <c r="X20" s="6">
        <f t="shared" si="6"/>
        <v>0.39999999999997726</v>
      </c>
      <c r="Y20" s="3"/>
      <c r="Z20" s="7">
        <f t="shared" si="7"/>
        <v>5.7471264367812828E-4</v>
      </c>
    </row>
    <row r="21" spans="1:26" s="69" customFormat="1" ht="15" customHeight="1" outlineLevel="1" collapsed="1" x14ac:dyDescent="0.3">
      <c r="A21" s="20"/>
      <c r="B21" s="11" t="str">
        <f>CONCATENATE("     ","Repair and Maintenance                            ")</f>
        <v xml:space="preserve">     Repair and Maintenance                            </v>
      </c>
      <c r="C21" s="11"/>
      <c r="D21" s="2">
        <f>SUM(OSRRefD22_1x_0)</f>
        <v>0</v>
      </c>
      <c r="E21" s="2"/>
      <c r="F21" s="5">
        <f t="shared" si="0"/>
        <v>0</v>
      </c>
      <c r="G21" s="2"/>
      <c r="H21" s="2">
        <f>SUM(OSRRefH22_1x_0)</f>
        <v>0</v>
      </c>
      <c r="I21" s="2"/>
      <c r="J21" s="5">
        <f t="shared" si="1"/>
        <v>0</v>
      </c>
      <c r="K21" s="2"/>
      <c r="L21" s="2">
        <f t="shared" si="2"/>
        <v>0</v>
      </c>
      <c r="M21" s="2"/>
      <c r="N21" s="5">
        <f t="shared" si="3"/>
        <v>0</v>
      </c>
      <c r="O21" s="11"/>
      <c r="P21" s="2">
        <f>SUM(OSRRefP22_1x_0)</f>
        <v>364.81</v>
      </c>
      <c r="Q21" s="2"/>
      <c r="R21" s="5">
        <f t="shared" si="4"/>
        <v>0</v>
      </c>
      <c r="S21" s="2"/>
      <c r="T21" s="2">
        <f>SUM(OSRRefT22_1x_0)</f>
        <v>0</v>
      </c>
      <c r="U21" s="2"/>
      <c r="V21" s="5">
        <f t="shared" si="5"/>
        <v>0</v>
      </c>
      <c r="W21" s="2"/>
      <c r="X21" s="2">
        <f t="shared" si="6"/>
        <v>364.81</v>
      </c>
      <c r="Y21" s="2"/>
      <c r="Z21" s="5">
        <f t="shared" si="7"/>
        <v>0</v>
      </c>
    </row>
    <row r="22" spans="1:26" s="70" customFormat="1" ht="15" hidden="1" customHeight="1" outlineLevel="2" x14ac:dyDescent="0.3">
      <c r="A22" s="21"/>
      <c r="B22" s="9" t="str">
        <f>CONCATENATE("          ","6373"," - ","MAINTENANCE CONTRACTS")</f>
        <v xml:space="preserve">          6373 - MAINTENANCE CONTRACTS</v>
      </c>
      <c r="C22" s="9"/>
      <c r="D22" s="6"/>
      <c r="E22" s="3"/>
      <c r="F22" s="7">
        <f t="shared" si="0"/>
        <v>0</v>
      </c>
      <c r="G22" s="3"/>
      <c r="H22" s="6"/>
      <c r="I22" s="3"/>
      <c r="J22" s="7">
        <f t="shared" si="1"/>
        <v>0</v>
      </c>
      <c r="K22" s="3"/>
      <c r="L22" s="6">
        <f t="shared" si="2"/>
        <v>0</v>
      </c>
      <c r="M22" s="3"/>
      <c r="N22" s="7">
        <f t="shared" si="3"/>
        <v>0</v>
      </c>
      <c r="O22" s="9"/>
      <c r="P22" s="6">
        <v>364.81</v>
      </c>
      <c r="Q22" s="3"/>
      <c r="R22" s="7">
        <f t="shared" si="4"/>
        <v>0</v>
      </c>
      <c r="S22" s="3"/>
      <c r="T22" s="6"/>
      <c r="U22" s="3"/>
      <c r="V22" s="7">
        <f t="shared" si="5"/>
        <v>0</v>
      </c>
      <c r="W22" s="3"/>
      <c r="X22" s="6">
        <f t="shared" si="6"/>
        <v>364.81</v>
      </c>
      <c r="Y22" s="3"/>
      <c r="Z22" s="7">
        <f t="shared" si="7"/>
        <v>0</v>
      </c>
    </row>
    <row r="23" spans="1:26" s="69" customFormat="1" ht="15" customHeight="1" outlineLevel="1" collapsed="1" x14ac:dyDescent="0.3">
      <c r="A23" s="20"/>
      <c r="B23" s="11" t="str">
        <f>CONCATENATE("     ","Services                                          ")</f>
        <v xml:space="preserve">     Services                                          </v>
      </c>
      <c r="C23" s="11"/>
      <c r="D23" s="2">
        <f>SUM(OSRRefD22_2x_0)</f>
        <v>0</v>
      </c>
      <c r="E23" s="2"/>
      <c r="F23" s="5">
        <f t="shared" si="0"/>
        <v>0</v>
      </c>
      <c r="G23" s="2"/>
      <c r="H23" s="2">
        <f>SUM(OSRRefH22_2x_0)</f>
        <v>0</v>
      </c>
      <c r="I23" s="2"/>
      <c r="J23" s="5">
        <f t="shared" si="1"/>
        <v>0</v>
      </c>
      <c r="K23" s="2"/>
      <c r="L23" s="2">
        <f t="shared" si="2"/>
        <v>0</v>
      </c>
      <c r="M23" s="2"/>
      <c r="N23" s="5">
        <f t="shared" si="3"/>
        <v>0</v>
      </c>
      <c r="O23" s="11"/>
      <c r="P23" s="2">
        <f>SUM(OSRRefP22_2x_0)</f>
        <v>0</v>
      </c>
      <c r="Q23" s="2"/>
      <c r="R23" s="5">
        <f t="shared" si="4"/>
        <v>0</v>
      </c>
      <c r="S23" s="2"/>
      <c r="T23" s="2">
        <f>SUM(OSRRefT22_2x_0)</f>
        <v>0</v>
      </c>
      <c r="U23" s="2"/>
      <c r="V23" s="5">
        <f t="shared" si="5"/>
        <v>0</v>
      </c>
      <c r="W23" s="2"/>
      <c r="X23" s="2">
        <f t="shared" si="6"/>
        <v>0</v>
      </c>
      <c r="Y23" s="2"/>
      <c r="Z23" s="5">
        <f t="shared" si="7"/>
        <v>0</v>
      </c>
    </row>
    <row r="24" spans="1:26" s="70" customFormat="1" ht="15" hidden="1" customHeight="1" outlineLevel="2" x14ac:dyDescent="0.3">
      <c r="A24" s="21"/>
      <c r="B24" s="9" t="str">
        <f>CONCATENATE("          ","6284"," - ","TRASH REMOVAL EXPENSE")</f>
        <v xml:space="preserve">          6284 - TRASH REMOVAL EXPENSE</v>
      </c>
      <c r="C24" s="9"/>
      <c r="D24" s="6"/>
      <c r="E24" s="3"/>
      <c r="F24" s="7">
        <f t="shared" si="0"/>
        <v>0</v>
      </c>
      <c r="G24" s="3"/>
      <c r="H24" s="6"/>
      <c r="I24" s="3"/>
      <c r="J24" s="7">
        <f t="shared" si="1"/>
        <v>0</v>
      </c>
      <c r="K24" s="3"/>
      <c r="L24" s="6">
        <f t="shared" si="2"/>
        <v>0</v>
      </c>
      <c r="M24" s="3"/>
      <c r="N24" s="7">
        <f t="shared" si="3"/>
        <v>0</v>
      </c>
      <c r="O24" s="9"/>
      <c r="P24" s="6"/>
      <c r="Q24" s="3"/>
      <c r="R24" s="7">
        <f t="shared" si="4"/>
        <v>0</v>
      </c>
      <c r="S24" s="3"/>
      <c r="T24" s="6">
        <v>0</v>
      </c>
      <c r="U24" s="3"/>
      <c r="V24" s="7">
        <f t="shared" si="5"/>
        <v>0</v>
      </c>
      <c r="W24" s="3"/>
      <c r="X24" s="6">
        <f t="shared" si="6"/>
        <v>0</v>
      </c>
      <c r="Y24" s="3"/>
      <c r="Z24" s="7">
        <f t="shared" si="7"/>
        <v>0</v>
      </c>
    </row>
    <row r="25" spans="1:26" s="65" customFormat="1" ht="15" customHeight="1" x14ac:dyDescent="0.3">
      <c r="A25" s="36"/>
      <c r="B25" s="36"/>
      <c r="C25" s="36"/>
      <c r="D25" s="2"/>
      <c r="E25" s="2"/>
      <c r="F25" s="5"/>
      <c r="G25" s="2"/>
      <c r="H25" s="2"/>
      <c r="I25" s="2"/>
      <c r="J25" s="5"/>
      <c r="K25" s="2"/>
      <c r="L25" s="2"/>
      <c r="M25" s="2"/>
      <c r="N25" s="5"/>
      <c r="O25" s="36"/>
      <c r="P25" s="2"/>
      <c r="Q25" s="2"/>
      <c r="R25" s="5"/>
      <c r="S25" s="2"/>
      <c r="T25" s="2"/>
      <c r="U25" s="2"/>
      <c r="V25" s="5"/>
      <c r="W25" s="2"/>
      <c r="X25" s="2"/>
      <c r="Y25" s="2"/>
      <c r="Z25" s="5"/>
    </row>
    <row r="26" spans="1:26" s="63" customFormat="1" ht="15" customHeight="1" x14ac:dyDescent="0.3">
      <c r="A26" s="13"/>
      <c r="B26" s="28" t="s">
        <v>291</v>
      </c>
      <c r="C26" s="13"/>
      <c r="D26" s="8">
        <f>SUM(0)</f>
        <v>0</v>
      </c>
      <c r="E26" s="8"/>
      <c r="F26" s="14">
        <f>IF(D$12=0,0,D26/D$12)</f>
        <v>0</v>
      </c>
      <c r="G26" s="8"/>
      <c r="H26" s="8">
        <f>SUM(0)</f>
        <v>0</v>
      </c>
      <c r="I26" s="8"/>
      <c r="J26" s="14">
        <f>IF(H$12=0,0,H26/H$12)</f>
        <v>0</v>
      </c>
      <c r="K26" s="8"/>
      <c r="L26" s="8">
        <f>+D26-H26</f>
        <v>0</v>
      </c>
      <c r="M26" s="8"/>
      <c r="N26" s="14">
        <f>IF(H26=0,0,L26/H26)</f>
        <v>0</v>
      </c>
      <c r="O26" s="13"/>
      <c r="P26" s="8">
        <f>SUM(0)</f>
        <v>0</v>
      </c>
      <c r="Q26" s="8"/>
      <c r="R26" s="14">
        <f>IF(P$12=0,0,P26/P$12)</f>
        <v>0</v>
      </c>
      <c r="S26" s="8"/>
      <c r="T26" s="8">
        <f>SUM(0)</f>
        <v>0</v>
      </c>
      <c r="U26" s="8"/>
      <c r="V26" s="14">
        <f>IF(T$12=0,0,T26/T$12)</f>
        <v>0</v>
      </c>
      <c r="W26" s="8"/>
      <c r="X26" s="8">
        <f>+P26-T26</f>
        <v>0</v>
      </c>
      <c r="Y26" s="8"/>
      <c r="Z26" s="14">
        <f>IF(T26=0,0,X26/T26)</f>
        <v>0</v>
      </c>
    </row>
    <row r="27" spans="1:26" ht="15" customHeight="1" x14ac:dyDescent="0.3">
      <c r="A27" s="12"/>
      <c r="B27" s="13"/>
      <c r="C27" s="13"/>
      <c r="D27" s="4"/>
      <c r="E27" s="4"/>
      <c r="F27" s="10"/>
      <c r="G27" s="4"/>
      <c r="H27" s="4"/>
      <c r="I27" s="4"/>
      <c r="J27" s="10"/>
      <c r="K27" s="4"/>
      <c r="L27" s="4"/>
      <c r="M27" s="4"/>
      <c r="N27" s="10"/>
      <c r="O27" s="13"/>
      <c r="P27" s="4"/>
      <c r="Q27" s="4"/>
      <c r="R27" s="10"/>
      <c r="S27" s="4"/>
      <c r="T27" s="4"/>
      <c r="U27" s="4"/>
      <c r="V27" s="10"/>
      <c r="W27" s="4"/>
      <c r="X27" s="4"/>
      <c r="Y27" s="4"/>
      <c r="Z27" s="10"/>
    </row>
    <row r="28" spans="1:26" s="63" customFormat="1" ht="15" customHeight="1" x14ac:dyDescent="0.3">
      <c r="A28" s="13"/>
      <c r="B28" s="27" t="s">
        <v>292</v>
      </c>
      <c r="C28" s="27"/>
      <c r="D28" s="23">
        <f>+D16-D18+D26</f>
        <v>-58.07</v>
      </c>
      <c r="E28" s="15"/>
      <c r="F28" s="22">
        <f>IF(D$12=0,0,D28/D$12)</f>
        <v>0</v>
      </c>
      <c r="G28" s="15"/>
      <c r="H28" s="23">
        <f>+H16-H18+H26</f>
        <v>-58</v>
      </c>
      <c r="I28" s="15"/>
      <c r="J28" s="22">
        <f>IF(H$12=0,0,H28/H$12)</f>
        <v>0</v>
      </c>
      <c r="K28" s="17"/>
      <c r="L28" s="23">
        <f>+D28-H28</f>
        <v>-7.0000000000000284E-2</v>
      </c>
      <c r="M28" s="17"/>
      <c r="N28" s="22">
        <f>IF(H28=0,0,L28/H28)</f>
        <v>1.2068965517241428E-3</v>
      </c>
      <c r="O28" s="28"/>
      <c r="P28" s="23">
        <f>+P16-P18+P26</f>
        <v>-1061.21</v>
      </c>
      <c r="Q28" s="15"/>
      <c r="R28" s="22">
        <f>IF(P$12=0,0,P28/P$12)</f>
        <v>0</v>
      </c>
      <c r="S28" s="15"/>
      <c r="T28" s="23">
        <f>+T16-T18+T26</f>
        <v>-696</v>
      </c>
      <c r="U28" s="15"/>
      <c r="V28" s="22">
        <f>IF(T$12=0,0,T28/T$12)</f>
        <v>0</v>
      </c>
      <c r="W28" s="17"/>
      <c r="X28" s="23">
        <f>+P28-T28</f>
        <v>-365.21000000000004</v>
      </c>
      <c r="Y28" s="17"/>
      <c r="Z28" s="22">
        <f>IF(T28=0,0,X28/T28)</f>
        <v>0.52472701149425294</v>
      </c>
    </row>
    <row r="29" spans="1:26" ht="15" customHeight="1" x14ac:dyDescent="0.3">
      <c r="A29" s="12"/>
      <c r="B29" s="13"/>
      <c r="C29" s="12"/>
      <c r="D29" s="4"/>
      <c r="E29" s="4"/>
      <c r="F29" s="10"/>
      <c r="G29" s="4"/>
      <c r="H29" s="4"/>
      <c r="I29" s="4"/>
      <c r="J29" s="10"/>
      <c r="K29" s="4"/>
      <c r="L29" s="4"/>
      <c r="M29" s="4"/>
      <c r="N29" s="10"/>
      <c r="P29" s="4"/>
      <c r="Q29" s="4"/>
      <c r="R29" s="10"/>
      <c r="S29" s="4"/>
      <c r="T29" s="4"/>
      <c r="U29" s="4"/>
      <c r="V29" s="10"/>
      <c r="W29" s="4"/>
      <c r="X29" s="4"/>
      <c r="Y29" s="4"/>
      <c r="Z29" s="10"/>
    </row>
    <row r="30" spans="1:26" s="63" customFormat="1" ht="15" customHeight="1" x14ac:dyDescent="0.3">
      <c r="A30" s="49"/>
      <c r="B30" s="13" t="s">
        <v>293</v>
      </c>
      <c r="C30" s="13"/>
      <c r="D30" s="8"/>
      <c r="E30" s="8"/>
      <c r="F30" s="14">
        <f>IF(D$12=0,0,D30/D$12)</f>
        <v>0</v>
      </c>
      <c r="G30" s="8"/>
      <c r="H30" s="8"/>
      <c r="I30" s="8"/>
      <c r="J30" s="14">
        <f>IF(H$12=0,0,H30/H$12)</f>
        <v>0</v>
      </c>
      <c r="K30" s="8"/>
      <c r="L30" s="8">
        <f>+D30-H30</f>
        <v>0</v>
      </c>
      <c r="M30" s="8"/>
      <c r="N30" s="14">
        <f>IF(H30=0,0,L30/H30)</f>
        <v>0</v>
      </c>
      <c r="O30" s="13"/>
      <c r="P30" s="8"/>
      <c r="Q30" s="8"/>
      <c r="R30" s="14">
        <f>IF(P$12=0,0,P30/P$12)</f>
        <v>0</v>
      </c>
      <c r="S30" s="8"/>
      <c r="T30" s="8"/>
      <c r="U30" s="8"/>
      <c r="V30" s="14">
        <f>IF(T$12=0,0,T30/T$12)</f>
        <v>0</v>
      </c>
      <c r="W30" s="8"/>
      <c r="X30" s="8">
        <f>+P30-T30</f>
        <v>0</v>
      </c>
      <c r="Y30" s="8"/>
      <c r="Z30" s="14">
        <f>IF(T30=0,0,X30/T30)</f>
        <v>0</v>
      </c>
    </row>
    <row r="31" spans="1:26" ht="15" customHeight="1" x14ac:dyDescent="0.3">
      <c r="A31" s="12"/>
      <c r="B31" s="13"/>
      <c r="C31" s="13"/>
      <c r="D31" s="4"/>
      <c r="E31" s="4"/>
      <c r="F31" s="10"/>
      <c r="G31" s="4"/>
      <c r="H31" s="4"/>
      <c r="I31" s="4"/>
      <c r="J31" s="10"/>
      <c r="K31" s="4"/>
      <c r="L31" s="4"/>
      <c r="M31" s="4"/>
      <c r="N31" s="10"/>
      <c r="O31" s="13"/>
      <c r="P31" s="4"/>
      <c r="Q31" s="4"/>
      <c r="R31" s="10"/>
      <c r="S31" s="4"/>
      <c r="T31" s="4"/>
      <c r="U31" s="4"/>
      <c r="V31" s="10"/>
      <c r="W31" s="4"/>
      <c r="X31" s="4"/>
      <c r="Y31" s="4"/>
      <c r="Z31" s="10"/>
    </row>
    <row r="32" spans="1:26" s="63" customFormat="1" ht="15" customHeight="1" x14ac:dyDescent="0.3">
      <c r="A32" s="13"/>
      <c r="B32" s="27" t="s">
        <v>294</v>
      </c>
      <c r="C32" s="27"/>
      <c r="D32" s="30">
        <f>+D28-D30</f>
        <v>-58.07</v>
      </c>
      <c r="E32" s="15"/>
      <c r="F32" s="35">
        <f>IF(D$12=0,0,D32/D$12)</f>
        <v>0</v>
      </c>
      <c r="G32" s="15"/>
      <c r="H32" s="30">
        <f>+H28-H30</f>
        <v>-58</v>
      </c>
      <c r="I32" s="15"/>
      <c r="J32" s="35">
        <f>IF(H$12=0,0,H32/H$12)</f>
        <v>0</v>
      </c>
      <c r="K32" s="17"/>
      <c r="L32" s="30">
        <f>D32-H32</f>
        <v>-7.0000000000000284E-2</v>
      </c>
      <c r="M32" s="17"/>
      <c r="N32" s="35">
        <f>IF(H32=0,0,L32/H32)</f>
        <v>1.2068965517241428E-3</v>
      </c>
      <c r="O32" s="28"/>
      <c r="P32" s="30">
        <f>+P28-P30</f>
        <v>-1061.21</v>
      </c>
      <c r="Q32" s="15"/>
      <c r="R32" s="35">
        <f>IF(P$12=0,0,P32/P$12)</f>
        <v>0</v>
      </c>
      <c r="S32" s="15"/>
      <c r="T32" s="30">
        <f>+T28-T30</f>
        <v>-696</v>
      </c>
      <c r="U32" s="15"/>
      <c r="V32" s="35">
        <f>IF(T$12=0,0,T32/T$12)</f>
        <v>0</v>
      </c>
      <c r="W32" s="17"/>
      <c r="X32" s="30">
        <f>P32-T32</f>
        <v>-365.21000000000004</v>
      </c>
      <c r="Y32" s="17"/>
      <c r="Z32" s="35">
        <f>IF(T32=0,0,X32/T32)</f>
        <v>0.52472701149425294</v>
      </c>
    </row>
    <row r="33" spans="1:26" ht="15" customHeight="1" x14ac:dyDescent="0.3">
      <c r="A33" s="12"/>
      <c r="B33" s="12"/>
      <c r="C33" s="12"/>
      <c r="D33" s="4"/>
      <c r="E33" s="4"/>
      <c r="F33" s="10"/>
      <c r="G33" s="4"/>
      <c r="H33" s="4"/>
      <c r="I33" s="4"/>
      <c r="J33" s="10"/>
      <c r="K33" s="4"/>
      <c r="L33" s="4"/>
      <c r="M33" s="4"/>
      <c r="N33" s="10"/>
      <c r="P33" s="4"/>
      <c r="Q33" s="4"/>
      <c r="R33" s="10"/>
      <c r="S33" s="4"/>
      <c r="T33" s="4"/>
      <c r="U33" s="4"/>
      <c r="V33" s="10"/>
      <c r="W33" s="4"/>
      <c r="X33" s="4"/>
      <c r="Y33" s="4"/>
      <c r="Z33" s="10"/>
    </row>
    <row r="34" spans="1:26" ht="15" customHeight="1" x14ac:dyDescent="0.3">
      <c r="A34" s="12"/>
      <c r="B34" s="12"/>
      <c r="C34" s="12"/>
      <c r="D34" s="4"/>
      <c r="E34" s="4"/>
      <c r="F34" s="10"/>
      <c r="G34" s="4"/>
      <c r="H34" s="4"/>
      <c r="I34" s="4"/>
      <c r="J34" s="10"/>
      <c r="K34" s="4"/>
      <c r="L34" s="4"/>
      <c r="M34" s="4"/>
      <c r="N34" s="10"/>
      <c r="P34" s="4"/>
      <c r="Q34" s="4"/>
      <c r="R34" s="10"/>
      <c r="S34" s="4"/>
      <c r="T34" s="4"/>
      <c r="U34" s="4"/>
      <c r="V34" s="10"/>
      <c r="W34" s="4"/>
      <c r="X34" s="4"/>
      <c r="Y34" s="4"/>
      <c r="Z34" s="10"/>
    </row>
    <row r="35" spans="1:26" s="63" customFormat="1" ht="15" customHeight="1" x14ac:dyDescent="0.3">
      <c r="A35" s="13"/>
      <c r="B35" s="27" t="s">
        <v>297</v>
      </c>
      <c r="C35" s="27"/>
      <c r="D35" s="33">
        <f>SUM(D32:D34)</f>
        <v>-58.07</v>
      </c>
      <c r="E35" s="15"/>
      <c r="F35" s="31">
        <f>IF(D$12=0,0,D35/D$12)</f>
        <v>0</v>
      </c>
      <c r="G35" s="15"/>
      <c r="H35" s="33">
        <f>SUM(H32:H34)</f>
        <v>-58</v>
      </c>
      <c r="I35" s="15"/>
      <c r="J35" s="31">
        <f>IF(H$12=0,0,H35/H$12)</f>
        <v>0</v>
      </c>
      <c r="K35" s="17"/>
      <c r="L35" s="33">
        <f>+D35-H35</f>
        <v>-7.0000000000000284E-2</v>
      </c>
      <c r="M35" s="17"/>
      <c r="N35" s="31">
        <f>IF(H35=0,0,L35/H35)</f>
        <v>1.2068965517241428E-3</v>
      </c>
      <c r="O35" s="28"/>
      <c r="P35" s="33">
        <f>SUM(P32:P34)</f>
        <v>-1061.21</v>
      </c>
      <c r="Q35" s="15"/>
      <c r="R35" s="31">
        <f>IF(P$12=0,0,P35/P$12)</f>
        <v>0</v>
      </c>
      <c r="S35" s="15"/>
      <c r="T35" s="33">
        <f>SUM(T32:T34)</f>
        <v>-696</v>
      </c>
      <c r="U35" s="15"/>
      <c r="V35" s="31">
        <f>IF(T$12=0,0,T35/T$12)</f>
        <v>0</v>
      </c>
      <c r="W35" s="17"/>
      <c r="X35" s="33">
        <f>+P35-T35</f>
        <v>-365.21000000000004</v>
      </c>
      <c r="Y35" s="17"/>
      <c r="Z35" s="31">
        <f>IF(T35=0,0,X35/T35)</f>
        <v>0.52472701149425294</v>
      </c>
    </row>
    <row r="36" spans="1:26" ht="15" customHeight="1" x14ac:dyDescent="0.3">
      <c r="A36" s="12"/>
      <c r="C36" s="12"/>
      <c r="D36" s="19"/>
      <c r="E36" s="19"/>
      <c r="G36" s="19"/>
      <c r="H36" s="19"/>
      <c r="I36" s="19"/>
      <c r="J36" s="41"/>
      <c r="K36" s="19"/>
      <c r="L36" s="19"/>
      <c r="M36" s="19"/>
      <c r="P36" s="19"/>
      <c r="Q36" s="19"/>
      <c r="R36" s="41"/>
      <c r="S36" s="19"/>
      <c r="T36" s="19"/>
      <c r="U36" s="19"/>
      <c r="V36" s="41"/>
      <c r="W36" s="19"/>
      <c r="X36" s="19"/>
    </row>
    <row r="37" spans="1:26" ht="15" customHeight="1" x14ac:dyDescent="0.3">
      <c r="A37" s="12"/>
      <c r="B37" s="50">
        <v>44767.799547766204</v>
      </c>
      <c r="D37" s="19"/>
      <c r="E37" s="19"/>
      <c r="G37" s="19"/>
      <c r="H37" s="19"/>
      <c r="I37" s="19"/>
      <c r="J37" s="41"/>
      <c r="K37" s="19"/>
      <c r="L37" s="19"/>
      <c r="M37" s="19"/>
      <c r="P37" s="19"/>
      <c r="Q37" s="19"/>
      <c r="R37" s="41"/>
      <c r="S37" s="19"/>
      <c r="T37" s="19"/>
      <c r="U37" s="19"/>
      <c r="V37" s="41"/>
      <c r="W37" s="19"/>
      <c r="X37" s="19"/>
    </row>
    <row r="38" spans="1:26" ht="15" customHeight="1" x14ac:dyDescent="0.3">
      <c r="A38" s="12"/>
      <c r="B38" s="57" t="s">
        <v>298</v>
      </c>
      <c r="D38" s="19"/>
      <c r="E38" s="19"/>
      <c r="G38" s="19"/>
      <c r="H38" s="19"/>
      <c r="I38" s="19"/>
      <c r="J38" s="41"/>
      <c r="K38" s="19"/>
      <c r="L38" s="19"/>
      <c r="M38" s="19"/>
      <c r="P38" s="19"/>
      <c r="Q38" s="19"/>
      <c r="R38" s="41"/>
      <c r="S38" s="19"/>
      <c r="T38" s="19"/>
      <c r="U38" s="19"/>
      <c r="V38" s="41"/>
      <c r="W38" s="19"/>
      <c r="X38" s="19"/>
    </row>
    <row r="39" spans="1:26" ht="15" customHeight="1" x14ac:dyDescent="0.3">
      <c r="A39" s="12"/>
      <c r="B39" s="51"/>
      <c r="D39" s="19"/>
      <c r="E39" s="19"/>
      <c r="G39" s="19"/>
      <c r="H39" s="19"/>
      <c r="I39" s="19"/>
      <c r="J39" s="41"/>
      <c r="K39" s="19"/>
      <c r="L39" s="19"/>
      <c r="M39" s="19"/>
      <c r="P39" s="19"/>
      <c r="Q39" s="19"/>
      <c r="R39" s="41"/>
      <c r="S39" s="19"/>
      <c r="T39" s="19"/>
      <c r="U39" s="19"/>
      <c r="V39" s="41"/>
      <c r="W39" s="19"/>
      <c r="X39" s="19"/>
    </row>
    <row r="40" spans="1:26" ht="15" customHeight="1" x14ac:dyDescent="0.3">
      <c r="D40" s="19"/>
      <c r="E40" s="19"/>
      <c r="G40" s="19"/>
      <c r="H40" s="19"/>
      <c r="I40" s="19"/>
      <c r="J40" s="41"/>
      <c r="K40" s="19"/>
      <c r="L40" s="19"/>
      <c r="M40" s="19"/>
      <c r="P40" s="19"/>
      <c r="Q40" s="19"/>
      <c r="R40" s="41"/>
      <c r="S40" s="19"/>
      <c r="T40" s="19"/>
      <c r="U40" s="19"/>
      <c r="V40" s="41"/>
      <c r="W40" s="19"/>
      <c r="X40" s="19"/>
    </row>
  </sheetData>
  <pageMargins left="0.25" right="0.25" top="0.75" bottom="0.75" header="0.3" footer="0.3"/>
  <pageSetup scale="55" orientation="landscape" r:id="rId1"/>
  <headerFooter>
    <oddHeader>&amp;RPre-Audit</oddHeader>
    <oddFooter>&amp;L&amp;C&amp;R</oddFooter>
    <evenHeader>&amp;L&amp;C&amp;R</evenHeader>
    <evenFooter>&amp;L&amp;C&amp;R</evenFoot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CEF442-D2A3-A08B-044E-74EC843AEE4A}">
  <sheetPr>
    <tabColor rgb="FF92D050"/>
    <outlinePr summaryBelow="0" summaryRight="0"/>
  </sheetPr>
  <dimension ref="A2:Z40"/>
  <sheetViews>
    <sheetView showGridLines="0" defaultGridColor="0" colorId="8" zoomScale="80" workbookViewId="0">
      <pane xSplit="3" ySplit="10" topLeftCell="D11" activePane="bottomRight" state="frozen"/>
      <selection activeCell="D78" sqref="D78"/>
      <selection pane="topRight" activeCell="D78" sqref="D78"/>
      <selection pane="bottomLeft" activeCell="D78" sqref="D78"/>
      <selection pane="bottomRight" activeCell="D78" sqref="D78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3" t="s">
        <v>276</v>
      </c>
    </row>
    <row r="3" spans="1:26" ht="15" customHeight="1" x14ac:dyDescent="0.3">
      <c r="D3" s="53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3" t="str">
        <f>CONCATENATE("Period ",RIGHT(202212,2),", ",2022)</f>
        <v>Period 12,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5"/>
      <c r="D5" s="60">
        <v>44742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5"/>
      <c r="B6" s="47"/>
      <c r="C6" s="47"/>
      <c r="D6" s="25" t="str">
        <f>CONCATENATE("Department ","414"," - ","Starbucks UDP")</f>
        <v>Department 414 - Starbucks UDP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4"/>
    </row>
    <row r="8" spans="1:26" ht="15" customHeight="1" x14ac:dyDescent="0.3">
      <c r="B8" s="54"/>
    </row>
    <row r="9" spans="1:26" ht="15" customHeight="1" x14ac:dyDescent="0.3">
      <c r="B9" s="12"/>
      <c r="C9" s="12"/>
      <c r="D9" s="16" t="s">
        <v>279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280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ht="15" customHeight="1" x14ac:dyDescent="0.3">
      <c r="A10" s="13"/>
      <c r="B10" s="52"/>
      <c r="C10" s="13"/>
      <c r="D10" s="40" t="s">
        <v>281</v>
      </c>
      <c r="E10" s="32"/>
      <c r="F10" s="39" t="s">
        <v>282</v>
      </c>
      <c r="G10" s="32"/>
      <c r="H10" s="45" t="s">
        <v>283</v>
      </c>
      <c r="I10" s="32"/>
      <c r="J10" s="42" t="s">
        <v>284</v>
      </c>
      <c r="K10" s="13"/>
      <c r="L10" s="40" t="s">
        <v>285</v>
      </c>
      <c r="M10" s="13"/>
      <c r="N10" s="39" t="s">
        <v>286</v>
      </c>
      <c r="O10" s="13"/>
      <c r="P10" s="55" t="s">
        <v>281</v>
      </c>
      <c r="Q10" s="32"/>
      <c r="R10" s="39" t="s">
        <v>282</v>
      </c>
      <c r="S10" s="32"/>
      <c r="T10" s="45" t="s">
        <v>283</v>
      </c>
      <c r="U10" s="32"/>
      <c r="V10" s="42" t="s">
        <v>284</v>
      </c>
      <c r="W10" s="13"/>
      <c r="X10" s="40" t="s">
        <v>285</v>
      </c>
      <c r="Y10" s="13"/>
      <c r="Z10" s="39" t="s">
        <v>286</v>
      </c>
    </row>
    <row r="11" spans="1:26" ht="16.5" customHeight="1" x14ac:dyDescent="0.3">
      <c r="A11" s="12"/>
      <c r="B11" s="58"/>
      <c r="C11" s="12"/>
      <c r="D11" s="12"/>
      <c r="E11" s="12"/>
      <c r="F11" s="10"/>
      <c r="G11" s="12"/>
      <c r="H11" s="12"/>
      <c r="I11" s="12"/>
      <c r="J11" s="43"/>
      <c r="K11" s="12"/>
      <c r="L11" s="12"/>
      <c r="M11" s="12"/>
      <c r="N11" s="10"/>
      <c r="P11" s="12"/>
      <c r="Q11" s="12"/>
      <c r="R11" s="10"/>
      <c r="S11" s="12"/>
      <c r="T11" s="12"/>
      <c r="U11" s="12"/>
      <c r="V11" s="43"/>
      <c r="W11" s="12"/>
      <c r="X11" s="12"/>
      <c r="Y11" s="12"/>
      <c r="Z11" s="10"/>
    </row>
    <row r="12" spans="1:26" s="63" customFormat="1" ht="15" customHeight="1" x14ac:dyDescent="0.3">
      <c r="A12" s="13"/>
      <c r="B12" s="28" t="s">
        <v>287</v>
      </c>
      <c r="C12" s="13"/>
      <c r="D12" s="8">
        <f>SUM(0)</f>
        <v>0</v>
      </c>
      <c r="E12" s="8"/>
      <c r="F12" s="14"/>
      <c r="G12" s="8"/>
      <c r="H12" s="8">
        <f>SUM(0)</f>
        <v>0</v>
      </c>
      <c r="I12" s="8"/>
      <c r="J12" s="14"/>
      <c r="K12" s="8"/>
      <c r="L12" s="8">
        <f>+D12-H12</f>
        <v>0</v>
      </c>
      <c r="M12" s="8"/>
      <c r="N12" s="14">
        <f>IF(H12=0,0,L12/H12)</f>
        <v>0</v>
      </c>
      <c r="O12" s="13"/>
      <c r="P12" s="8">
        <f>SUM(0)</f>
        <v>0</v>
      </c>
      <c r="Q12" s="8"/>
      <c r="R12" s="14"/>
      <c r="S12" s="8"/>
      <c r="T12" s="8">
        <f>SUM(0)</f>
        <v>0</v>
      </c>
      <c r="U12" s="8"/>
      <c r="V12" s="14"/>
      <c r="W12" s="8"/>
      <c r="X12" s="8">
        <f>+P12-T12</f>
        <v>0</v>
      </c>
      <c r="Y12" s="8"/>
      <c r="Z12" s="14">
        <f>IF(T12=0,0,X12/T12)</f>
        <v>0</v>
      </c>
    </row>
    <row r="13" spans="1:26" ht="15" customHeight="1" x14ac:dyDescent="0.3">
      <c r="A13" s="12"/>
      <c r="B13" s="13"/>
      <c r="C13" s="12"/>
      <c r="D13" s="4"/>
      <c r="E13" s="4"/>
      <c r="F13" s="10"/>
      <c r="G13" s="4"/>
      <c r="H13" s="4"/>
      <c r="I13" s="4"/>
      <c r="J13" s="10"/>
      <c r="K13" s="4"/>
      <c r="L13" s="4"/>
      <c r="M13" s="4"/>
      <c r="N13" s="10"/>
      <c r="P13" s="4"/>
      <c r="Q13" s="4"/>
      <c r="R13" s="10"/>
      <c r="S13" s="4"/>
      <c r="T13" s="4"/>
      <c r="U13" s="4"/>
      <c r="V13" s="10"/>
      <c r="W13" s="4"/>
      <c r="X13" s="4"/>
      <c r="Y13" s="4"/>
      <c r="Z13" s="10"/>
    </row>
    <row r="14" spans="1:26" s="63" customFormat="1" ht="15" customHeight="1" x14ac:dyDescent="0.3">
      <c r="A14" s="13"/>
      <c r="B14" s="28" t="s">
        <v>288</v>
      </c>
      <c r="C14" s="13"/>
      <c r="D14" s="8">
        <f>SUM(0)</f>
        <v>0</v>
      </c>
      <c r="E14" s="8"/>
      <c r="F14" s="14">
        <f>IF(D$12=0,0,D14/D$12)</f>
        <v>0</v>
      </c>
      <c r="G14" s="8"/>
      <c r="H14" s="8">
        <f>SUM(0)</f>
        <v>0</v>
      </c>
      <c r="I14" s="8"/>
      <c r="J14" s="14">
        <f>IF(H$12=0,0,H14/H$12)</f>
        <v>0</v>
      </c>
      <c r="K14" s="8"/>
      <c r="L14" s="8">
        <f>+D14-H14</f>
        <v>0</v>
      </c>
      <c r="M14" s="8"/>
      <c r="N14" s="14">
        <f>IF(H14=0,0,L14/H14)</f>
        <v>0</v>
      </c>
      <c r="O14" s="13"/>
      <c r="P14" s="8">
        <f>SUM(0)</f>
        <v>0</v>
      </c>
      <c r="Q14" s="8"/>
      <c r="R14" s="14">
        <f>IF(P$12=0,0,P14/P$12)</f>
        <v>0</v>
      </c>
      <c r="S14" s="8"/>
      <c r="T14" s="8">
        <f>SUM(0)</f>
        <v>0</v>
      </c>
      <c r="U14" s="8"/>
      <c r="V14" s="14">
        <f>IF(T$12=0,0,T14/T$12)</f>
        <v>0</v>
      </c>
      <c r="W14" s="8"/>
      <c r="X14" s="8">
        <f>+P14-T14</f>
        <v>0</v>
      </c>
      <c r="Y14" s="8"/>
      <c r="Z14" s="14">
        <f>IF(T14=0,0,X14/T14)</f>
        <v>0</v>
      </c>
    </row>
    <row r="15" spans="1:26" ht="15" customHeight="1" x14ac:dyDescent="0.3">
      <c r="A15" s="12"/>
      <c r="B15" s="13"/>
      <c r="C15" s="13"/>
      <c r="D15" s="4"/>
      <c r="E15" s="4"/>
      <c r="F15" s="10"/>
      <c r="G15" s="4"/>
      <c r="H15" s="4"/>
      <c r="I15" s="4"/>
      <c r="J15" s="10"/>
      <c r="K15" s="4"/>
      <c r="L15" s="4"/>
      <c r="M15" s="4"/>
      <c r="N15" s="10"/>
      <c r="O15" s="13"/>
      <c r="P15" s="4"/>
      <c r="Q15" s="4"/>
      <c r="R15" s="10"/>
      <c r="S15" s="4"/>
      <c r="T15" s="4"/>
      <c r="U15" s="4"/>
      <c r="V15" s="10"/>
      <c r="W15" s="4"/>
      <c r="X15" s="4"/>
      <c r="Y15" s="4"/>
      <c r="Z15" s="10"/>
    </row>
    <row r="16" spans="1:26" s="63" customFormat="1" ht="15" customHeight="1" x14ac:dyDescent="0.3">
      <c r="A16" s="13"/>
      <c r="B16" s="27" t="s">
        <v>289</v>
      </c>
      <c r="C16" s="27"/>
      <c r="D16" s="23">
        <f>D12-D14</f>
        <v>0</v>
      </c>
      <c r="E16" s="15"/>
      <c r="F16" s="22">
        <f>IF(D$12=0,0,D16/D$12)</f>
        <v>0</v>
      </c>
      <c r="G16" s="15"/>
      <c r="H16" s="23">
        <f>H12-H14</f>
        <v>0</v>
      </c>
      <c r="I16" s="15"/>
      <c r="J16" s="22">
        <f>IF(H$12=0,0,H16/H$12)</f>
        <v>0</v>
      </c>
      <c r="K16" s="17"/>
      <c r="L16" s="23">
        <f>+D16-H16</f>
        <v>0</v>
      </c>
      <c r="M16" s="17"/>
      <c r="N16" s="22">
        <f>IF(H16=0,0,L16/H16)</f>
        <v>0</v>
      </c>
      <c r="O16" s="28"/>
      <c r="P16" s="23">
        <f>P12-P14</f>
        <v>0</v>
      </c>
      <c r="Q16" s="15"/>
      <c r="R16" s="22">
        <f>IF(P$12=0,0,P16/P$12)</f>
        <v>0</v>
      </c>
      <c r="S16" s="15"/>
      <c r="T16" s="23">
        <f>T12-T14</f>
        <v>0</v>
      </c>
      <c r="U16" s="15"/>
      <c r="V16" s="22">
        <f>IF(T$12=0,0,T16/T$12)</f>
        <v>0</v>
      </c>
      <c r="W16" s="17"/>
      <c r="X16" s="23">
        <f>+P16-T16</f>
        <v>0</v>
      </c>
      <c r="Y16" s="17"/>
      <c r="Z16" s="22">
        <f>IF(T16=0,0,X16/T16)</f>
        <v>0</v>
      </c>
    </row>
    <row r="17" spans="1:26" ht="15" customHeight="1" x14ac:dyDescent="0.3">
      <c r="A17" s="12"/>
      <c r="B17" s="13"/>
      <c r="C17" s="12"/>
      <c r="D17" s="2"/>
      <c r="E17" s="2"/>
      <c r="F17" s="5"/>
      <c r="G17" s="2"/>
      <c r="H17" s="2"/>
      <c r="I17" s="2"/>
      <c r="J17" s="5"/>
      <c r="K17" s="2"/>
      <c r="L17" s="2"/>
      <c r="M17" s="2"/>
      <c r="N17" s="5"/>
      <c r="O17" s="36"/>
      <c r="P17" s="2"/>
      <c r="Q17" s="2"/>
      <c r="R17" s="5"/>
      <c r="S17" s="2"/>
      <c r="T17" s="2"/>
      <c r="U17" s="2"/>
      <c r="V17" s="5"/>
      <c r="W17" s="2"/>
      <c r="X17" s="2"/>
      <c r="Y17" s="2"/>
      <c r="Z17" s="5"/>
    </row>
    <row r="18" spans="1:26" s="63" customFormat="1" ht="15" customHeight="1" x14ac:dyDescent="0.3">
      <c r="A18" s="13"/>
      <c r="B18" s="28" t="s">
        <v>290</v>
      </c>
      <c r="C18" s="13"/>
      <c r="D18" s="24" cm="1">
        <f t="array" ref="D18">SUM(OSRRefD22x_0)</f>
        <v>0</v>
      </c>
      <c r="E18" s="24"/>
      <c r="F18" s="34">
        <f t="shared" ref="F18:F24" si="0">IF(D$12=0,0,D18/D$12)</f>
        <v>0</v>
      </c>
      <c r="G18" s="24"/>
      <c r="H18" s="24" cm="1">
        <f t="array" ref="H18">SUM(OSRRefH22x_0)</f>
        <v>0</v>
      </c>
      <c r="I18" s="24"/>
      <c r="J18" s="34">
        <f t="shared" ref="J18:J24" si="1">IF(H$12=0,0,H18/H$12)</f>
        <v>0</v>
      </c>
      <c r="K18" s="8"/>
      <c r="L18" s="24">
        <f t="shared" ref="L18:L24" si="2">+D18-H18</f>
        <v>0</v>
      </c>
      <c r="M18" s="8"/>
      <c r="N18" s="34">
        <f t="shared" ref="N18:N24" si="3">IF(H18=0,0,L18/H18)</f>
        <v>0</v>
      </c>
      <c r="O18" s="13"/>
      <c r="P18" s="24" cm="1">
        <f t="array" ref="P18">SUM(OSRRefP22x_0)</f>
        <v>372.9</v>
      </c>
      <c r="Q18" s="24"/>
      <c r="R18" s="34">
        <f t="shared" ref="R18:R24" si="4">IF(P$12=0,0,P18/P$12)</f>
        <v>0</v>
      </c>
      <c r="S18" s="24"/>
      <c r="T18" s="24" cm="1">
        <f t="array" ref="T18">SUM(OSRRefT22x_0)</f>
        <v>0</v>
      </c>
      <c r="U18" s="24"/>
      <c r="V18" s="34">
        <f t="shared" ref="V18:V24" si="5">IF(T$12=0,0,T18/T$12)</f>
        <v>0</v>
      </c>
      <c r="W18" s="8"/>
      <c r="X18" s="24">
        <f t="shared" ref="X18:X24" si="6">+P18-T18</f>
        <v>372.9</v>
      </c>
      <c r="Y18" s="8"/>
      <c r="Z18" s="34">
        <f t="shared" ref="Z18:Z24" si="7">IF(T18=0,0,X18/T18)</f>
        <v>0</v>
      </c>
    </row>
    <row r="19" spans="1:26" s="69" customFormat="1" ht="15" customHeight="1" outlineLevel="1" collapsed="1" x14ac:dyDescent="0.3">
      <c r="A19" s="20"/>
      <c r="B19" s="11" t="str">
        <f>CONCATENATE("     ","Equipment Rental                                  ")</f>
        <v xml:space="preserve">     Equipment Rental                                  </v>
      </c>
      <c r="C19" s="11"/>
      <c r="D19" s="2">
        <f>SUM(OSRRefD22_0x_0)</f>
        <v>0</v>
      </c>
      <c r="E19" s="2"/>
      <c r="F19" s="5">
        <f t="shared" si="0"/>
        <v>0</v>
      </c>
      <c r="G19" s="2"/>
      <c r="H19" s="2">
        <f>SUM(OSRRefH22_0x_0)</f>
        <v>0</v>
      </c>
      <c r="I19" s="2"/>
      <c r="J19" s="5">
        <f t="shared" si="1"/>
        <v>0</v>
      </c>
      <c r="K19" s="2"/>
      <c r="L19" s="2">
        <f t="shared" si="2"/>
        <v>0</v>
      </c>
      <c r="M19" s="2"/>
      <c r="N19" s="5">
        <f t="shared" si="3"/>
        <v>0</v>
      </c>
      <c r="O19" s="11"/>
      <c r="P19" s="2">
        <f>SUM(OSRRefP22_0x_0)</f>
        <v>118.91</v>
      </c>
      <c r="Q19" s="2"/>
      <c r="R19" s="5">
        <f t="shared" si="4"/>
        <v>0</v>
      </c>
      <c r="S19" s="2"/>
      <c r="T19" s="2">
        <f>SUM(OSRRefT22_0x_0)</f>
        <v>0</v>
      </c>
      <c r="U19" s="2"/>
      <c r="V19" s="5">
        <f t="shared" si="5"/>
        <v>0</v>
      </c>
      <c r="W19" s="2"/>
      <c r="X19" s="2">
        <f t="shared" si="6"/>
        <v>118.91</v>
      </c>
      <c r="Y19" s="2"/>
      <c r="Z19" s="5">
        <f t="shared" si="7"/>
        <v>0</v>
      </c>
    </row>
    <row r="20" spans="1:26" s="70" customFormat="1" ht="15" hidden="1" customHeight="1" outlineLevel="2" x14ac:dyDescent="0.3">
      <c r="A20" s="21"/>
      <c r="B20" s="9" t="str">
        <f>CONCATENATE("          ","6351"," - ","EQUIPMENT RENTAL")</f>
        <v xml:space="preserve">          6351 - EQUIPMENT RENTAL</v>
      </c>
      <c r="C20" s="9"/>
      <c r="D20" s="6"/>
      <c r="E20" s="3"/>
      <c r="F20" s="7">
        <f t="shared" si="0"/>
        <v>0</v>
      </c>
      <c r="G20" s="3"/>
      <c r="H20" s="6"/>
      <c r="I20" s="3"/>
      <c r="J20" s="7">
        <f t="shared" si="1"/>
        <v>0</v>
      </c>
      <c r="K20" s="3"/>
      <c r="L20" s="6">
        <f t="shared" si="2"/>
        <v>0</v>
      </c>
      <c r="M20" s="3"/>
      <c r="N20" s="7">
        <f t="shared" si="3"/>
        <v>0</v>
      </c>
      <c r="O20" s="9"/>
      <c r="P20" s="6">
        <v>118.91</v>
      </c>
      <c r="Q20" s="3"/>
      <c r="R20" s="7">
        <f t="shared" si="4"/>
        <v>0</v>
      </c>
      <c r="S20" s="3"/>
      <c r="T20" s="6"/>
      <c r="U20" s="3"/>
      <c r="V20" s="7">
        <f t="shared" si="5"/>
        <v>0</v>
      </c>
      <c r="W20" s="3"/>
      <c r="X20" s="6">
        <f t="shared" si="6"/>
        <v>118.91</v>
      </c>
      <c r="Y20" s="3"/>
      <c r="Z20" s="7">
        <f t="shared" si="7"/>
        <v>0</v>
      </c>
    </row>
    <row r="21" spans="1:26" s="69" customFormat="1" ht="15" customHeight="1" outlineLevel="1" collapsed="1" x14ac:dyDescent="0.3">
      <c r="A21" s="20"/>
      <c r="B21" s="11" t="str">
        <f>CONCATENATE("     ","Repair and Maintenance                            ")</f>
        <v xml:space="preserve">     Repair and Maintenance                            </v>
      </c>
      <c r="C21" s="11"/>
      <c r="D21" s="2">
        <f>SUM(OSRRefD22_1x_0)</f>
        <v>0</v>
      </c>
      <c r="E21" s="2"/>
      <c r="F21" s="5">
        <f t="shared" si="0"/>
        <v>0</v>
      </c>
      <c r="G21" s="2"/>
      <c r="H21" s="2">
        <f>SUM(OSRRefH22_1x_0)</f>
        <v>0</v>
      </c>
      <c r="I21" s="2"/>
      <c r="J21" s="5">
        <f t="shared" si="1"/>
        <v>0</v>
      </c>
      <c r="K21" s="2"/>
      <c r="L21" s="2">
        <f t="shared" si="2"/>
        <v>0</v>
      </c>
      <c r="M21" s="2"/>
      <c r="N21" s="5">
        <f t="shared" si="3"/>
        <v>0</v>
      </c>
      <c r="O21" s="11"/>
      <c r="P21" s="2">
        <f>SUM(OSRRefP22_1x_0)</f>
        <v>253.99</v>
      </c>
      <c r="Q21" s="2"/>
      <c r="R21" s="5">
        <f t="shared" si="4"/>
        <v>0</v>
      </c>
      <c r="S21" s="2"/>
      <c r="T21" s="2">
        <f>SUM(OSRRefT22_1x_0)</f>
        <v>0</v>
      </c>
      <c r="U21" s="2"/>
      <c r="V21" s="5">
        <f t="shared" si="5"/>
        <v>0</v>
      </c>
      <c r="W21" s="2"/>
      <c r="X21" s="2">
        <f t="shared" si="6"/>
        <v>253.99</v>
      </c>
      <c r="Y21" s="2"/>
      <c r="Z21" s="5">
        <f t="shared" si="7"/>
        <v>0</v>
      </c>
    </row>
    <row r="22" spans="1:26" s="70" customFormat="1" ht="15" hidden="1" customHeight="1" outlineLevel="2" x14ac:dyDescent="0.3">
      <c r="A22" s="21"/>
      <c r="B22" s="9" t="str">
        <f>CONCATENATE("          ","6373"," - ","MAINTENANCE CONTRACTS")</f>
        <v xml:space="preserve">          6373 - MAINTENANCE CONTRACTS</v>
      </c>
      <c r="C22" s="9"/>
      <c r="D22" s="6"/>
      <c r="E22" s="3"/>
      <c r="F22" s="7">
        <f t="shared" si="0"/>
        <v>0</v>
      </c>
      <c r="G22" s="3"/>
      <c r="H22" s="6"/>
      <c r="I22" s="3"/>
      <c r="J22" s="7">
        <f t="shared" si="1"/>
        <v>0</v>
      </c>
      <c r="K22" s="3"/>
      <c r="L22" s="6">
        <f t="shared" si="2"/>
        <v>0</v>
      </c>
      <c r="M22" s="3"/>
      <c r="N22" s="7">
        <f t="shared" si="3"/>
        <v>0</v>
      </c>
      <c r="O22" s="9"/>
      <c r="P22" s="6">
        <v>253.99</v>
      </c>
      <c r="Q22" s="3"/>
      <c r="R22" s="7">
        <f t="shared" si="4"/>
        <v>0</v>
      </c>
      <c r="S22" s="3"/>
      <c r="T22" s="6"/>
      <c r="U22" s="3"/>
      <c r="V22" s="7">
        <f t="shared" si="5"/>
        <v>0</v>
      </c>
      <c r="W22" s="3"/>
      <c r="X22" s="6">
        <f t="shared" si="6"/>
        <v>253.99</v>
      </c>
      <c r="Y22" s="3"/>
      <c r="Z22" s="7">
        <f t="shared" si="7"/>
        <v>0</v>
      </c>
    </row>
    <row r="23" spans="1:26" s="69" customFormat="1" ht="15" customHeight="1" outlineLevel="1" collapsed="1" x14ac:dyDescent="0.3">
      <c r="A23" s="20"/>
      <c r="B23" s="11" t="str">
        <f>CONCATENATE("     ","Services                                          ")</f>
        <v xml:space="preserve">     Services                                          </v>
      </c>
      <c r="C23" s="11"/>
      <c r="D23" s="2">
        <f>SUM(OSRRefD22_2x_0)</f>
        <v>0</v>
      </c>
      <c r="E23" s="2"/>
      <c r="F23" s="5">
        <f t="shared" si="0"/>
        <v>0</v>
      </c>
      <c r="G23" s="2"/>
      <c r="H23" s="2">
        <f>SUM(OSRRefH22_2x_0)</f>
        <v>0</v>
      </c>
      <c r="I23" s="2"/>
      <c r="J23" s="5">
        <f t="shared" si="1"/>
        <v>0</v>
      </c>
      <c r="K23" s="2"/>
      <c r="L23" s="2">
        <f t="shared" si="2"/>
        <v>0</v>
      </c>
      <c r="M23" s="2"/>
      <c r="N23" s="5">
        <f t="shared" si="3"/>
        <v>0</v>
      </c>
      <c r="O23" s="11"/>
      <c r="P23" s="2">
        <f>SUM(OSRRefP22_2x_0)</f>
        <v>0</v>
      </c>
      <c r="Q23" s="2"/>
      <c r="R23" s="5">
        <f t="shared" si="4"/>
        <v>0</v>
      </c>
      <c r="S23" s="2"/>
      <c r="T23" s="2">
        <f>SUM(OSRRefT22_2x_0)</f>
        <v>0</v>
      </c>
      <c r="U23" s="2"/>
      <c r="V23" s="5">
        <f t="shared" si="5"/>
        <v>0</v>
      </c>
      <c r="W23" s="2"/>
      <c r="X23" s="2">
        <f t="shared" si="6"/>
        <v>0</v>
      </c>
      <c r="Y23" s="2"/>
      <c r="Z23" s="5">
        <f t="shared" si="7"/>
        <v>0</v>
      </c>
    </row>
    <row r="24" spans="1:26" s="70" customFormat="1" ht="15" hidden="1" customHeight="1" outlineLevel="2" x14ac:dyDescent="0.3">
      <c r="A24" s="21"/>
      <c r="B24" s="9" t="str">
        <f>CONCATENATE("          ","6284"," - ","TRASH REMOVAL EXPENSE")</f>
        <v xml:space="preserve">          6284 - TRASH REMOVAL EXPENSE</v>
      </c>
      <c r="C24" s="9"/>
      <c r="D24" s="6"/>
      <c r="E24" s="3"/>
      <c r="F24" s="7">
        <f t="shared" si="0"/>
        <v>0</v>
      </c>
      <c r="G24" s="3"/>
      <c r="H24" s="6"/>
      <c r="I24" s="3"/>
      <c r="J24" s="7">
        <f t="shared" si="1"/>
        <v>0</v>
      </c>
      <c r="K24" s="3"/>
      <c r="L24" s="6">
        <f t="shared" si="2"/>
        <v>0</v>
      </c>
      <c r="M24" s="3"/>
      <c r="N24" s="7">
        <f t="shared" si="3"/>
        <v>0</v>
      </c>
      <c r="O24" s="9"/>
      <c r="P24" s="6"/>
      <c r="Q24" s="3"/>
      <c r="R24" s="7">
        <f t="shared" si="4"/>
        <v>0</v>
      </c>
      <c r="S24" s="3"/>
      <c r="T24" s="6">
        <v>0</v>
      </c>
      <c r="U24" s="3"/>
      <c r="V24" s="7">
        <f t="shared" si="5"/>
        <v>0</v>
      </c>
      <c r="W24" s="3"/>
      <c r="X24" s="6">
        <f t="shared" si="6"/>
        <v>0</v>
      </c>
      <c r="Y24" s="3"/>
      <c r="Z24" s="7">
        <f t="shared" si="7"/>
        <v>0</v>
      </c>
    </row>
    <row r="25" spans="1:26" s="65" customFormat="1" ht="15" customHeight="1" x14ac:dyDescent="0.3">
      <c r="A25" s="36"/>
      <c r="B25" s="36"/>
      <c r="C25" s="36"/>
      <c r="D25" s="2"/>
      <c r="E25" s="2"/>
      <c r="F25" s="5"/>
      <c r="G25" s="2"/>
      <c r="H25" s="2"/>
      <c r="I25" s="2"/>
      <c r="J25" s="5"/>
      <c r="K25" s="2"/>
      <c r="L25" s="2"/>
      <c r="M25" s="2"/>
      <c r="N25" s="5"/>
      <c r="O25" s="36"/>
      <c r="P25" s="2"/>
      <c r="Q25" s="2"/>
      <c r="R25" s="5"/>
      <c r="S25" s="2"/>
      <c r="T25" s="2"/>
      <c r="U25" s="2"/>
      <c r="V25" s="5"/>
      <c r="W25" s="2"/>
      <c r="X25" s="2"/>
      <c r="Y25" s="2"/>
      <c r="Z25" s="5"/>
    </row>
    <row r="26" spans="1:26" s="63" customFormat="1" ht="15" customHeight="1" x14ac:dyDescent="0.3">
      <c r="A26" s="13"/>
      <c r="B26" s="28" t="s">
        <v>291</v>
      </c>
      <c r="C26" s="13"/>
      <c r="D26" s="8">
        <f>SUM(0)</f>
        <v>0</v>
      </c>
      <c r="E26" s="8"/>
      <c r="F26" s="14">
        <f>IF(D$12=0,0,D26/D$12)</f>
        <v>0</v>
      </c>
      <c r="G26" s="8"/>
      <c r="H26" s="8">
        <f>SUM(0)</f>
        <v>0</v>
      </c>
      <c r="I26" s="8"/>
      <c r="J26" s="14">
        <f>IF(H$12=0,0,H26/H$12)</f>
        <v>0</v>
      </c>
      <c r="K26" s="8"/>
      <c r="L26" s="8">
        <f>+D26-H26</f>
        <v>0</v>
      </c>
      <c r="M26" s="8"/>
      <c r="N26" s="14">
        <f>IF(H26=0,0,L26/H26)</f>
        <v>0</v>
      </c>
      <c r="O26" s="13"/>
      <c r="P26" s="8">
        <f>SUM(0)</f>
        <v>0</v>
      </c>
      <c r="Q26" s="8"/>
      <c r="R26" s="14">
        <f>IF(P$12=0,0,P26/P$12)</f>
        <v>0</v>
      </c>
      <c r="S26" s="8"/>
      <c r="T26" s="8">
        <f>SUM(0)</f>
        <v>0</v>
      </c>
      <c r="U26" s="8"/>
      <c r="V26" s="14">
        <f>IF(T$12=0,0,T26/T$12)</f>
        <v>0</v>
      </c>
      <c r="W26" s="8"/>
      <c r="X26" s="8">
        <f>+P26-T26</f>
        <v>0</v>
      </c>
      <c r="Y26" s="8"/>
      <c r="Z26" s="14">
        <f>IF(T26=0,0,X26/T26)</f>
        <v>0</v>
      </c>
    </row>
    <row r="27" spans="1:26" ht="15" customHeight="1" x14ac:dyDescent="0.3">
      <c r="A27" s="12"/>
      <c r="B27" s="13"/>
      <c r="C27" s="13"/>
      <c r="D27" s="4"/>
      <c r="E27" s="4"/>
      <c r="F27" s="10"/>
      <c r="G27" s="4"/>
      <c r="H27" s="4"/>
      <c r="I27" s="4"/>
      <c r="J27" s="10"/>
      <c r="K27" s="4"/>
      <c r="L27" s="4"/>
      <c r="M27" s="4"/>
      <c r="N27" s="10"/>
      <c r="O27" s="13"/>
      <c r="P27" s="4"/>
      <c r="Q27" s="4"/>
      <c r="R27" s="10"/>
      <c r="S27" s="4"/>
      <c r="T27" s="4"/>
      <c r="U27" s="4"/>
      <c r="V27" s="10"/>
      <c r="W27" s="4"/>
      <c r="X27" s="4"/>
      <c r="Y27" s="4"/>
      <c r="Z27" s="10"/>
    </row>
    <row r="28" spans="1:26" s="63" customFormat="1" ht="15" customHeight="1" x14ac:dyDescent="0.3">
      <c r="A28" s="13"/>
      <c r="B28" s="27" t="s">
        <v>292</v>
      </c>
      <c r="C28" s="27"/>
      <c r="D28" s="23">
        <f>+D16-D18+D26</f>
        <v>0</v>
      </c>
      <c r="E28" s="15"/>
      <c r="F28" s="22">
        <f>IF(D$12=0,0,D28/D$12)</f>
        <v>0</v>
      </c>
      <c r="G28" s="15"/>
      <c r="H28" s="23">
        <f>+H16-H18+H26</f>
        <v>0</v>
      </c>
      <c r="I28" s="15"/>
      <c r="J28" s="22">
        <f>IF(H$12=0,0,H28/H$12)</f>
        <v>0</v>
      </c>
      <c r="K28" s="17"/>
      <c r="L28" s="23">
        <f>+D28-H28</f>
        <v>0</v>
      </c>
      <c r="M28" s="17"/>
      <c r="N28" s="22">
        <f>IF(H28=0,0,L28/H28)</f>
        <v>0</v>
      </c>
      <c r="O28" s="28"/>
      <c r="P28" s="23">
        <f>+P16-P18+P26</f>
        <v>-372.9</v>
      </c>
      <c r="Q28" s="15"/>
      <c r="R28" s="22">
        <f>IF(P$12=0,0,P28/P$12)</f>
        <v>0</v>
      </c>
      <c r="S28" s="15"/>
      <c r="T28" s="23">
        <f>+T16-T18+T26</f>
        <v>0</v>
      </c>
      <c r="U28" s="15"/>
      <c r="V28" s="22">
        <f>IF(T$12=0,0,T28/T$12)</f>
        <v>0</v>
      </c>
      <c r="W28" s="17"/>
      <c r="X28" s="23">
        <f>+P28-T28</f>
        <v>-372.9</v>
      </c>
      <c r="Y28" s="17"/>
      <c r="Z28" s="22">
        <f>IF(T28=0,0,X28/T28)</f>
        <v>0</v>
      </c>
    </row>
    <row r="29" spans="1:26" ht="15" customHeight="1" x14ac:dyDescent="0.3">
      <c r="A29" s="12"/>
      <c r="B29" s="13"/>
      <c r="C29" s="12"/>
      <c r="D29" s="4"/>
      <c r="E29" s="4"/>
      <c r="F29" s="10"/>
      <c r="G29" s="4"/>
      <c r="H29" s="4"/>
      <c r="I29" s="4"/>
      <c r="J29" s="10"/>
      <c r="K29" s="4"/>
      <c r="L29" s="4"/>
      <c r="M29" s="4"/>
      <c r="N29" s="10"/>
      <c r="P29" s="4"/>
      <c r="Q29" s="4"/>
      <c r="R29" s="10"/>
      <c r="S29" s="4"/>
      <c r="T29" s="4"/>
      <c r="U29" s="4"/>
      <c r="V29" s="10"/>
      <c r="W29" s="4"/>
      <c r="X29" s="4"/>
      <c r="Y29" s="4"/>
      <c r="Z29" s="10"/>
    </row>
    <row r="30" spans="1:26" s="63" customFormat="1" ht="15" customHeight="1" x14ac:dyDescent="0.3">
      <c r="A30" s="49"/>
      <c r="B30" s="13" t="s">
        <v>293</v>
      </c>
      <c r="C30" s="13"/>
      <c r="D30" s="8"/>
      <c r="E30" s="8"/>
      <c r="F30" s="14">
        <f>IF(D$12=0,0,D30/D$12)</f>
        <v>0</v>
      </c>
      <c r="G30" s="8"/>
      <c r="H30" s="8"/>
      <c r="I30" s="8"/>
      <c r="J30" s="14">
        <f>IF(H$12=0,0,H30/H$12)</f>
        <v>0</v>
      </c>
      <c r="K30" s="8"/>
      <c r="L30" s="8">
        <f>+D30-H30</f>
        <v>0</v>
      </c>
      <c r="M30" s="8"/>
      <c r="N30" s="14">
        <f>IF(H30=0,0,L30/H30)</f>
        <v>0</v>
      </c>
      <c r="O30" s="13"/>
      <c r="P30" s="8"/>
      <c r="Q30" s="8"/>
      <c r="R30" s="14">
        <f>IF(P$12=0,0,P30/P$12)</f>
        <v>0</v>
      </c>
      <c r="S30" s="8"/>
      <c r="T30" s="8"/>
      <c r="U30" s="8"/>
      <c r="V30" s="14">
        <f>IF(T$12=0,0,T30/T$12)</f>
        <v>0</v>
      </c>
      <c r="W30" s="8"/>
      <c r="X30" s="8">
        <f>+P30-T30</f>
        <v>0</v>
      </c>
      <c r="Y30" s="8"/>
      <c r="Z30" s="14">
        <f>IF(T30=0,0,X30/T30)</f>
        <v>0</v>
      </c>
    </row>
    <row r="31" spans="1:26" ht="15" customHeight="1" x14ac:dyDescent="0.3">
      <c r="A31" s="12"/>
      <c r="B31" s="13"/>
      <c r="C31" s="13"/>
      <c r="D31" s="4"/>
      <c r="E31" s="4"/>
      <c r="F31" s="10"/>
      <c r="G31" s="4"/>
      <c r="H31" s="4"/>
      <c r="I31" s="4"/>
      <c r="J31" s="10"/>
      <c r="K31" s="4"/>
      <c r="L31" s="4"/>
      <c r="M31" s="4"/>
      <c r="N31" s="10"/>
      <c r="O31" s="13"/>
      <c r="P31" s="4"/>
      <c r="Q31" s="4"/>
      <c r="R31" s="10"/>
      <c r="S31" s="4"/>
      <c r="T31" s="4"/>
      <c r="U31" s="4"/>
      <c r="V31" s="10"/>
      <c r="W31" s="4"/>
      <c r="X31" s="4"/>
      <c r="Y31" s="4"/>
      <c r="Z31" s="10"/>
    </row>
    <row r="32" spans="1:26" s="63" customFormat="1" ht="15" customHeight="1" x14ac:dyDescent="0.3">
      <c r="A32" s="13"/>
      <c r="B32" s="27" t="s">
        <v>294</v>
      </c>
      <c r="C32" s="27"/>
      <c r="D32" s="30">
        <f>+D28-D30</f>
        <v>0</v>
      </c>
      <c r="E32" s="15"/>
      <c r="F32" s="35">
        <f>IF(D$12=0,0,D32/D$12)</f>
        <v>0</v>
      </c>
      <c r="G32" s="15"/>
      <c r="H32" s="30">
        <f>+H28-H30</f>
        <v>0</v>
      </c>
      <c r="I32" s="15"/>
      <c r="J32" s="35">
        <f>IF(H$12=0,0,H32/H$12)</f>
        <v>0</v>
      </c>
      <c r="K32" s="17"/>
      <c r="L32" s="30">
        <f>D32-H32</f>
        <v>0</v>
      </c>
      <c r="M32" s="17"/>
      <c r="N32" s="35">
        <f>IF(H32=0,0,L32/H32)</f>
        <v>0</v>
      </c>
      <c r="O32" s="28"/>
      <c r="P32" s="30">
        <f>+P28-P30</f>
        <v>-372.9</v>
      </c>
      <c r="Q32" s="15"/>
      <c r="R32" s="35">
        <f>IF(P$12=0,0,P32/P$12)</f>
        <v>0</v>
      </c>
      <c r="S32" s="15"/>
      <c r="T32" s="30">
        <f>+T28-T30</f>
        <v>0</v>
      </c>
      <c r="U32" s="15"/>
      <c r="V32" s="35">
        <f>IF(T$12=0,0,T32/T$12)</f>
        <v>0</v>
      </c>
      <c r="W32" s="17"/>
      <c r="X32" s="30">
        <f>P32-T32</f>
        <v>-372.9</v>
      </c>
      <c r="Y32" s="17"/>
      <c r="Z32" s="35">
        <f>IF(T32=0,0,X32/T32)</f>
        <v>0</v>
      </c>
    </row>
    <row r="33" spans="1:26" ht="15" customHeight="1" x14ac:dyDescent="0.3">
      <c r="A33" s="12"/>
      <c r="B33" s="12"/>
      <c r="C33" s="12"/>
      <c r="D33" s="4"/>
      <c r="E33" s="4"/>
      <c r="F33" s="10"/>
      <c r="G33" s="4"/>
      <c r="H33" s="4"/>
      <c r="I33" s="4"/>
      <c r="J33" s="10"/>
      <c r="K33" s="4"/>
      <c r="L33" s="4"/>
      <c r="M33" s="4"/>
      <c r="N33" s="10"/>
      <c r="P33" s="4"/>
      <c r="Q33" s="4"/>
      <c r="R33" s="10"/>
      <c r="S33" s="4"/>
      <c r="T33" s="4"/>
      <c r="U33" s="4"/>
      <c r="V33" s="10"/>
      <c r="W33" s="4"/>
      <c r="X33" s="4"/>
      <c r="Y33" s="4"/>
      <c r="Z33" s="10"/>
    </row>
    <row r="34" spans="1:26" ht="15" customHeight="1" x14ac:dyDescent="0.3">
      <c r="A34" s="12"/>
      <c r="B34" s="12"/>
      <c r="C34" s="12"/>
      <c r="D34" s="4"/>
      <c r="E34" s="4"/>
      <c r="F34" s="10"/>
      <c r="G34" s="4"/>
      <c r="H34" s="4"/>
      <c r="I34" s="4"/>
      <c r="J34" s="10"/>
      <c r="K34" s="4"/>
      <c r="L34" s="4"/>
      <c r="M34" s="4"/>
      <c r="N34" s="10"/>
      <c r="P34" s="4"/>
      <c r="Q34" s="4"/>
      <c r="R34" s="10"/>
      <c r="S34" s="4"/>
      <c r="T34" s="4"/>
      <c r="U34" s="4"/>
      <c r="V34" s="10"/>
      <c r="W34" s="4"/>
      <c r="X34" s="4"/>
      <c r="Y34" s="4"/>
      <c r="Z34" s="10"/>
    </row>
    <row r="35" spans="1:26" s="63" customFormat="1" ht="15" customHeight="1" x14ac:dyDescent="0.3">
      <c r="A35" s="13"/>
      <c r="B35" s="27" t="s">
        <v>297</v>
      </c>
      <c r="C35" s="27"/>
      <c r="D35" s="33">
        <f>SUM(D32:D34)</f>
        <v>0</v>
      </c>
      <c r="E35" s="15"/>
      <c r="F35" s="31">
        <f>IF(D$12=0,0,D35/D$12)</f>
        <v>0</v>
      </c>
      <c r="G35" s="15"/>
      <c r="H35" s="33">
        <f>SUM(H32:H34)</f>
        <v>0</v>
      </c>
      <c r="I35" s="15"/>
      <c r="J35" s="31">
        <f>IF(H$12=0,0,H35/H$12)</f>
        <v>0</v>
      </c>
      <c r="K35" s="17"/>
      <c r="L35" s="33">
        <f>+D35-H35</f>
        <v>0</v>
      </c>
      <c r="M35" s="17"/>
      <c r="N35" s="31">
        <f>IF(H35=0,0,L35/H35)</f>
        <v>0</v>
      </c>
      <c r="O35" s="28"/>
      <c r="P35" s="33">
        <f>SUM(P32:P34)</f>
        <v>-372.9</v>
      </c>
      <c r="Q35" s="15"/>
      <c r="R35" s="31">
        <f>IF(P$12=0,0,P35/P$12)</f>
        <v>0</v>
      </c>
      <c r="S35" s="15"/>
      <c r="T35" s="33">
        <f>SUM(T32:T34)</f>
        <v>0</v>
      </c>
      <c r="U35" s="15"/>
      <c r="V35" s="31">
        <f>IF(T$12=0,0,T35/T$12)</f>
        <v>0</v>
      </c>
      <c r="W35" s="17"/>
      <c r="X35" s="33">
        <f>+P35-T35</f>
        <v>-372.9</v>
      </c>
      <c r="Y35" s="17"/>
      <c r="Z35" s="31">
        <f>IF(T35=0,0,X35/T35)</f>
        <v>0</v>
      </c>
    </row>
    <row r="36" spans="1:26" ht="15" customHeight="1" x14ac:dyDescent="0.3">
      <c r="A36" s="12"/>
      <c r="C36" s="12"/>
      <c r="D36" s="19"/>
      <c r="E36" s="19"/>
      <c r="G36" s="19"/>
      <c r="H36" s="19"/>
      <c r="I36" s="19"/>
      <c r="J36" s="41"/>
      <c r="K36" s="19"/>
      <c r="L36" s="19"/>
      <c r="M36" s="19"/>
      <c r="P36" s="19"/>
      <c r="Q36" s="19"/>
      <c r="R36" s="41"/>
      <c r="S36" s="19"/>
      <c r="T36" s="19"/>
      <c r="U36" s="19"/>
      <c r="V36" s="41"/>
      <c r="W36" s="19"/>
      <c r="X36" s="19"/>
    </row>
    <row r="37" spans="1:26" ht="15" customHeight="1" x14ac:dyDescent="0.3">
      <c r="A37" s="12"/>
      <c r="B37" s="50">
        <v>44767.799547766204</v>
      </c>
      <c r="D37" s="19"/>
      <c r="E37" s="19"/>
      <c r="G37" s="19"/>
      <c r="H37" s="19"/>
      <c r="I37" s="19"/>
      <c r="J37" s="41"/>
      <c r="K37" s="19"/>
      <c r="L37" s="19"/>
      <c r="M37" s="19"/>
      <c r="P37" s="19"/>
      <c r="Q37" s="19"/>
      <c r="R37" s="41"/>
      <c r="S37" s="19"/>
      <c r="T37" s="19"/>
      <c r="U37" s="19"/>
      <c r="V37" s="41"/>
      <c r="W37" s="19"/>
      <c r="X37" s="19"/>
    </row>
    <row r="38" spans="1:26" ht="15" customHeight="1" x14ac:dyDescent="0.3">
      <c r="A38" s="12"/>
      <c r="B38" s="57" t="s">
        <v>298</v>
      </c>
      <c r="D38" s="19"/>
      <c r="E38" s="19"/>
      <c r="G38" s="19"/>
      <c r="H38" s="19"/>
      <c r="I38" s="19"/>
      <c r="J38" s="41"/>
      <c r="K38" s="19"/>
      <c r="L38" s="19"/>
      <c r="M38" s="19"/>
      <c r="P38" s="19"/>
      <c r="Q38" s="19"/>
      <c r="R38" s="41"/>
      <c r="S38" s="19"/>
      <c r="T38" s="19"/>
      <c r="U38" s="19"/>
      <c r="V38" s="41"/>
      <c r="W38" s="19"/>
      <c r="X38" s="19"/>
    </row>
    <row r="39" spans="1:26" ht="15" customHeight="1" x14ac:dyDescent="0.3">
      <c r="A39" s="12"/>
      <c r="B39" s="51"/>
      <c r="D39" s="19"/>
      <c r="E39" s="19"/>
      <c r="G39" s="19"/>
      <c r="H39" s="19"/>
      <c r="I39" s="19"/>
      <c r="J39" s="41"/>
      <c r="K39" s="19"/>
      <c r="L39" s="19"/>
      <c r="M39" s="19"/>
      <c r="P39" s="19"/>
      <c r="Q39" s="19"/>
      <c r="R39" s="41"/>
      <c r="S39" s="19"/>
      <c r="T39" s="19"/>
      <c r="U39" s="19"/>
      <c r="V39" s="41"/>
      <c r="W39" s="19"/>
      <c r="X39" s="19"/>
    </row>
    <row r="40" spans="1:26" ht="15" customHeight="1" x14ac:dyDescent="0.3">
      <c r="D40" s="19"/>
      <c r="E40" s="19"/>
      <c r="G40" s="19"/>
      <c r="H40" s="19"/>
      <c r="I40" s="19"/>
      <c r="J40" s="41"/>
      <c r="K40" s="19"/>
      <c r="L40" s="19"/>
      <c r="M40" s="19"/>
      <c r="P40" s="19"/>
      <c r="Q40" s="19"/>
      <c r="R40" s="41"/>
      <c r="S40" s="19"/>
      <c r="T40" s="19"/>
      <c r="U40" s="19"/>
      <c r="V40" s="41"/>
      <c r="W40" s="19"/>
      <c r="X40" s="19"/>
    </row>
  </sheetData>
  <pageMargins left="0.25" right="0.25" top="0.75" bottom="0.75" header="0.3" footer="0.3"/>
  <pageSetup scale="55" orientation="landscape" r:id="rId1"/>
  <headerFooter>
    <oddHeader>&amp;RPre-Audit</oddHeader>
    <oddFooter>&amp;L&amp;C&amp;R</oddFooter>
    <evenHeader>&amp;L&amp;C&amp;R</evenHeader>
    <evenFooter>&amp;L&amp;C&amp;R</evenFoot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F077D2-81E1-8185-6F64-08BADC34FED2}">
  <sheetPr>
    <tabColor rgb="FF92D050"/>
    <outlinePr summaryBelow="0" summaryRight="0"/>
  </sheetPr>
  <dimension ref="A2:Z109"/>
  <sheetViews>
    <sheetView showGridLines="0" defaultGridColor="0" colorId="8" zoomScale="80" workbookViewId="0">
      <pane xSplit="3" ySplit="10" topLeftCell="D11" activePane="bottomRight" state="frozen"/>
      <selection activeCell="D78" sqref="D78"/>
      <selection pane="topRight" activeCell="D78" sqref="D78"/>
      <selection pane="bottomLeft" activeCell="D78" sqref="D78"/>
      <selection pane="bottomRight" activeCell="D78" sqref="D78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3" t="s">
        <v>276</v>
      </c>
    </row>
    <row r="3" spans="1:26" ht="15" customHeight="1" x14ac:dyDescent="0.3">
      <c r="D3" s="53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3" t="str">
        <f>CONCATENATE("Period ",RIGHT(202212,2),", ",2022)</f>
        <v>Period 12,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5"/>
      <c r="D5" s="60">
        <v>44742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5"/>
      <c r="B6" s="47"/>
      <c r="C6" s="47"/>
      <c r="D6" s="25" t="str">
        <f>CONCATENATE("Department ","415"," - ","Outpost")</f>
        <v>Department 415 - Outpost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4"/>
    </row>
    <row r="8" spans="1:26" ht="15" customHeight="1" x14ac:dyDescent="0.3">
      <c r="B8" s="54"/>
    </row>
    <row r="9" spans="1:26" ht="15" customHeight="1" x14ac:dyDescent="0.3">
      <c r="B9" s="12"/>
      <c r="C9" s="12"/>
      <c r="D9" s="16" t="s">
        <v>279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280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ht="15" customHeight="1" x14ac:dyDescent="0.3">
      <c r="A10" s="13"/>
      <c r="B10" s="52"/>
      <c r="C10" s="13"/>
      <c r="D10" s="40" t="s">
        <v>281</v>
      </c>
      <c r="E10" s="32"/>
      <c r="F10" s="39" t="s">
        <v>282</v>
      </c>
      <c r="G10" s="32"/>
      <c r="H10" s="45" t="s">
        <v>283</v>
      </c>
      <c r="I10" s="32"/>
      <c r="J10" s="42" t="s">
        <v>284</v>
      </c>
      <c r="K10" s="13"/>
      <c r="L10" s="40" t="s">
        <v>285</v>
      </c>
      <c r="M10" s="13"/>
      <c r="N10" s="39" t="s">
        <v>286</v>
      </c>
      <c r="O10" s="13"/>
      <c r="P10" s="55" t="s">
        <v>281</v>
      </c>
      <c r="Q10" s="32"/>
      <c r="R10" s="39" t="s">
        <v>282</v>
      </c>
      <c r="S10" s="32"/>
      <c r="T10" s="45" t="s">
        <v>283</v>
      </c>
      <c r="U10" s="32"/>
      <c r="V10" s="42" t="s">
        <v>284</v>
      </c>
      <c r="W10" s="13"/>
      <c r="X10" s="40" t="s">
        <v>285</v>
      </c>
      <c r="Y10" s="13"/>
      <c r="Z10" s="39" t="s">
        <v>286</v>
      </c>
    </row>
    <row r="11" spans="1:26" ht="16.5" customHeight="1" x14ac:dyDescent="0.3">
      <c r="A11" s="12"/>
      <c r="B11" s="58"/>
      <c r="C11" s="12"/>
      <c r="D11" s="12"/>
      <c r="E11" s="12"/>
      <c r="F11" s="10"/>
      <c r="G11" s="12"/>
      <c r="H11" s="12"/>
      <c r="I11" s="12"/>
      <c r="J11" s="43"/>
      <c r="K11" s="12"/>
      <c r="L11" s="12"/>
      <c r="M11" s="12"/>
      <c r="N11" s="10"/>
      <c r="P11" s="12"/>
      <c r="Q11" s="12"/>
      <c r="R11" s="10"/>
      <c r="S11" s="12"/>
      <c r="T11" s="12"/>
      <c r="U11" s="12"/>
      <c r="V11" s="43"/>
      <c r="W11" s="12"/>
      <c r="X11" s="12"/>
      <c r="Y11" s="12"/>
      <c r="Z11" s="10"/>
    </row>
    <row r="12" spans="1:26" s="63" customFormat="1" ht="15" customHeight="1" collapsed="1" x14ac:dyDescent="0.3">
      <c r="A12" s="13"/>
      <c r="B12" s="28" t="s">
        <v>287</v>
      </c>
      <c r="C12" s="13"/>
      <c r="D12" s="8">
        <f>SUM(OSRRefD13x_0)</f>
        <v>32807.31</v>
      </c>
      <c r="E12" s="8"/>
      <c r="F12" s="14"/>
      <c r="G12" s="8"/>
      <c r="H12" s="8">
        <f>SUM(OSRRefH13x_0)</f>
        <v>26526</v>
      </c>
      <c r="I12" s="8"/>
      <c r="J12" s="14"/>
      <c r="K12" s="8"/>
      <c r="L12" s="8">
        <f>+D12-H12</f>
        <v>6281.3099999999977</v>
      </c>
      <c r="M12" s="8"/>
      <c r="N12" s="14">
        <f>IF(H12=0,0,L12/H12)</f>
        <v>0.23679823569328198</v>
      </c>
      <c r="O12" s="13"/>
      <c r="P12" s="8">
        <f>SUM(OSRRefP13x_0)</f>
        <v>843972.23</v>
      </c>
      <c r="Q12" s="8"/>
      <c r="R12" s="14"/>
      <c r="S12" s="8"/>
      <c r="T12" s="8">
        <f>SUM(OSRRefT13x_0)</f>
        <v>673950</v>
      </c>
      <c r="U12" s="8"/>
      <c r="V12" s="14"/>
      <c r="W12" s="8"/>
      <c r="X12" s="8">
        <f>+P12-T12</f>
        <v>170022.22999999998</v>
      </c>
      <c r="Y12" s="8"/>
      <c r="Z12" s="14">
        <f>IF(T12=0,0,X12/T12)</f>
        <v>0.25227721641071293</v>
      </c>
    </row>
    <row r="13" spans="1:26" s="70" customFormat="1" ht="15" hidden="1" customHeight="1" outlineLevel="1" x14ac:dyDescent="0.3">
      <c r="A13" s="48"/>
      <c r="B13" s="9" t="str">
        <f>CONCATENATE("          ","4000"," - ","TAXABLE SALES")</f>
        <v xml:space="preserve">          4000 - TAXABLE SALES</v>
      </c>
      <c r="C13" s="9"/>
      <c r="D13" s="3">
        <f>0</f>
        <v>0</v>
      </c>
      <c r="E13" s="3"/>
      <c r="F13" s="26"/>
      <c r="G13" s="3"/>
      <c r="H13" s="3">
        <v>8250</v>
      </c>
      <c r="I13" s="3"/>
      <c r="J13" s="26"/>
      <c r="K13" s="3"/>
      <c r="L13" s="3">
        <f>+D13-H13</f>
        <v>-8250</v>
      </c>
      <c r="M13" s="3"/>
      <c r="N13" s="26">
        <f>IF(H13=0,0,L13/H13)</f>
        <v>-1</v>
      </c>
      <c r="O13" s="9"/>
      <c r="P13" s="3">
        <f>0</f>
        <v>0</v>
      </c>
      <c r="Q13" s="3"/>
      <c r="R13" s="26"/>
      <c r="S13" s="3"/>
      <c r="T13" s="3">
        <v>209616</v>
      </c>
      <c r="U13" s="3"/>
      <c r="V13" s="26"/>
      <c r="W13" s="3"/>
      <c r="X13" s="3">
        <f>+P13-T13</f>
        <v>-209616</v>
      </c>
      <c r="Y13" s="3"/>
      <c r="Z13" s="26">
        <f>IF(T13=0,0,X13/T13)</f>
        <v>-1</v>
      </c>
    </row>
    <row r="14" spans="1:26" s="70" customFormat="1" ht="15" hidden="1" customHeight="1" outlineLevel="1" x14ac:dyDescent="0.3">
      <c r="A14" s="48"/>
      <c r="B14" s="9" t="str">
        <f>CONCATENATE("          ","4051"," - ","TAXABLE SALES-FOOD")</f>
        <v xml:space="preserve">          4051 - TAXABLE SALES-FOOD</v>
      </c>
      <c r="C14" s="9"/>
      <c r="D14" s="3">
        <f>--13755.32</f>
        <v>13755.32</v>
      </c>
      <c r="E14" s="3"/>
      <c r="F14" s="26"/>
      <c r="G14" s="3"/>
      <c r="H14" s="3"/>
      <c r="I14" s="3"/>
      <c r="J14" s="26"/>
      <c r="K14" s="3"/>
      <c r="L14" s="3">
        <f>+D14-H14</f>
        <v>13755.32</v>
      </c>
      <c r="M14" s="3"/>
      <c r="N14" s="26">
        <f>IF(H14=0,0,L14/H14)</f>
        <v>0</v>
      </c>
      <c r="O14" s="9"/>
      <c r="P14" s="3">
        <f>--295364.67</f>
        <v>295364.67</v>
      </c>
      <c r="Q14" s="3"/>
      <c r="R14" s="26"/>
      <c r="S14" s="3"/>
      <c r="T14" s="3"/>
      <c r="U14" s="3"/>
      <c r="V14" s="26"/>
      <c r="W14" s="3"/>
      <c r="X14" s="3">
        <f>+P14-T14</f>
        <v>295364.67</v>
      </c>
      <c r="Y14" s="3"/>
      <c r="Z14" s="26">
        <f>IF(T14=0,0,X14/T14)</f>
        <v>0</v>
      </c>
    </row>
    <row r="15" spans="1:26" s="70" customFormat="1" ht="15" hidden="1" customHeight="1" outlineLevel="1" x14ac:dyDescent="0.3">
      <c r="A15" s="48"/>
      <c r="B15" s="9" t="str">
        <f>CONCATENATE("          ","4100"," - ","NON-TAXABLE SALES")</f>
        <v xml:space="preserve">          4100 - NON-TAXABLE SALES</v>
      </c>
      <c r="C15" s="9"/>
      <c r="D15" s="3">
        <f>0</f>
        <v>0</v>
      </c>
      <c r="E15" s="3"/>
      <c r="F15" s="26"/>
      <c r="G15" s="3"/>
      <c r="H15" s="3">
        <v>18276</v>
      </c>
      <c r="I15" s="3"/>
      <c r="J15" s="26"/>
      <c r="K15" s="3"/>
      <c r="L15" s="3">
        <f>+D15-H15</f>
        <v>-18276</v>
      </c>
      <c r="M15" s="3"/>
      <c r="N15" s="26">
        <f>IF(H15=0,0,L15/H15)</f>
        <v>-1</v>
      </c>
      <c r="O15" s="9"/>
      <c r="P15" s="3">
        <f>0</f>
        <v>0</v>
      </c>
      <c r="Q15" s="3"/>
      <c r="R15" s="26"/>
      <c r="S15" s="3"/>
      <c r="T15" s="3">
        <v>464334</v>
      </c>
      <c r="U15" s="3"/>
      <c r="V15" s="26"/>
      <c r="W15" s="3"/>
      <c r="X15" s="3">
        <f>+P15-T15</f>
        <v>-464334</v>
      </c>
      <c r="Y15" s="3"/>
      <c r="Z15" s="26">
        <f>IF(T15=0,0,X15/T15)</f>
        <v>-1</v>
      </c>
    </row>
    <row r="16" spans="1:26" s="70" customFormat="1" ht="15" hidden="1" customHeight="1" outlineLevel="1" x14ac:dyDescent="0.3">
      <c r="A16" s="48"/>
      <c r="B16" s="9" t="str">
        <f>CONCATENATE("          ","4151"," - ","NON-TAXABLE SALES-FOOD")</f>
        <v xml:space="preserve">          4151 - NON-TAXABLE SALES-FOOD</v>
      </c>
      <c r="C16" s="9"/>
      <c r="D16" s="3">
        <f>--19051.99</f>
        <v>19051.990000000002</v>
      </c>
      <c r="E16" s="3"/>
      <c r="F16" s="26"/>
      <c r="G16" s="3"/>
      <c r="H16" s="3"/>
      <c r="I16" s="3"/>
      <c r="J16" s="26"/>
      <c r="K16" s="3"/>
      <c r="L16" s="3">
        <f>+D16-H16</f>
        <v>19051.990000000002</v>
      </c>
      <c r="M16" s="3"/>
      <c r="N16" s="26">
        <f>IF(H16=0,0,L16/H16)</f>
        <v>0</v>
      </c>
      <c r="O16" s="9"/>
      <c r="P16" s="3">
        <f>--548607.56</f>
        <v>548607.56000000006</v>
      </c>
      <c r="Q16" s="3"/>
      <c r="R16" s="26"/>
      <c r="S16" s="3"/>
      <c r="T16" s="3"/>
      <c r="U16" s="3"/>
      <c r="V16" s="26"/>
      <c r="W16" s="3"/>
      <c r="X16" s="3">
        <f>+P16-T16</f>
        <v>548607.56000000006</v>
      </c>
      <c r="Y16" s="3"/>
      <c r="Z16" s="26">
        <f>IF(T16=0,0,X16/T16)</f>
        <v>0</v>
      </c>
    </row>
    <row r="17" spans="1:26" ht="15" customHeight="1" x14ac:dyDescent="0.3">
      <c r="A17" s="12"/>
      <c r="B17" s="13"/>
      <c r="C17" s="12"/>
      <c r="D17" s="4"/>
      <c r="E17" s="4"/>
      <c r="F17" s="10"/>
      <c r="G17" s="4"/>
      <c r="H17" s="4"/>
      <c r="I17" s="4"/>
      <c r="J17" s="10"/>
      <c r="K17" s="4"/>
      <c r="L17" s="4"/>
      <c r="M17" s="4"/>
      <c r="N17" s="10"/>
      <c r="P17" s="4"/>
      <c r="Q17" s="4"/>
      <c r="R17" s="10"/>
      <c r="S17" s="4"/>
      <c r="T17" s="4"/>
      <c r="U17" s="4"/>
      <c r="V17" s="10"/>
      <c r="W17" s="4"/>
      <c r="X17" s="4"/>
      <c r="Y17" s="4"/>
      <c r="Z17" s="10"/>
    </row>
    <row r="18" spans="1:26" s="63" customFormat="1" ht="15" customHeight="1" collapsed="1" x14ac:dyDescent="0.3">
      <c r="A18" s="13"/>
      <c r="B18" s="28" t="s">
        <v>288</v>
      </c>
      <c r="C18" s="13"/>
      <c r="D18" s="8">
        <f>SUM(OSRRefD16x_0)</f>
        <v>14950.36</v>
      </c>
      <c r="E18" s="8"/>
      <c r="F18" s="14">
        <f>IF(D$12=0,0,D18/D$12)</f>
        <v>0.45570209809947848</v>
      </c>
      <c r="G18" s="8"/>
      <c r="H18" s="8">
        <f>SUM(OSRRefH16x_0)</f>
        <v>7162</v>
      </c>
      <c r="I18" s="8"/>
      <c r="J18" s="14">
        <f>IF(H$12=0,0,H18/H$12)</f>
        <v>0.26999924602277009</v>
      </c>
      <c r="K18" s="8"/>
      <c r="L18" s="8">
        <f>+D18-H18</f>
        <v>7788.3600000000006</v>
      </c>
      <c r="M18" s="8"/>
      <c r="N18" s="14">
        <f>IF(H18=0,0,L18/H18)</f>
        <v>1.0874560178721029</v>
      </c>
      <c r="O18" s="13"/>
      <c r="P18" s="8">
        <f>SUM(OSRRefP16x_0)</f>
        <v>297101.52</v>
      </c>
      <c r="Q18" s="8"/>
      <c r="R18" s="14">
        <f>IF(P$12=0,0,P18/P$12)</f>
        <v>0.35202760166646718</v>
      </c>
      <c r="S18" s="8"/>
      <c r="T18" s="8">
        <f>SUM(OSRRefT16x_0)</f>
        <v>215377</v>
      </c>
      <c r="U18" s="8"/>
      <c r="V18" s="14">
        <f>IF(T$12=0,0,T18/T$12)</f>
        <v>0.31957415238519177</v>
      </c>
      <c r="W18" s="8"/>
      <c r="X18" s="8">
        <f>+P18-T18</f>
        <v>81724.520000000019</v>
      </c>
      <c r="Y18" s="8"/>
      <c r="Z18" s="14">
        <f>IF(T18=0,0,X18/T18)</f>
        <v>0.37944868765002771</v>
      </c>
    </row>
    <row r="19" spans="1:26" s="70" customFormat="1" ht="15" hidden="1" customHeight="1" outlineLevel="1" x14ac:dyDescent="0.3">
      <c r="A19" s="48"/>
      <c r="B19" s="9" t="str">
        <f>CONCATENATE("          ","5000"," - ","PURCHASES @ COST")</f>
        <v xml:space="preserve">          5000 - PURCHASES @ COST</v>
      </c>
      <c r="C19" s="9"/>
      <c r="D19" s="3"/>
      <c r="E19" s="3"/>
      <c r="F19" s="26">
        <f>IF(D$12=0,0,D19/D$12)</f>
        <v>0</v>
      </c>
      <c r="G19" s="3"/>
      <c r="H19" s="3">
        <v>7162</v>
      </c>
      <c r="I19" s="3"/>
      <c r="J19" s="26">
        <f>IF(H$12=0,0,H19/H$12)</f>
        <v>0.26999924602277009</v>
      </c>
      <c r="K19" s="3"/>
      <c r="L19" s="3">
        <f>+D19-H19</f>
        <v>-7162</v>
      </c>
      <c r="M19" s="3"/>
      <c r="N19" s="26">
        <f>IF(H19=0,0,L19/H19)</f>
        <v>-1</v>
      </c>
      <c r="O19" s="9"/>
      <c r="P19" s="3"/>
      <c r="Q19" s="3"/>
      <c r="R19" s="26">
        <f>IF(P$12=0,0,P19/P$12)</f>
        <v>0</v>
      </c>
      <c r="S19" s="3"/>
      <c r="T19" s="3">
        <v>215377</v>
      </c>
      <c r="U19" s="3"/>
      <c r="V19" s="26">
        <f>IF(T$12=0,0,T19/T$12)</f>
        <v>0.31957415238519177</v>
      </c>
      <c r="W19" s="3"/>
      <c r="X19" s="3">
        <f>+P19-T19</f>
        <v>-215377</v>
      </c>
      <c r="Y19" s="3"/>
      <c r="Z19" s="26">
        <f>IF(T19=0,0,X19/T19)</f>
        <v>-1</v>
      </c>
    </row>
    <row r="20" spans="1:26" s="70" customFormat="1" ht="15" hidden="1" customHeight="1" outlineLevel="1" x14ac:dyDescent="0.3">
      <c r="A20" s="48"/>
      <c r="B20" s="9" t="str">
        <f>CONCATENATE("          ","5053"," - ","PURCHASES @ COST-FOOD")</f>
        <v xml:space="preserve">          5053 - PURCHASES @ COST-FOOD</v>
      </c>
      <c r="C20" s="9"/>
      <c r="D20" s="3">
        <v>12059.4</v>
      </c>
      <c r="E20" s="3"/>
      <c r="F20" s="26">
        <f>IF(D$12=0,0,D20/D$12)</f>
        <v>0.36758271251132751</v>
      </c>
      <c r="G20" s="3"/>
      <c r="H20" s="3"/>
      <c r="I20" s="3"/>
      <c r="J20" s="26">
        <f>IF(H$12=0,0,H20/H$12)</f>
        <v>0</v>
      </c>
      <c r="K20" s="3"/>
      <c r="L20" s="3">
        <f>+D20-H20</f>
        <v>12059.4</v>
      </c>
      <c r="M20" s="3"/>
      <c r="N20" s="26">
        <f>IF(H20=0,0,L20/H20)</f>
        <v>0</v>
      </c>
      <c r="O20" s="9"/>
      <c r="P20" s="3">
        <v>292638.38</v>
      </c>
      <c r="Q20" s="3"/>
      <c r="R20" s="26">
        <f>IF(P$12=0,0,P20/P$12)</f>
        <v>0.34673934709913384</v>
      </c>
      <c r="S20" s="3"/>
      <c r="T20" s="3"/>
      <c r="U20" s="3"/>
      <c r="V20" s="26">
        <f>IF(T$12=0,0,T20/T$12)</f>
        <v>0</v>
      </c>
      <c r="W20" s="3"/>
      <c r="X20" s="3">
        <f>+P20-T20</f>
        <v>292638.38</v>
      </c>
      <c r="Y20" s="3"/>
      <c r="Z20" s="26">
        <f>IF(T20=0,0,X20/T20)</f>
        <v>0</v>
      </c>
    </row>
    <row r="21" spans="1:26" s="70" customFormat="1" ht="15" hidden="1" customHeight="1" outlineLevel="1" x14ac:dyDescent="0.3">
      <c r="A21" s="48"/>
      <c r="B21" s="9" t="str">
        <f>CONCATENATE("          ","5059"," - ","PURCHASES @ COST-FOOD")</f>
        <v xml:space="preserve">          5059 - PURCHASES @ COST-FOOD</v>
      </c>
      <c r="C21" s="9"/>
      <c r="D21" s="3">
        <v>2890.96</v>
      </c>
      <c r="E21" s="3"/>
      <c r="F21" s="26">
        <f>IF(D$12=0,0,D21/D$12)</f>
        <v>8.8119385588150939E-2</v>
      </c>
      <c r="G21" s="3"/>
      <c r="H21" s="3"/>
      <c r="I21" s="3"/>
      <c r="J21" s="26">
        <f>IF(H$12=0,0,H21/H$12)</f>
        <v>0</v>
      </c>
      <c r="K21" s="3"/>
      <c r="L21" s="3">
        <f>+D21-H21</f>
        <v>2890.96</v>
      </c>
      <c r="M21" s="3"/>
      <c r="N21" s="26">
        <f>IF(H21=0,0,L21/H21)</f>
        <v>0</v>
      </c>
      <c r="O21" s="9"/>
      <c r="P21" s="3">
        <v>4463.1400000000003</v>
      </c>
      <c r="Q21" s="3"/>
      <c r="R21" s="26">
        <f>IF(P$12=0,0,P21/P$12)</f>
        <v>5.2882545673333357E-3</v>
      </c>
      <c r="S21" s="3"/>
      <c r="T21" s="3"/>
      <c r="U21" s="3"/>
      <c r="V21" s="26">
        <f>IF(T$12=0,0,T21/T$12)</f>
        <v>0</v>
      </c>
      <c r="W21" s="3"/>
      <c r="X21" s="3">
        <f>+P21-T21</f>
        <v>4463.1400000000003</v>
      </c>
      <c r="Y21" s="3"/>
      <c r="Z21" s="26">
        <f>IF(T21=0,0,X21/T21)</f>
        <v>0</v>
      </c>
    </row>
    <row r="22" spans="1:26" ht="15" customHeight="1" x14ac:dyDescent="0.3">
      <c r="A22" s="12"/>
      <c r="B22" s="13"/>
      <c r="C22" s="13"/>
      <c r="D22" s="4"/>
      <c r="E22" s="4"/>
      <c r="F22" s="10"/>
      <c r="G22" s="4"/>
      <c r="H22" s="4"/>
      <c r="I22" s="4"/>
      <c r="J22" s="10"/>
      <c r="K22" s="4"/>
      <c r="L22" s="4"/>
      <c r="M22" s="4"/>
      <c r="N22" s="10"/>
      <c r="O22" s="13"/>
      <c r="P22" s="4"/>
      <c r="Q22" s="4"/>
      <c r="R22" s="10"/>
      <c r="S22" s="4"/>
      <c r="T22" s="4"/>
      <c r="U22" s="4"/>
      <c r="V22" s="10"/>
      <c r="W22" s="4"/>
      <c r="X22" s="4"/>
      <c r="Y22" s="4"/>
      <c r="Z22" s="10"/>
    </row>
    <row r="23" spans="1:26" s="63" customFormat="1" ht="15" customHeight="1" x14ac:dyDescent="0.3">
      <c r="A23" s="13"/>
      <c r="B23" s="27" t="s">
        <v>289</v>
      </c>
      <c r="C23" s="27"/>
      <c r="D23" s="23">
        <f>D12-D18</f>
        <v>17856.949999999997</v>
      </c>
      <c r="E23" s="15"/>
      <c r="F23" s="22">
        <f>IF(D$12=0,0,D23/D$12)</f>
        <v>0.54429790190052152</v>
      </c>
      <c r="G23" s="15"/>
      <c r="H23" s="23">
        <f>H12-H18</f>
        <v>19364</v>
      </c>
      <c r="I23" s="15"/>
      <c r="J23" s="22">
        <f>IF(H$12=0,0,H23/H$12)</f>
        <v>0.73000075397722985</v>
      </c>
      <c r="K23" s="17"/>
      <c r="L23" s="23">
        <f>+D23-H23</f>
        <v>-1507.0500000000029</v>
      </c>
      <c r="M23" s="17"/>
      <c r="N23" s="22">
        <f>IF(H23=0,0,L23/H23)</f>
        <v>-7.7827411691799367E-2</v>
      </c>
      <c r="O23" s="28"/>
      <c r="P23" s="23">
        <f>P12-P18</f>
        <v>546870.71</v>
      </c>
      <c r="Q23" s="15"/>
      <c r="R23" s="22">
        <f>IF(P$12=0,0,P23/P$12)</f>
        <v>0.64797239833353282</v>
      </c>
      <c r="S23" s="15"/>
      <c r="T23" s="23">
        <f>T12-T18</f>
        <v>458573</v>
      </c>
      <c r="U23" s="15"/>
      <c r="V23" s="22">
        <f>IF(T$12=0,0,T23/T$12)</f>
        <v>0.68042584761480818</v>
      </c>
      <c r="W23" s="17"/>
      <c r="X23" s="23">
        <f>+P23-T23</f>
        <v>88297.709999999963</v>
      </c>
      <c r="Y23" s="17"/>
      <c r="Z23" s="22">
        <f>IF(T23=0,0,X23/T23)</f>
        <v>0.19254886353971987</v>
      </c>
    </row>
    <row r="24" spans="1:26" ht="15" customHeight="1" x14ac:dyDescent="0.3">
      <c r="A24" s="12"/>
      <c r="B24" s="13"/>
      <c r="C24" s="12"/>
      <c r="D24" s="2"/>
      <c r="E24" s="2"/>
      <c r="F24" s="5"/>
      <c r="G24" s="2"/>
      <c r="H24" s="2"/>
      <c r="I24" s="2"/>
      <c r="J24" s="5"/>
      <c r="K24" s="2"/>
      <c r="L24" s="2"/>
      <c r="M24" s="2"/>
      <c r="N24" s="5"/>
      <c r="O24" s="36"/>
      <c r="P24" s="2"/>
      <c r="Q24" s="2"/>
      <c r="R24" s="5"/>
      <c r="S24" s="2"/>
      <c r="T24" s="2"/>
      <c r="U24" s="2"/>
      <c r="V24" s="5"/>
      <c r="W24" s="2"/>
      <c r="X24" s="2"/>
      <c r="Y24" s="2"/>
      <c r="Z24" s="5"/>
    </row>
    <row r="25" spans="1:26" s="63" customFormat="1" ht="15" customHeight="1" x14ac:dyDescent="0.3">
      <c r="A25" s="13"/>
      <c r="B25" s="28" t="s">
        <v>290</v>
      </c>
      <c r="C25" s="13"/>
      <c r="D25" s="24" cm="1">
        <f t="array" ref="D25">SUM(OSRRefD22x_0)</f>
        <v>59631.12</v>
      </c>
      <c r="E25" s="24"/>
      <c r="F25" s="34">
        <f t="shared" ref="F25:F56" si="0">IF(D$12=0,0,D25/D$12)</f>
        <v>1.817616866484939</v>
      </c>
      <c r="G25" s="24"/>
      <c r="H25" s="24" cm="1">
        <f t="array" ref="H25">SUM(OSRRefH22x_0)</f>
        <v>48265.147065272919</v>
      </c>
      <c r="I25" s="24"/>
      <c r="J25" s="34">
        <f t="shared" ref="J25:J56" si="1">IF(H$12=0,0,H25/H$12)</f>
        <v>1.8195410942197436</v>
      </c>
      <c r="K25" s="8"/>
      <c r="L25" s="24">
        <f t="shared" ref="L25:L56" si="2">+D25-H25</f>
        <v>11365.972934727084</v>
      </c>
      <c r="M25" s="8"/>
      <c r="N25" s="34">
        <f t="shared" ref="N25:N56" si="3">IF(H25=0,0,L25/H25)</f>
        <v>0.23549027871718584</v>
      </c>
      <c r="O25" s="13"/>
      <c r="P25" s="24" cm="1">
        <f t="array" ref="P25">SUM(OSRRefP22x_0)</f>
        <v>935913.60999999987</v>
      </c>
      <c r="Q25" s="24"/>
      <c r="R25" s="34">
        <f t="shared" ref="R25:R56" si="4">IF(P$12=0,0,P25/P$12)</f>
        <v>1.1089388687587505</v>
      </c>
      <c r="S25" s="24"/>
      <c r="T25" s="24" cm="1">
        <f t="array" ref="T25">SUM(OSRRefT22x_0)</f>
        <v>698392.78880830365</v>
      </c>
      <c r="U25" s="24"/>
      <c r="V25" s="34">
        <f t="shared" ref="V25:V56" si="5">IF(T$12=0,0,T25/T$12)</f>
        <v>1.0362679557953909</v>
      </c>
      <c r="W25" s="8"/>
      <c r="X25" s="24">
        <f t="shared" ref="X25:X56" si="6">+P25-T25</f>
        <v>237520.82119169622</v>
      </c>
      <c r="Y25" s="8"/>
      <c r="Z25" s="34">
        <f t="shared" ref="Z25:Z56" si="7">IF(T25=0,0,X25/T25)</f>
        <v>0.34009632544601121</v>
      </c>
    </row>
    <row r="26" spans="1:26" s="69" customFormat="1" ht="15" customHeight="1" outlineLevel="1" collapsed="1" x14ac:dyDescent="0.3">
      <c r="A26" s="20"/>
      <c r="B26" s="11" t="str">
        <f>CONCATENATE("     ","*Benefits                                         ")</f>
        <v xml:space="preserve">     *Benefits                                         </v>
      </c>
      <c r="C26" s="11"/>
      <c r="D26" s="2">
        <f>SUM(OSRRefD22_0x_0)</f>
        <v>1845.0799999999992</v>
      </c>
      <c r="E26" s="2"/>
      <c r="F26" s="5">
        <f t="shared" si="0"/>
        <v>5.6239905069937139E-2</v>
      </c>
      <c r="G26" s="2"/>
      <c r="H26" s="2">
        <f>SUM(OSRRefH22_0x_0)</f>
        <v>5943.7745252729201</v>
      </c>
      <c r="I26" s="2"/>
      <c r="J26" s="5">
        <f t="shared" si="1"/>
        <v>0.22407353258210511</v>
      </c>
      <c r="K26" s="2"/>
      <c r="L26" s="2">
        <f t="shared" si="2"/>
        <v>-4098.6945252729211</v>
      </c>
      <c r="M26" s="2"/>
      <c r="N26" s="5">
        <f t="shared" si="3"/>
        <v>-0.68957772671982731</v>
      </c>
      <c r="O26" s="11"/>
      <c r="P26" s="2">
        <f>SUM(OSRRefP22_0x_0)</f>
        <v>137968.12999999998</v>
      </c>
      <c r="Q26" s="2"/>
      <c r="R26" s="5">
        <f t="shared" si="4"/>
        <v>0.16347472712461164</v>
      </c>
      <c r="S26" s="2"/>
      <c r="T26" s="2">
        <f>SUM(OSRRefT22_0x_0)</f>
        <v>78186.793768303702</v>
      </c>
      <c r="U26" s="2"/>
      <c r="V26" s="5">
        <f t="shared" si="5"/>
        <v>0.11601275134402211</v>
      </c>
      <c r="W26" s="2"/>
      <c r="X26" s="2">
        <f t="shared" si="6"/>
        <v>59781.336231696274</v>
      </c>
      <c r="Y26" s="2"/>
      <c r="Z26" s="5">
        <f t="shared" si="7"/>
        <v>0.76459633846670338</v>
      </c>
    </row>
    <row r="27" spans="1:26" s="70" customFormat="1" ht="15" hidden="1" customHeight="1" outlineLevel="2" x14ac:dyDescent="0.3">
      <c r="A27" s="21"/>
      <c r="B27" s="9" t="str">
        <f>CONCATENATE("          ","6111"," - ","F.I.C.A.")</f>
        <v xml:space="preserve">          6111 - F.I.C.A.</v>
      </c>
      <c r="C27" s="9"/>
      <c r="D27" s="6">
        <v>1441.35</v>
      </c>
      <c r="E27" s="3"/>
      <c r="F27" s="7">
        <f t="shared" si="0"/>
        <v>4.3933806215748869E-2</v>
      </c>
      <c r="G27" s="3"/>
      <c r="H27" s="6">
        <v>631.587794196</v>
      </c>
      <c r="I27" s="3"/>
      <c r="J27" s="7">
        <f t="shared" si="1"/>
        <v>2.3810140774937798E-2</v>
      </c>
      <c r="K27" s="3"/>
      <c r="L27" s="6">
        <f t="shared" si="2"/>
        <v>809.7622058039999</v>
      </c>
      <c r="M27" s="3"/>
      <c r="N27" s="7">
        <f t="shared" si="3"/>
        <v>1.2821055334592284</v>
      </c>
      <c r="O27" s="9"/>
      <c r="P27" s="6">
        <v>22405.88</v>
      </c>
      <c r="Q27" s="3"/>
      <c r="R27" s="7">
        <f t="shared" si="4"/>
        <v>2.6548124693628845E-2</v>
      </c>
      <c r="S27" s="3"/>
      <c r="T27" s="6">
        <v>10993.670202996</v>
      </c>
      <c r="U27" s="3"/>
      <c r="V27" s="7">
        <f t="shared" si="5"/>
        <v>1.6312293498028044E-2</v>
      </c>
      <c r="W27" s="3"/>
      <c r="X27" s="6">
        <f t="shared" si="6"/>
        <v>11412.209797004001</v>
      </c>
      <c r="Y27" s="3"/>
      <c r="Z27" s="7">
        <f t="shared" si="7"/>
        <v>1.0380709614059498</v>
      </c>
    </row>
    <row r="28" spans="1:26" s="70" customFormat="1" ht="15" hidden="1" customHeight="1" outlineLevel="2" x14ac:dyDescent="0.3">
      <c r="A28" s="21"/>
      <c r="B28" s="9" t="str">
        <f>CONCATENATE("          ","6112"," - ","COMPENSATION INSURANCE")</f>
        <v xml:space="preserve">          6112 - COMPENSATION INSURANCE</v>
      </c>
      <c r="C28" s="9"/>
      <c r="D28" s="6">
        <v>-5012.5600000000004</v>
      </c>
      <c r="E28" s="3"/>
      <c r="F28" s="7">
        <f t="shared" si="0"/>
        <v>-0.15278790001374695</v>
      </c>
      <c r="G28" s="3"/>
      <c r="H28" s="6">
        <v>408.48670027999998</v>
      </c>
      <c r="I28" s="3"/>
      <c r="J28" s="7">
        <f t="shared" si="1"/>
        <v>1.5399483536153207E-2</v>
      </c>
      <c r="K28" s="3"/>
      <c r="L28" s="6">
        <f t="shared" si="2"/>
        <v>-5421.0467002800006</v>
      </c>
      <c r="M28" s="3"/>
      <c r="N28" s="7">
        <f t="shared" si="3"/>
        <v>-13.27104822889976</v>
      </c>
      <c r="O28" s="9"/>
      <c r="P28" s="6">
        <v>7593.94</v>
      </c>
      <c r="Q28" s="3"/>
      <c r="R28" s="7">
        <f t="shared" si="4"/>
        <v>8.9978552967317424E-3</v>
      </c>
      <c r="S28" s="3"/>
      <c r="T28" s="6">
        <v>7866.4506900300003</v>
      </c>
      <c r="U28" s="3"/>
      <c r="V28" s="7">
        <f t="shared" si="5"/>
        <v>1.1672157712040953E-2</v>
      </c>
      <c r="W28" s="3"/>
      <c r="X28" s="6">
        <f t="shared" si="6"/>
        <v>-272.51069003000066</v>
      </c>
      <c r="Y28" s="3"/>
      <c r="Z28" s="7">
        <f t="shared" si="7"/>
        <v>-3.4642140498685484E-2</v>
      </c>
    </row>
    <row r="29" spans="1:26" s="70" customFormat="1" ht="15" hidden="1" customHeight="1" outlineLevel="2" x14ac:dyDescent="0.3">
      <c r="A29" s="21"/>
      <c r="B29" s="9" t="str">
        <f>CONCATENATE("          ","6113"," - ","GROUP INSURANCE")</f>
        <v xml:space="preserve">          6113 - GROUP INSURANCE</v>
      </c>
      <c r="C29" s="9"/>
      <c r="D29" s="6">
        <v>4330.21</v>
      </c>
      <c r="E29" s="3"/>
      <c r="F29" s="7">
        <f t="shared" si="0"/>
        <v>0.13198918167932697</v>
      </c>
      <c r="G29" s="3"/>
      <c r="H29" s="6">
        <v>3710.67692307692</v>
      </c>
      <c r="I29" s="3"/>
      <c r="J29" s="7">
        <f t="shared" si="1"/>
        <v>0.1398882953734796</v>
      </c>
      <c r="K29" s="3"/>
      <c r="L29" s="6">
        <f t="shared" si="2"/>
        <v>619.53307692307999</v>
      </c>
      <c r="M29" s="3"/>
      <c r="N29" s="7">
        <f t="shared" si="3"/>
        <v>0.16695958440093964</v>
      </c>
      <c r="O29" s="9"/>
      <c r="P29" s="6">
        <v>68753.33</v>
      </c>
      <c r="Q29" s="3"/>
      <c r="R29" s="7">
        <f t="shared" si="4"/>
        <v>8.1463971865519791E-2</v>
      </c>
      <c r="S29" s="3"/>
      <c r="T29" s="6">
        <v>43706.907692307701</v>
      </c>
      <c r="U29" s="3"/>
      <c r="V29" s="7">
        <f t="shared" si="5"/>
        <v>6.4851855022342461E-2</v>
      </c>
      <c r="W29" s="3"/>
      <c r="X29" s="6">
        <f t="shared" si="6"/>
        <v>25046.422307692301</v>
      </c>
      <c r="Y29" s="3"/>
      <c r="Z29" s="7">
        <f t="shared" si="7"/>
        <v>0.57305409213611336</v>
      </c>
    </row>
    <row r="30" spans="1:26" s="70" customFormat="1" ht="15" hidden="1" customHeight="1" outlineLevel="2" x14ac:dyDescent="0.3">
      <c r="A30" s="21"/>
      <c r="B30" s="9" t="str">
        <f>CONCATENATE("          ","6114"," - ","STATE UNEMPLOYMENT INSURANCE")</f>
        <v xml:space="preserve">          6114 - STATE UNEMPLOYMENT INSURANCE</v>
      </c>
      <c r="C30" s="9"/>
      <c r="D30" s="6"/>
      <c r="E30" s="3"/>
      <c r="F30" s="7">
        <f t="shared" si="0"/>
        <v>0</v>
      </c>
      <c r="G30" s="3"/>
      <c r="H30" s="6">
        <v>22.633827719999999</v>
      </c>
      <c r="I30" s="3"/>
      <c r="J30" s="7">
        <f t="shared" si="1"/>
        <v>8.5326953630400363E-4</v>
      </c>
      <c r="K30" s="3"/>
      <c r="L30" s="6">
        <f t="shared" si="2"/>
        <v>-22.633827719999999</v>
      </c>
      <c r="M30" s="3"/>
      <c r="N30" s="7">
        <f t="shared" si="3"/>
        <v>-1</v>
      </c>
      <c r="O30" s="9"/>
      <c r="P30" s="6">
        <v>910.48</v>
      </c>
      <c r="Q30" s="3"/>
      <c r="R30" s="7">
        <f t="shared" si="4"/>
        <v>1.0788032682070593E-3</v>
      </c>
      <c r="S30" s="3"/>
      <c r="T30" s="6">
        <v>435.87193796999998</v>
      </c>
      <c r="U30" s="3"/>
      <c r="V30" s="7">
        <f t="shared" si="5"/>
        <v>6.4674224789672816E-4</v>
      </c>
      <c r="W30" s="3"/>
      <c r="X30" s="6">
        <f t="shared" si="6"/>
        <v>474.60806203000004</v>
      </c>
      <c r="Y30" s="3"/>
      <c r="Z30" s="7">
        <f t="shared" si="7"/>
        <v>1.0888704242819738</v>
      </c>
    </row>
    <row r="31" spans="1:26" s="70" customFormat="1" ht="15" hidden="1" customHeight="1" outlineLevel="2" x14ac:dyDescent="0.3">
      <c r="A31" s="21"/>
      <c r="B31" s="9" t="str">
        <f>CONCATENATE("          ","6115"," - ","P.E.R.S.")</f>
        <v xml:space="preserve">          6115 - P.E.R.S.</v>
      </c>
      <c r="C31" s="9"/>
      <c r="D31" s="6"/>
      <c r="E31" s="3"/>
      <c r="F31" s="7">
        <f t="shared" si="0"/>
        <v>0</v>
      </c>
      <c r="G31" s="3"/>
      <c r="H31" s="6">
        <v>437.49662000000001</v>
      </c>
      <c r="I31" s="3"/>
      <c r="J31" s="7">
        <f t="shared" si="1"/>
        <v>1.6493124481640656E-2</v>
      </c>
      <c r="K31" s="3"/>
      <c r="L31" s="6">
        <f t="shared" si="2"/>
        <v>-437.49662000000001</v>
      </c>
      <c r="M31" s="3"/>
      <c r="N31" s="7">
        <f t="shared" si="3"/>
        <v>-1</v>
      </c>
      <c r="O31" s="9"/>
      <c r="P31" s="6">
        <v>7130.78</v>
      </c>
      <c r="Q31" s="3"/>
      <c r="R31" s="7">
        <f t="shared" si="4"/>
        <v>8.4490694676055862E-3</v>
      </c>
      <c r="S31" s="3"/>
      <c r="T31" s="6">
        <v>5687.4560600000004</v>
      </c>
      <c r="U31" s="3"/>
      <c r="V31" s="7">
        <f t="shared" si="5"/>
        <v>8.4389881445211083E-3</v>
      </c>
      <c r="W31" s="3"/>
      <c r="X31" s="6">
        <f t="shared" si="6"/>
        <v>1443.3239399999993</v>
      </c>
      <c r="Y31" s="3"/>
      <c r="Z31" s="7">
        <f t="shared" si="7"/>
        <v>0.25377320277706006</v>
      </c>
    </row>
    <row r="32" spans="1:26" s="70" customFormat="1" ht="15" hidden="1" customHeight="1" outlineLevel="2" x14ac:dyDescent="0.3">
      <c r="A32" s="21"/>
      <c r="B32" s="9" t="str">
        <f>CONCATENATE("          ","6116"," - ","EDUCATIONAL BENEFITS")</f>
        <v xml:space="preserve">          6116 - EDUCATIONAL BENEFITS</v>
      </c>
      <c r="C32" s="9"/>
      <c r="D32" s="6"/>
      <c r="E32" s="3"/>
      <c r="F32" s="7">
        <f t="shared" si="0"/>
        <v>0</v>
      </c>
      <c r="G32" s="3"/>
      <c r="H32" s="6">
        <v>0</v>
      </c>
      <c r="I32" s="3"/>
      <c r="J32" s="7">
        <f t="shared" si="1"/>
        <v>0</v>
      </c>
      <c r="K32" s="3"/>
      <c r="L32" s="6">
        <f t="shared" si="2"/>
        <v>0</v>
      </c>
      <c r="M32" s="3"/>
      <c r="N32" s="7">
        <f t="shared" si="3"/>
        <v>0</v>
      </c>
      <c r="O32" s="9"/>
      <c r="P32" s="6"/>
      <c r="Q32" s="3"/>
      <c r="R32" s="7">
        <f t="shared" si="4"/>
        <v>0</v>
      </c>
      <c r="S32" s="3"/>
      <c r="T32" s="6">
        <v>0</v>
      </c>
      <c r="U32" s="3"/>
      <c r="V32" s="7">
        <f t="shared" si="5"/>
        <v>0</v>
      </c>
      <c r="W32" s="3"/>
      <c r="X32" s="6">
        <f t="shared" si="6"/>
        <v>0</v>
      </c>
      <c r="Y32" s="3"/>
      <c r="Z32" s="7">
        <f t="shared" si="7"/>
        <v>0</v>
      </c>
    </row>
    <row r="33" spans="1:26" s="70" customFormat="1" ht="15" hidden="1" customHeight="1" outlineLevel="2" x14ac:dyDescent="0.3">
      <c r="A33" s="21"/>
      <c r="B33" s="9" t="str">
        <f>CONCATENATE("          ","6117"," - ","RETIREMENT STAFF HOURLY")</f>
        <v xml:space="preserve">          6117 - RETIREMENT STAFF HOURLY</v>
      </c>
      <c r="C33" s="9"/>
      <c r="D33" s="6">
        <v>54.93</v>
      </c>
      <c r="E33" s="3"/>
      <c r="F33" s="7">
        <f t="shared" si="0"/>
        <v>1.6743219727554622E-3</v>
      </c>
      <c r="G33" s="3"/>
      <c r="H33" s="6"/>
      <c r="I33" s="3"/>
      <c r="J33" s="7">
        <f t="shared" si="1"/>
        <v>0</v>
      </c>
      <c r="K33" s="3"/>
      <c r="L33" s="6">
        <f t="shared" si="2"/>
        <v>54.93</v>
      </c>
      <c r="M33" s="3"/>
      <c r="N33" s="7">
        <f t="shared" si="3"/>
        <v>0</v>
      </c>
      <c r="O33" s="9"/>
      <c r="P33" s="6">
        <v>337.18</v>
      </c>
      <c r="Q33" s="3"/>
      <c r="R33" s="7">
        <f t="shared" si="4"/>
        <v>3.9951551486474857E-4</v>
      </c>
      <c r="S33" s="3"/>
      <c r="T33" s="6"/>
      <c r="U33" s="3"/>
      <c r="V33" s="7">
        <f t="shared" si="5"/>
        <v>0</v>
      </c>
      <c r="W33" s="3"/>
      <c r="X33" s="6">
        <f t="shared" si="6"/>
        <v>337.18</v>
      </c>
      <c r="Y33" s="3"/>
      <c r="Z33" s="7">
        <f t="shared" si="7"/>
        <v>0</v>
      </c>
    </row>
    <row r="34" spans="1:26" s="70" customFormat="1" ht="15" hidden="1" customHeight="1" outlineLevel="2" x14ac:dyDescent="0.3">
      <c r="A34" s="21"/>
      <c r="B34" s="9" t="str">
        <f>CONCATENATE("          ","6118"," - ","VACATION")</f>
        <v xml:space="preserve">          6118 - VACATION</v>
      </c>
      <c r="C34" s="9"/>
      <c r="D34" s="6">
        <v>279.52</v>
      </c>
      <c r="E34" s="3"/>
      <c r="F34" s="7">
        <f t="shared" si="0"/>
        <v>8.5200523907629118E-3</v>
      </c>
      <c r="G34" s="3"/>
      <c r="H34" s="6">
        <v>247.584396</v>
      </c>
      <c r="I34" s="3"/>
      <c r="J34" s="7">
        <f t="shared" si="1"/>
        <v>9.3336498529744405E-3</v>
      </c>
      <c r="K34" s="3"/>
      <c r="L34" s="6">
        <f t="shared" si="2"/>
        <v>31.935603999999984</v>
      </c>
      <c r="M34" s="3"/>
      <c r="N34" s="7">
        <f t="shared" si="3"/>
        <v>0.12898875904925763</v>
      </c>
      <c r="O34" s="9"/>
      <c r="P34" s="6">
        <v>12376.5</v>
      </c>
      <c r="Q34" s="3"/>
      <c r="R34" s="7">
        <f t="shared" si="4"/>
        <v>1.4664582032515455E-2</v>
      </c>
      <c r="S34" s="3"/>
      <c r="T34" s="6">
        <v>3078.6423960000002</v>
      </c>
      <c r="U34" s="3"/>
      <c r="V34" s="7">
        <f t="shared" si="5"/>
        <v>4.5680575651012691E-3</v>
      </c>
      <c r="W34" s="3"/>
      <c r="X34" s="6">
        <f t="shared" si="6"/>
        <v>9297.8576040000007</v>
      </c>
      <c r="Y34" s="3"/>
      <c r="Z34" s="7">
        <f t="shared" si="7"/>
        <v>3.0201161447268006</v>
      </c>
    </row>
    <row r="35" spans="1:26" s="70" customFormat="1" ht="15" hidden="1" customHeight="1" outlineLevel="2" x14ac:dyDescent="0.3">
      <c r="A35" s="21"/>
      <c r="B35" s="9" t="str">
        <f>CONCATENATE("          ","6119"," - ","SICK LEAVE")</f>
        <v xml:space="preserve">          6119 - SICK LEAVE</v>
      </c>
      <c r="C35" s="9"/>
      <c r="D35" s="6">
        <v>253.14</v>
      </c>
      <c r="E35" s="3"/>
      <c r="F35" s="7">
        <f t="shared" si="0"/>
        <v>7.7159633020811519E-3</v>
      </c>
      <c r="G35" s="3"/>
      <c r="H35" s="6">
        <v>190.30826400000001</v>
      </c>
      <c r="I35" s="3"/>
      <c r="J35" s="7">
        <f t="shared" si="1"/>
        <v>7.1744048857724499E-3</v>
      </c>
      <c r="K35" s="3"/>
      <c r="L35" s="6">
        <f t="shared" si="2"/>
        <v>62.831735999999978</v>
      </c>
      <c r="M35" s="3"/>
      <c r="N35" s="7">
        <f t="shared" si="3"/>
        <v>0.33015768563786579</v>
      </c>
      <c r="O35" s="9"/>
      <c r="P35" s="6">
        <v>10203.94</v>
      </c>
      <c r="Q35" s="3"/>
      <c r="R35" s="7">
        <f t="shared" si="4"/>
        <v>1.2090374111005999E-2</v>
      </c>
      <c r="S35" s="3"/>
      <c r="T35" s="6">
        <v>3101.794789</v>
      </c>
      <c r="U35" s="3"/>
      <c r="V35" s="7">
        <f t="shared" si="5"/>
        <v>4.6024108450181764E-3</v>
      </c>
      <c r="W35" s="3"/>
      <c r="X35" s="6">
        <f t="shared" si="6"/>
        <v>7102.1452110000009</v>
      </c>
      <c r="Y35" s="3"/>
      <c r="Z35" s="7">
        <f t="shared" si="7"/>
        <v>2.2896889362850756</v>
      </c>
    </row>
    <row r="36" spans="1:26" s="70" customFormat="1" ht="15" hidden="1" customHeight="1" outlineLevel="2" x14ac:dyDescent="0.3">
      <c r="A36" s="21"/>
      <c r="B36" s="9" t="str">
        <f>CONCATENATE("          ","6156"," - ","EMPLOYEE MEALS")</f>
        <v xml:space="preserve">          6156 - EMPLOYEE MEALS</v>
      </c>
      <c r="C36" s="9"/>
      <c r="D36" s="6">
        <v>498.49</v>
      </c>
      <c r="E36" s="3"/>
      <c r="F36" s="7">
        <f t="shared" si="0"/>
        <v>1.5194479523008746E-2</v>
      </c>
      <c r="G36" s="3"/>
      <c r="H36" s="6">
        <v>295</v>
      </c>
      <c r="I36" s="3"/>
      <c r="J36" s="7">
        <f t="shared" si="1"/>
        <v>1.1121164140842946E-2</v>
      </c>
      <c r="K36" s="3"/>
      <c r="L36" s="6">
        <f t="shared" si="2"/>
        <v>203.49</v>
      </c>
      <c r="M36" s="3"/>
      <c r="N36" s="7">
        <f t="shared" si="3"/>
        <v>0.68979661016949156</v>
      </c>
      <c r="O36" s="9"/>
      <c r="P36" s="6">
        <v>8256.1</v>
      </c>
      <c r="Q36" s="3"/>
      <c r="R36" s="7">
        <f t="shared" si="4"/>
        <v>9.7824308745324481E-3</v>
      </c>
      <c r="S36" s="3"/>
      <c r="T36" s="6">
        <v>3316</v>
      </c>
      <c r="U36" s="3"/>
      <c r="V36" s="7">
        <f t="shared" si="5"/>
        <v>4.9202463090733733E-3</v>
      </c>
      <c r="W36" s="3"/>
      <c r="X36" s="6">
        <f t="shared" si="6"/>
        <v>4940.1000000000004</v>
      </c>
      <c r="Y36" s="3"/>
      <c r="Z36" s="7">
        <f t="shared" si="7"/>
        <v>1.489776839565742</v>
      </c>
    </row>
    <row r="37" spans="1:26" s="69" customFormat="1" ht="15" customHeight="1" outlineLevel="1" collapsed="1" x14ac:dyDescent="0.3">
      <c r="A37" s="20"/>
      <c r="B37" s="11" t="str">
        <f>CONCATENATE("     ","*Payroll                                          ")</f>
        <v xml:space="preserve">     *Payroll                                          </v>
      </c>
      <c r="C37" s="11"/>
      <c r="D37" s="2">
        <f>SUM(OSRRefD22_1x_0)</f>
        <v>14675.169999999998</v>
      </c>
      <c r="E37" s="2"/>
      <c r="F37" s="5">
        <f t="shared" si="0"/>
        <v>0.4473140284893824</v>
      </c>
      <c r="G37" s="2"/>
      <c r="H37" s="2">
        <f>SUM(OSRRefH22_1x_0)</f>
        <v>10365.37254</v>
      </c>
      <c r="I37" s="2"/>
      <c r="J37" s="5">
        <f t="shared" si="1"/>
        <v>0.39076274372313957</v>
      </c>
      <c r="K37" s="2"/>
      <c r="L37" s="2">
        <f t="shared" si="2"/>
        <v>4309.797459999998</v>
      </c>
      <c r="M37" s="2"/>
      <c r="N37" s="5">
        <f t="shared" si="3"/>
        <v>0.41578799443710085</v>
      </c>
      <c r="O37" s="11"/>
      <c r="P37" s="2">
        <f>SUM(OSRRefP22_1x_0)</f>
        <v>336875.36</v>
      </c>
      <c r="Q37" s="2"/>
      <c r="R37" s="5">
        <f t="shared" si="4"/>
        <v>0.39915455512084796</v>
      </c>
      <c r="S37" s="2"/>
      <c r="T37" s="2">
        <f>SUM(OSRRefT22_1x_0)</f>
        <v>202426.99504000001</v>
      </c>
      <c r="U37" s="2"/>
      <c r="V37" s="5">
        <f t="shared" si="5"/>
        <v>0.30035906972327325</v>
      </c>
      <c r="W37" s="2"/>
      <c r="X37" s="2">
        <f t="shared" si="6"/>
        <v>134448.36495999998</v>
      </c>
      <c r="Y37" s="2"/>
      <c r="Z37" s="5">
        <f t="shared" si="7"/>
        <v>0.66418199278921619</v>
      </c>
    </row>
    <row r="38" spans="1:26" s="70" customFormat="1" ht="15" hidden="1" customHeight="1" outlineLevel="2" x14ac:dyDescent="0.3">
      <c r="A38" s="21"/>
      <c r="B38" s="9" t="str">
        <f>CONCATENATE("          ","6001"," - ","ADMINISTRATIVE SALARIES")</f>
        <v xml:space="preserve">          6001 - ADMINISTRATIVE SALARIES</v>
      </c>
      <c r="C38" s="9"/>
      <c r="D38" s="6"/>
      <c r="E38" s="3"/>
      <c r="F38" s="7">
        <f t="shared" si="0"/>
        <v>0</v>
      </c>
      <c r="G38" s="3"/>
      <c r="H38" s="6">
        <v>0</v>
      </c>
      <c r="I38" s="3"/>
      <c r="J38" s="7">
        <f t="shared" si="1"/>
        <v>0</v>
      </c>
      <c r="K38" s="3"/>
      <c r="L38" s="6">
        <f t="shared" si="2"/>
        <v>0</v>
      </c>
      <c r="M38" s="3"/>
      <c r="N38" s="7">
        <f t="shared" si="3"/>
        <v>0</v>
      </c>
      <c r="O38" s="9"/>
      <c r="P38" s="6"/>
      <c r="Q38" s="3"/>
      <c r="R38" s="7">
        <f t="shared" si="4"/>
        <v>0</v>
      </c>
      <c r="S38" s="3"/>
      <c r="T38" s="6">
        <v>0</v>
      </c>
      <c r="U38" s="3"/>
      <c r="V38" s="7">
        <f t="shared" si="5"/>
        <v>0</v>
      </c>
      <c r="W38" s="3"/>
      <c r="X38" s="6">
        <f t="shared" si="6"/>
        <v>0</v>
      </c>
      <c r="Y38" s="3"/>
      <c r="Z38" s="7">
        <f t="shared" si="7"/>
        <v>0</v>
      </c>
    </row>
    <row r="39" spans="1:26" s="70" customFormat="1" ht="15" hidden="1" customHeight="1" outlineLevel="2" x14ac:dyDescent="0.3">
      <c r="A39" s="21"/>
      <c r="B39" s="9" t="str">
        <f>CONCATENATE("          ","6002"," - ","STAFF SALARIES")</f>
        <v xml:space="preserve">          6002 - STAFF SALARIES</v>
      </c>
      <c r="C39" s="9"/>
      <c r="D39" s="6">
        <v>1575.16</v>
      </c>
      <c r="E39" s="3"/>
      <c r="F39" s="7">
        <f t="shared" si="0"/>
        <v>4.8012470391507266E-2</v>
      </c>
      <c r="G39" s="3"/>
      <c r="H39" s="6">
        <v>4832.8114999999998</v>
      </c>
      <c r="I39" s="3"/>
      <c r="J39" s="7">
        <f t="shared" si="1"/>
        <v>0.18219149136696072</v>
      </c>
      <c r="K39" s="3"/>
      <c r="L39" s="6">
        <f t="shared" si="2"/>
        <v>-3257.6514999999999</v>
      </c>
      <c r="M39" s="3"/>
      <c r="N39" s="7">
        <f t="shared" si="3"/>
        <v>-0.67406963834612632</v>
      </c>
      <c r="O39" s="9"/>
      <c r="P39" s="6">
        <v>77879.59</v>
      </c>
      <c r="Q39" s="3"/>
      <c r="R39" s="7">
        <f t="shared" si="4"/>
        <v>9.2277431924507755E-2</v>
      </c>
      <c r="S39" s="3"/>
      <c r="T39" s="6">
        <v>62826.549500000001</v>
      </c>
      <c r="U39" s="3"/>
      <c r="V39" s="7">
        <f t="shared" si="5"/>
        <v>9.3221380666221529E-2</v>
      </c>
      <c r="W39" s="3"/>
      <c r="X39" s="6">
        <f t="shared" si="6"/>
        <v>15053.040499999996</v>
      </c>
      <c r="Y39" s="3"/>
      <c r="Z39" s="7">
        <f t="shared" si="7"/>
        <v>0.23959680453245319</v>
      </c>
    </row>
    <row r="40" spans="1:26" s="70" customFormat="1" ht="15" hidden="1" customHeight="1" outlineLevel="2" x14ac:dyDescent="0.3">
      <c r="A40" s="21"/>
      <c r="B40" s="9" t="str">
        <f>CONCATENATE("          ","6003"," - ","STAFF HOURLY-9 MONTH")</f>
        <v xml:space="preserve">          6003 - STAFF HOURLY-9 MONTH</v>
      </c>
      <c r="C40" s="9"/>
      <c r="D40" s="6"/>
      <c r="E40" s="3"/>
      <c r="F40" s="7">
        <f t="shared" si="0"/>
        <v>0</v>
      </c>
      <c r="G40" s="3"/>
      <c r="H40" s="6">
        <v>0</v>
      </c>
      <c r="I40" s="3"/>
      <c r="J40" s="7">
        <f t="shared" si="1"/>
        <v>0</v>
      </c>
      <c r="K40" s="3"/>
      <c r="L40" s="6">
        <f t="shared" si="2"/>
        <v>0</v>
      </c>
      <c r="M40" s="3"/>
      <c r="N40" s="7">
        <f t="shared" si="3"/>
        <v>0</v>
      </c>
      <c r="O40" s="9"/>
      <c r="P40" s="6"/>
      <c r="Q40" s="3"/>
      <c r="R40" s="7">
        <f t="shared" si="4"/>
        <v>0</v>
      </c>
      <c r="S40" s="3"/>
      <c r="T40" s="6">
        <v>0</v>
      </c>
      <c r="U40" s="3"/>
      <c r="V40" s="7">
        <f t="shared" si="5"/>
        <v>0</v>
      </c>
      <c r="W40" s="3"/>
      <c r="X40" s="6">
        <f t="shared" si="6"/>
        <v>0</v>
      </c>
      <c r="Y40" s="3"/>
      <c r="Z40" s="7">
        <f t="shared" si="7"/>
        <v>0</v>
      </c>
    </row>
    <row r="41" spans="1:26" s="70" customFormat="1" ht="15" hidden="1" customHeight="1" outlineLevel="2" x14ac:dyDescent="0.3">
      <c r="A41" s="21"/>
      <c r="B41" s="9" t="str">
        <f>CONCATENATE("          ","6004"," - ","STAFF HOURLY")</f>
        <v xml:space="preserve">          6004 - STAFF HOURLY</v>
      </c>
      <c r="C41" s="9"/>
      <c r="D41" s="6">
        <v>4527.29</v>
      </c>
      <c r="E41" s="3"/>
      <c r="F41" s="7">
        <f t="shared" si="0"/>
        <v>0.13799637946543011</v>
      </c>
      <c r="G41" s="3"/>
      <c r="H41" s="6">
        <v>3007.3610399999998</v>
      </c>
      <c r="I41" s="3"/>
      <c r="J41" s="7">
        <f t="shared" si="1"/>
        <v>0.11337408731056321</v>
      </c>
      <c r="K41" s="3"/>
      <c r="L41" s="6">
        <f t="shared" si="2"/>
        <v>1519.9289600000002</v>
      </c>
      <c r="M41" s="3"/>
      <c r="N41" s="7">
        <f t="shared" si="3"/>
        <v>0.50540288970425717</v>
      </c>
      <c r="O41" s="9"/>
      <c r="P41" s="6">
        <v>79370.81</v>
      </c>
      <c r="Q41" s="3"/>
      <c r="R41" s="7">
        <f t="shared" si="4"/>
        <v>9.4044338401987462E-2</v>
      </c>
      <c r="S41" s="3"/>
      <c r="T41" s="6">
        <v>74416.793040000004</v>
      </c>
      <c r="U41" s="3"/>
      <c r="V41" s="7">
        <f t="shared" si="5"/>
        <v>0.11041886347651904</v>
      </c>
      <c r="W41" s="3"/>
      <c r="X41" s="6">
        <f t="shared" si="6"/>
        <v>4954.0169599999936</v>
      </c>
      <c r="Y41" s="3"/>
      <c r="Z41" s="7">
        <f t="shared" si="7"/>
        <v>6.657122347824293E-2</v>
      </c>
    </row>
    <row r="42" spans="1:26" s="70" customFormat="1" ht="15" hidden="1" customHeight="1" outlineLevel="2" x14ac:dyDescent="0.3">
      <c r="A42" s="21"/>
      <c r="B42" s="9" t="str">
        <f>CONCATENATE("          ","6005"," - ","TEMPORARY WAGES-HOURLY")</f>
        <v xml:space="preserve">          6005 - TEMPORARY WAGES-HOURLY</v>
      </c>
      <c r="C42" s="9"/>
      <c r="D42" s="6">
        <v>7140.67</v>
      </c>
      <c r="E42" s="3"/>
      <c r="F42" s="7">
        <f t="shared" si="0"/>
        <v>0.21765484582551878</v>
      </c>
      <c r="G42" s="3"/>
      <c r="H42" s="6">
        <v>0</v>
      </c>
      <c r="I42" s="3"/>
      <c r="J42" s="7">
        <f t="shared" si="1"/>
        <v>0</v>
      </c>
      <c r="K42" s="3"/>
      <c r="L42" s="6">
        <f t="shared" si="2"/>
        <v>7140.67</v>
      </c>
      <c r="M42" s="3"/>
      <c r="N42" s="7">
        <f t="shared" si="3"/>
        <v>0</v>
      </c>
      <c r="O42" s="9"/>
      <c r="P42" s="6">
        <v>102200.54</v>
      </c>
      <c r="Q42" s="3"/>
      <c r="R42" s="7">
        <f t="shared" si="4"/>
        <v>0.12109467156283092</v>
      </c>
      <c r="S42" s="3"/>
      <c r="T42" s="6">
        <v>0</v>
      </c>
      <c r="U42" s="3"/>
      <c r="V42" s="7">
        <f t="shared" si="5"/>
        <v>0</v>
      </c>
      <c r="W42" s="3"/>
      <c r="X42" s="6">
        <f t="shared" si="6"/>
        <v>102200.54</v>
      </c>
      <c r="Y42" s="3"/>
      <c r="Z42" s="7">
        <f t="shared" si="7"/>
        <v>0</v>
      </c>
    </row>
    <row r="43" spans="1:26" s="70" customFormat="1" ht="15" hidden="1" customHeight="1" outlineLevel="2" x14ac:dyDescent="0.3">
      <c r="A43" s="21"/>
      <c r="B43" s="9" t="str">
        <f>CONCATENATE("          ","6006"," - ","TEMPORARY PART TIME")</f>
        <v xml:space="preserve">          6006 - TEMPORARY PART TIME</v>
      </c>
      <c r="C43" s="9"/>
      <c r="D43" s="6"/>
      <c r="E43" s="3"/>
      <c r="F43" s="7">
        <f t="shared" si="0"/>
        <v>0</v>
      </c>
      <c r="G43" s="3"/>
      <c r="H43" s="6">
        <v>0</v>
      </c>
      <c r="I43" s="3"/>
      <c r="J43" s="7">
        <f t="shared" si="1"/>
        <v>0</v>
      </c>
      <c r="K43" s="3"/>
      <c r="L43" s="6">
        <f t="shared" si="2"/>
        <v>0</v>
      </c>
      <c r="M43" s="3"/>
      <c r="N43" s="7">
        <f t="shared" si="3"/>
        <v>0</v>
      </c>
      <c r="O43" s="9"/>
      <c r="P43" s="6"/>
      <c r="Q43" s="3"/>
      <c r="R43" s="7">
        <f t="shared" si="4"/>
        <v>0</v>
      </c>
      <c r="S43" s="3"/>
      <c r="T43" s="6">
        <v>0</v>
      </c>
      <c r="U43" s="3"/>
      <c r="V43" s="7">
        <f t="shared" si="5"/>
        <v>0</v>
      </c>
      <c r="W43" s="3"/>
      <c r="X43" s="6">
        <f t="shared" si="6"/>
        <v>0</v>
      </c>
      <c r="Y43" s="3"/>
      <c r="Z43" s="7">
        <f t="shared" si="7"/>
        <v>0</v>
      </c>
    </row>
    <row r="44" spans="1:26" s="70" customFormat="1" ht="15" hidden="1" customHeight="1" outlineLevel="2" x14ac:dyDescent="0.3">
      <c r="A44" s="21"/>
      <c r="B44" s="9" t="str">
        <f>CONCATENATE("          ","6007"," - ","STUDENT HOURLY")</f>
        <v xml:space="preserve">          6007 - STUDENT HOURLY</v>
      </c>
      <c r="C44" s="9"/>
      <c r="D44" s="6">
        <v>1432.05</v>
      </c>
      <c r="E44" s="3"/>
      <c r="F44" s="7">
        <f t="shared" si="0"/>
        <v>4.3650332806926262E-2</v>
      </c>
      <c r="G44" s="3"/>
      <c r="H44" s="6">
        <v>0</v>
      </c>
      <c r="I44" s="3"/>
      <c r="J44" s="7">
        <f t="shared" si="1"/>
        <v>0</v>
      </c>
      <c r="K44" s="3"/>
      <c r="L44" s="6">
        <f t="shared" si="2"/>
        <v>1432.05</v>
      </c>
      <c r="M44" s="3"/>
      <c r="N44" s="7">
        <f t="shared" si="3"/>
        <v>0</v>
      </c>
      <c r="O44" s="9"/>
      <c r="P44" s="6">
        <v>68155.05</v>
      </c>
      <c r="Q44" s="3"/>
      <c r="R44" s="7">
        <f t="shared" si="4"/>
        <v>8.0755085981916733E-2</v>
      </c>
      <c r="S44" s="3"/>
      <c r="T44" s="6">
        <v>1277.3599999999999</v>
      </c>
      <c r="U44" s="3"/>
      <c r="V44" s="7">
        <f t="shared" si="5"/>
        <v>1.895333481712293E-3</v>
      </c>
      <c r="W44" s="3"/>
      <c r="X44" s="6">
        <f t="shared" si="6"/>
        <v>66877.69</v>
      </c>
      <c r="Y44" s="3"/>
      <c r="Z44" s="7">
        <f t="shared" si="7"/>
        <v>52.356179933613085</v>
      </c>
    </row>
    <row r="45" spans="1:26" s="70" customFormat="1" ht="15" hidden="1" customHeight="1" outlineLevel="2" x14ac:dyDescent="0.3">
      <c r="A45" s="21"/>
      <c r="B45" s="9" t="str">
        <f>CONCATENATE("          ","6008"," - ","STUDENT HOURLY-FICA EXEMPT")</f>
        <v xml:space="preserve">          6008 - STUDENT HOURLY-FICA EXEMPT</v>
      </c>
      <c r="C45" s="9"/>
      <c r="D45" s="6"/>
      <c r="E45" s="3"/>
      <c r="F45" s="7">
        <f t="shared" si="0"/>
        <v>0</v>
      </c>
      <c r="G45" s="3"/>
      <c r="H45" s="6">
        <v>2525.1999999999998</v>
      </c>
      <c r="I45" s="3"/>
      <c r="J45" s="7">
        <f t="shared" si="1"/>
        <v>9.5197165045615609E-2</v>
      </c>
      <c r="K45" s="3"/>
      <c r="L45" s="6">
        <f t="shared" si="2"/>
        <v>-2525.1999999999998</v>
      </c>
      <c r="M45" s="3"/>
      <c r="N45" s="7">
        <f t="shared" si="3"/>
        <v>-1</v>
      </c>
      <c r="O45" s="9"/>
      <c r="P45" s="6">
        <v>9269.3700000000008</v>
      </c>
      <c r="Q45" s="3"/>
      <c r="R45" s="7">
        <f t="shared" si="4"/>
        <v>1.0983027249605121E-2</v>
      </c>
      <c r="S45" s="3"/>
      <c r="T45" s="6">
        <v>63906.292500000003</v>
      </c>
      <c r="U45" s="3"/>
      <c r="V45" s="7">
        <f t="shared" si="5"/>
        <v>9.4823492098820392E-2</v>
      </c>
      <c r="W45" s="3"/>
      <c r="X45" s="6">
        <f t="shared" si="6"/>
        <v>-54636.922500000001</v>
      </c>
      <c r="Y45" s="3"/>
      <c r="Z45" s="7">
        <f t="shared" si="7"/>
        <v>-0.85495371993297842</v>
      </c>
    </row>
    <row r="46" spans="1:26" s="70" customFormat="1" ht="15" hidden="1" customHeight="1" outlineLevel="2" x14ac:dyDescent="0.3">
      <c r="A46" s="21"/>
      <c r="B46" s="9" t="str">
        <f>CONCATENATE("          ","6009"," - ","TEMPORARY-SEASONAL")</f>
        <v xml:space="preserve">          6009 - TEMPORARY-SEASONAL</v>
      </c>
      <c r="C46" s="9"/>
      <c r="D46" s="6"/>
      <c r="E46" s="3"/>
      <c r="F46" s="7">
        <f t="shared" si="0"/>
        <v>0</v>
      </c>
      <c r="G46" s="3"/>
      <c r="H46" s="6">
        <v>0</v>
      </c>
      <c r="I46" s="3"/>
      <c r="J46" s="7">
        <f t="shared" si="1"/>
        <v>0</v>
      </c>
      <c r="K46" s="3"/>
      <c r="L46" s="6">
        <f t="shared" si="2"/>
        <v>0</v>
      </c>
      <c r="M46" s="3"/>
      <c r="N46" s="7">
        <f t="shared" si="3"/>
        <v>0</v>
      </c>
      <c r="O46" s="9"/>
      <c r="P46" s="6"/>
      <c r="Q46" s="3"/>
      <c r="R46" s="7">
        <f t="shared" si="4"/>
        <v>0</v>
      </c>
      <c r="S46" s="3"/>
      <c r="T46" s="6">
        <v>0</v>
      </c>
      <c r="U46" s="3"/>
      <c r="V46" s="7">
        <f t="shared" si="5"/>
        <v>0</v>
      </c>
      <c r="W46" s="3"/>
      <c r="X46" s="6">
        <f t="shared" si="6"/>
        <v>0</v>
      </c>
      <c r="Y46" s="3"/>
      <c r="Z46" s="7">
        <f t="shared" si="7"/>
        <v>0</v>
      </c>
    </row>
    <row r="47" spans="1:26" s="70" customFormat="1" ht="15" hidden="1" customHeight="1" outlineLevel="2" x14ac:dyDescent="0.3">
      <c r="A47" s="21"/>
      <c r="B47" s="9" t="str">
        <f>CONCATENATE("          ","6010"," - ","GRATUITY")</f>
        <v xml:space="preserve">          6010 - GRATUITY</v>
      </c>
      <c r="C47" s="9"/>
      <c r="D47" s="6"/>
      <c r="E47" s="3"/>
      <c r="F47" s="7">
        <f t="shared" si="0"/>
        <v>0</v>
      </c>
      <c r="G47" s="3"/>
      <c r="H47" s="6">
        <v>0</v>
      </c>
      <c r="I47" s="3"/>
      <c r="J47" s="7">
        <f t="shared" si="1"/>
        <v>0</v>
      </c>
      <c r="K47" s="3"/>
      <c r="L47" s="6">
        <f t="shared" si="2"/>
        <v>0</v>
      </c>
      <c r="M47" s="3"/>
      <c r="N47" s="7">
        <f t="shared" si="3"/>
        <v>0</v>
      </c>
      <c r="O47" s="9"/>
      <c r="P47" s="6"/>
      <c r="Q47" s="3"/>
      <c r="R47" s="7">
        <f t="shared" si="4"/>
        <v>0</v>
      </c>
      <c r="S47" s="3"/>
      <c r="T47" s="6">
        <v>0</v>
      </c>
      <c r="U47" s="3"/>
      <c r="V47" s="7">
        <f t="shared" si="5"/>
        <v>0</v>
      </c>
      <c r="W47" s="3"/>
      <c r="X47" s="6">
        <f t="shared" si="6"/>
        <v>0</v>
      </c>
      <c r="Y47" s="3"/>
      <c r="Z47" s="7">
        <f t="shared" si="7"/>
        <v>0</v>
      </c>
    </row>
    <row r="48" spans="1:26" s="69" customFormat="1" ht="15" customHeight="1" outlineLevel="1" collapsed="1" x14ac:dyDescent="0.3">
      <c r="A48" s="20"/>
      <c r="B48" s="11" t="str">
        <f>CONCATENATE("     ","Advertising/Promo                                 ")</f>
        <v xml:space="preserve">     Advertising/Promo                                 </v>
      </c>
      <c r="C48" s="11"/>
      <c r="D48" s="2">
        <f>SUM(OSRRefD22_2x_0)</f>
        <v>576.15</v>
      </c>
      <c r="E48" s="2"/>
      <c r="F48" s="5">
        <f t="shared" si="0"/>
        <v>1.7561634891736018E-2</v>
      </c>
      <c r="G48" s="2"/>
      <c r="H48" s="2">
        <f>SUM(OSRRefH22_2x_0)</f>
        <v>0</v>
      </c>
      <c r="I48" s="2"/>
      <c r="J48" s="5">
        <f t="shared" si="1"/>
        <v>0</v>
      </c>
      <c r="K48" s="2"/>
      <c r="L48" s="2">
        <f t="shared" si="2"/>
        <v>576.15</v>
      </c>
      <c r="M48" s="2"/>
      <c r="N48" s="5">
        <f t="shared" si="3"/>
        <v>0</v>
      </c>
      <c r="O48" s="11"/>
      <c r="P48" s="2">
        <f>SUM(OSRRefP22_2x_0)</f>
        <v>2191.31</v>
      </c>
      <c r="Q48" s="2"/>
      <c r="R48" s="5">
        <f t="shared" si="4"/>
        <v>2.5964242923016555E-3</v>
      </c>
      <c r="S48" s="2"/>
      <c r="T48" s="2">
        <f>SUM(OSRRefT22_2x_0)</f>
        <v>0</v>
      </c>
      <c r="U48" s="2"/>
      <c r="V48" s="5">
        <f t="shared" si="5"/>
        <v>0</v>
      </c>
      <c r="W48" s="2"/>
      <c r="X48" s="2">
        <f t="shared" si="6"/>
        <v>2191.31</v>
      </c>
      <c r="Y48" s="2"/>
      <c r="Z48" s="5">
        <f t="shared" si="7"/>
        <v>0</v>
      </c>
    </row>
    <row r="49" spans="1:26" s="70" customFormat="1" ht="15" hidden="1" customHeight="1" outlineLevel="2" x14ac:dyDescent="0.3">
      <c r="A49" s="21"/>
      <c r="B49" s="9" t="str">
        <f>CONCATENATE("          ","6362"," - ","ADVERTISING EXPENSE")</f>
        <v xml:space="preserve">          6362 - ADVERTISING EXPENSE</v>
      </c>
      <c r="C49" s="9"/>
      <c r="D49" s="6">
        <v>576.15</v>
      </c>
      <c r="E49" s="3"/>
      <c r="F49" s="7">
        <f t="shared" si="0"/>
        <v>1.7561634891736018E-2</v>
      </c>
      <c r="G49" s="3"/>
      <c r="H49" s="6"/>
      <c r="I49" s="3"/>
      <c r="J49" s="7">
        <f t="shared" si="1"/>
        <v>0</v>
      </c>
      <c r="K49" s="3"/>
      <c r="L49" s="6">
        <f t="shared" si="2"/>
        <v>576.15</v>
      </c>
      <c r="M49" s="3"/>
      <c r="N49" s="7">
        <f t="shared" si="3"/>
        <v>0</v>
      </c>
      <c r="O49" s="9"/>
      <c r="P49" s="6">
        <v>2191.31</v>
      </c>
      <c r="Q49" s="3"/>
      <c r="R49" s="7">
        <f t="shared" si="4"/>
        <v>2.5964242923016555E-3</v>
      </c>
      <c r="S49" s="3"/>
      <c r="T49" s="6"/>
      <c r="U49" s="3"/>
      <c r="V49" s="7">
        <f t="shared" si="5"/>
        <v>0</v>
      </c>
      <c r="W49" s="3"/>
      <c r="X49" s="6">
        <f t="shared" si="6"/>
        <v>2191.31</v>
      </c>
      <c r="Y49" s="3"/>
      <c r="Z49" s="7">
        <f t="shared" si="7"/>
        <v>0</v>
      </c>
    </row>
    <row r="50" spans="1:26" s="69" customFormat="1" ht="15" customHeight="1" outlineLevel="1" collapsed="1" x14ac:dyDescent="0.3">
      <c r="A50" s="20"/>
      <c r="B50" s="11" t="str">
        <f>CONCATENATE("     ","Bad Debts/Over/Short                              ")</f>
        <v xml:space="preserve">     Bad Debts/Over/Short                              </v>
      </c>
      <c r="C50" s="11"/>
      <c r="D50" s="2">
        <f>SUM(OSRRefD22_3x_0)</f>
        <v>-1.55</v>
      </c>
      <c r="E50" s="2"/>
      <c r="F50" s="5">
        <f t="shared" si="0"/>
        <v>-4.7245568137101159E-5</v>
      </c>
      <c r="G50" s="2"/>
      <c r="H50" s="2">
        <f>SUM(OSRRefH22_3x_0)</f>
        <v>10</v>
      </c>
      <c r="I50" s="2"/>
      <c r="J50" s="5">
        <f t="shared" si="1"/>
        <v>3.7698861494382869E-4</v>
      </c>
      <c r="K50" s="2"/>
      <c r="L50" s="2">
        <f t="shared" si="2"/>
        <v>-11.55</v>
      </c>
      <c r="M50" s="2"/>
      <c r="N50" s="5">
        <f t="shared" si="3"/>
        <v>-1.155</v>
      </c>
      <c r="O50" s="11"/>
      <c r="P50" s="2">
        <f>SUM(OSRRefP22_3x_0)</f>
        <v>-9.59</v>
      </c>
      <c r="Q50" s="2"/>
      <c r="R50" s="5">
        <f t="shared" si="4"/>
        <v>-1.1362933114517287E-5</v>
      </c>
      <c r="S50" s="2"/>
      <c r="T50" s="2">
        <f>SUM(OSRRefT22_3x_0)</f>
        <v>80</v>
      </c>
      <c r="U50" s="2"/>
      <c r="V50" s="5">
        <f t="shared" si="5"/>
        <v>1.1870316789079308E-4</v>
      </c>
      <c r="W50" s="2"/>
      <c r="X50" s="2">
        <f t="shared" si="6"/>
        <v>-89.59</v>
      </c>
      <c r="Y50" s="2"/>
      <c r="Z50" s="5">
        <f t="shared" si="7"/>
        <v>-1.119875</v>
      </c>
    </row>
    <row r="51" spans="1:26" s="70" customFormat="1" ht="15" hidden="1" customHeight="1" outlineLevel="2" x14ac:dyDescent="0.3">
      <c r="A51" s="21"/>
      <c r="B51" s="9" t="str">
        <f>CONCATENATE("          ","6272"," - ","CASH (OVER/SHORT)")</f>
        <v xml:space="preserve">          6272 - CASH (OVER/SHORT)</v>
      </c>
      <c r="C51" s="9"/>
      <c r="D51" s="6">
        <v>-1.55</v>
      </c>
      <c r="E51" s="3"/>
      <c r="F51" s="7">
        <f t="shared" si="0"/>
        <v>-4.7245568137101159E-5</v>
      </c>
      <c r="G51" s="3"/>
      <c r="H51" s="6">
        <v>10</v>
      </c>
      <c r="I51" s="3"/>
      <c r="J51" s="7">
        <f t="shared" si="1"/>
        <v>3.7698861494382869E-4</v>
      </c>
      <c r="K51" s="3"/>
      <c r="L51" s="6">
        <f t="shared" si="2"/>
        <v>-11.55</v>
      </c>
      <c r="M51" s="3"/>
      <c r="N51" s="7">
        <f t="shared" si="3"/>
        <v>-1.155</v>
      </c>
      <c r="O51" s="9"/>
      <c r="P51" s="6">
        <v>-9.59</v>
      </c>
      <c r="Q51" s="3"/>
      <c r="R51" s="7">
        <f t="shared" si="4"/>
        <v>-1.1362933114517287E-5</v>
      </c>
      <c r="S51" s="3"/>
      <c r="T51" s="6">
        <v>80</v>
      </c>
      <c r="U51" s="3"/>
      <c r="V51" s="7">
        <f t="shared" si="5"/>
        <v>1.1870316789079308E-4</v>
      </c>
      <c r="W51" s="3"/>
      <c r="X51" s="6">
        <f t="shared" si="6"/>
        <v>-89.59</v>
      </c>
      <c r="Y51" s="3"/>
      <c r="Z51" s="7">
        <f t="shared" si="7"/>
        <v>-1.119875</v>
      </c>
    </row>
    <row r="52" spans="1:26" s="69" customFormat="1" ht="15" customHeight="1" outlineLevel="1" collapsed="1" x14ac:dyDescent="0.3">
      <c r="A52" s="20"/>
      <c r="B52" s="11" t="str">
        <f>CONCATENATE("     ","Bank/card Fees                                    ")</f>
        <v xml:space="preserve">     Bank/card Fees                                    </v>
      </c>
      <c r="C52" s="11"/>
      <c r="D52" s="2">
        <f>SUM(OSRRefD22_4x_0)</f>
        <v>746.19</v>
      </c>
      <c r="E52" s="2"/>
      <c r="F52" s="5">
        <f t="shared" si="0"/>
        <v>2.2744626121434526E-2</v>
      </c>
      <c r="G52" s="2"/>
      <c r="H52" s="2">
        <f>SUM(OSRRefH22_4x_0)</f>
        <v>1330</v>
      </c>
      <c r="I52" s="2"/>
      <c r="J52" s="5">
        <f t="shared" si="1"/>
        <v>5.013948578752922E-2</v>
      </c>
      <c r="K52" s="2"/>
      <c r="L52" s="2">
        <f t="shared" si="2"/>
        <v>-583.80999999999995</v>
      </c>
      <c r="M52" s="2"/>
      <c r="N52" s="5">
        <f t="shared" si="3"/>
        <v>-0.4389548872180451</v>
      </c>
      <c r="O52" s="11"/>
      <c r="P52" s="2">
        <f>SUM(OSRRefP22_4x_0)</f>
        <v>27609.48</v>
      </c>
      <c r="Q52" s="2"/>
      <c r="R52" s="5">
        <f t="shared" si="4"/>
        <v>3.2713730403191109E-2</v>
      </c>
      <c r="S52" s="2"/>
      <c r="T52" s="2">
        <f>SUM(OSRRefT22_4x_0)</f>
        <v>33798</v>
      </c>
      <c r="U52" s="2"/>
      <c r="V52" s="5">
        <f t="shared" si="5"/>
        <v>5.0149120854662811E-2</v>
      </c>
      <c r="W52" s="2"/>
      <c r="X52" s="2">
        <f t="shared" si="6"/>
        <v>-6188.52</v>
      </c>
      <c r="Y52" s="2"/>
      <c r="Z52" s="5">
        <f t="shared" si="7"/>
        <v>-0.18310314219776319</v>
      </c>
    </row>
    <row r="53" spans="1:26" s="70" customFormat="1" ht="15" hidden="1" customHeight="1" outlineLevel="2" x14ac:dyDescent="0.3">
      <c r="A53" s="21"/>
      <c r="B53" s="9" t="str">
        <f>CONCATENATE("          ","6381"," - ","BANK/CREDIT CARD FEES")</f>
        <v xml:space="preserve">          6381 - BANK/CREDIT CARD FEES</v>
      </c>
      <c r="C53" s="9"/>
      <c r="D53" s="6">
        <v>746.19</v>
      </c>
      <c r="E53" s="3"/>
      <c r="F53" s="7">
        <f t="shared" si="0"/>
        <v>2.2744626121434526E-2</v>
      </c>
      <c r="G53" s="3"/>
      <c r="H53" s="6">
        <v>1330</v>
      </c>
      <c r="I53" s="3"/>
      <c r="J53" s="7">
        <f t="shared" si="1"/>
        <v>5.013948578752922E-2</v>
      </c>
      <c r="K53" s="3"/>
      <c r="L53" s="6">
        <f t="shared" si="2"/>
        <v>-583.80999999999995</v>
      </c>
      <c r="M53" s="3"/>
      <c r="N53" s="7">
        <f t="shared" si="3"/>
        <v>-0.4389548872180451</v>
      </c>
      <c r="O53" s="9"/>
      <c r="P53" s="6">
        <v>27609.48</v>
      </c>
      <c r="Q53" s="3"/>
      <c r="R53" s="7">
        <f t="shared" si="4"/>
        <v>3.2713730403191109E-2</v>
      </c>
      <c r="S53" s="3"/>
      <c r="T53" s="6">
        <v>33798</v>
      </c>
      <c r="U53" s="3"/>
      <c r="V53" s="7">
        <f t="shared" si="5"/>
        <v>5.0149120854662811E-2</v>
      </c>
      <c r="W53" s="3"/>
      <c r="X53" s="6">
        <f t="shared" si="6"/>
        <v>-6188.52</v>
      </c>
      <c r="Y53" s="3"/>
      <c r="Z53" s="7">
        <f t="shared" si="7"/>
        <v>-0.18310314219776319</v>
      </c>
    </row>
    <row r="54" spans="1:26" s="69" customFormat="1" ht="15" customHeight="1" outlineLevel="1" collapsed="1" x14ac:dyDescent="0.3">
      <c r="A54" s="20"/>
      <c r="B54" s="11" t="str">
        <f>CONCATENATE("     ","Depreciation                                      ")</f>
        <v xml:space="preserve">     Depreciation                                      </v>
      </c>
      <c r="C54" s="11"/>
      <c r="D54" s="2">
        <f>SUM(OSRRefD22_5x_0)</f>
        <v>14274.87</v>
      </c>
      <c r="E54" s="2"/>
      <c r="F54" s="5">
        <f t="shared" si="0"/>
        <v>0.43511247950532983</v>
      </c>
      <c r="G54" s="2"/>
      <c r="H54" s="2">
        <f>SUM(OSRRefH22_5x_0)</f>
        <v>13902</v>
      </c>
      <c r="I54" s="2"/>
      <c r="J54" s="5">
        <f t="shared" si="1"/>
        <v>0.52408957249491062</v>
      </c>
      <c r="K54" s="2"/>
      <c r="L54" s="2">
        <f t="shared" si="2"/>
        <v>372.8700000000008</v>
      </c>
      <c r="M54" s="2"/>
      <c r="N54" s="5">
        <f t="shared" si="3"/>
        <v>2.6821320673284476E-2</v>
      </c>
      <c r="O54" s="11"/>
      <c r="P54" s="2">
        <f>SUM(OSRRefP22_5x_0)</f>
        <v>168852.77000000002</v>
      </c>
      <c r="Q54" s="2"/>
      <c r="R54" s="5">
        <f t="shared" si="4"/>
        <v>0.20006910653920451</v>
      </c>
      <c r="S54" s="2"/>
      <c r="T54" s="2">
        <f>SUM(OSRRefT22_5x_0)</f>
        <v>166824</v>
      </c>
      <c r="U54" s="2"/>
      <c r="V54" s="5">
        <f t="shared" si="5"/>
        <v>0.24753171600267082</v>
      </c>
      <c r="W54" s="2"/>
      <c r="X54" s="2">
        <f t="shared" si="6"/>
        <v>2028.7700000000186</v>
      </c>
      <c r="Y54" s="2"/>
      <c r="Z54" s="5">
        <f t="shared" si="7"/>
        <v>1.2161139883949663E-2</v>
      </c>
    </row>
    <row r="55" spans="1:26" s="70" customFormat="1" ht="15" hidden="1" customHeight="1" outlineLevel="2" x14ac:dyDescent="0.3">
      <c r="A55" s="21"/>
      <c r="B55" s="9" t="str">
        <f>CONCATENATE("          ","6321"," - ","BUILDING DEPRECIATION")</f>
        <v xml:space="preserve">          6321 - BUILDING DEPRECIATION</v>
      </c>
      <c r="C55" s="9"/>
      <c r="D55" s="6">
        <v>10597.27</v>
      </c>
      <c r="E55" s="3"/>
      <c r="F55" s="7">
        <f t="shared" si="0"/>
        <v>0.32301551087242453</v>
      </c>
      <c r="G55" s="3"/>
      <c r="H55" s="6"/>
      <c r="I55" s="3"/>
      <c r="J55" s="7">
        <f t="shared" si="1"/>
        <v>0</v>
      </c>
      <c r="K55" s="3"/>
      <c r="L55" s="6">
        <f t="shared" si="2"/>
        <v>10597.27</v>
      </c>
      <c r="M55" s="3"/>
      <c r="N55" s="7">
        <f t="shared" si="3"/>
        <v>0</v>
      </c>
      <c r="O55" s="9"/>
      <c r="P55" s="6">
        <v>127167.13</v>
      </c>
      <c r="Q55" s="3"/>
      <c r="R55" s="7">
        <f t="shared" si="4"/>
        <v>0.15067691267519551</v>
      </c>
      <c r="S55" s="3"/>
      <c r="T55" s="6"/>
      <c r="U55" s="3"/>
      <c r="V55" s="7">
        <f t="shared" si="5"/>
        <v>0</v>
      </c>
      <c r="W55" s="3"/>
      <c r="X55" s="6">
        <f t="shared" si="6"/>
        <v>127167.13</v>
      </c>
      <c r="Y55" s="3"/>
      <c r="Z55" s="7">
        <f t="shared" si="7"/>
        <v>0</v>
      </c>
    </row>
    <row r="56" spans="1:26" s="70" customFormat="1" ht="15" hidden="1" customHeight="1" outlineLevel="2" x14ac:dyDescent="0.3">
      <c r="A56" s="21"/>
      <c r="B56" s="9" t="str">
        <f>CONCATENATE("          ","6322"," - ","EQUIPMENT DEPRECIATION EXPENSE")</f>
        <v xml:space="preserve">          6322 - EQUIPMENT DEPRECIATION EXPENSE</v>
      </c>
      <c r="C56" s="9"/>
      <c r="D56" s="6">
        <v>3677.6</v>
      </c>
      <c r="E56" s="3"/>
      <c r="F56" s="7">
        <f t="shared" si="0"/>
        <v>0.11209696863290529</v>
      </c>
      <c r="G56" s="3"/>
      <c r="H56" s="6">
        <v>13902</v>
      </c>
      <c r="I56" s="3"/>
      <c r="J56" s="7">
        <f t="shared" si="1"/>
        <v>0.52408957249491062</v>
      </c>
      <c r="K56" s="3"/>
      <c r="L56" s="6">
        <f t="shared" si="2"/>
        <v>-10224.4</v>
      </c>
      <c r="M56" s="3"/>
      <c r="N56" s="7">
        <f t="shared" si="3"/>
        <v>-0.73546252337793117</v>
      </c>
      <c r="O56" s="9"/>
      <c r="P56" s="6">
        <v>41685.64</v>
      </c>
      <c r="Q56" s="3"/>
      <c r="R56" s="7">
        <f t="shared" si="4"/>
        <v>4.9392193864009011E-2</v>
      </c>
      <c r="S56" s="3"/>
      <c r="T56" s="6">
        <v>166824</v>
      </c>
      <c r="U56" s="3"/>
      <c r="V56" s="7">
        <f t="shared" si="5"/>
        <v>0.24753171600267082</v>
      </c>
      <c r="W56" s="3"/>
      <c r="X56" s="6">
        <f t="shared" si="6"/>
        <v>-125138.36</v>
      </c>
      <c r="Y56" s="3"/>
      <c r="Z56" s="7">
        <f t="shared" si="7"/>
        <v>-0.75012204478971856</v>
      </c>
    </row>
    <row r="57" spans="1:26" s="69" customFormat="1" ht="15" customHeight="1" outlineLevel="1" collapsed="1" x14ac:dyDescent="0.3">
      <c r="A57" s="20"/>
      <c r="B57" s="11" t="str">
        <f>CONCATENATE("     ","Employees' Appreciation                           ")</f>
        <v xml:space="preserve">     Employees' Appreciation                           </v>
      </c>
      <c r="C57" s="11"/>
      <c r="D57" s="2">
        <f>SUM(OSRRefD22_6x_0)</f>
        <v>0</v>
      </c>
      <c r="E57" s="2"/>
      <c r="F57" s="5">
        <f t="shared" ref="F57:F92" si="8">IF(D$12=0,0,D57/D$12)</f>
        <v>0</v>
      </c>
      <c r="G57" s="2"/>
      <c r="H57" s="2">
        <f>SUM(OSRRefH22_6x_0)</f>
        <v>0</v>
      </c>
      <c r="I57" s="2"/>
      <c r="J57" s="5">
        <f t="shared" ref="J57:J92" si="9">IF(H$12=0,0,H57/H$12)</f>
        <v>0</v>
      </c>
      <c r="K57" s="2"/>
      <c r="L57" s="2">
        <f t="shared" ref="L57:L92" si="10">+D57-H57</f>
        <v>0</v>
      </c>
      <c r="M57" s="2"/>
      <c r="N57" s="5">
        <f t="shared" ref="N57:N92" si="11">IF(H57=0,0,L57/H57)</f>
        <v>0</v>
      </c>
      <c r="O57" s="11"/>
      <c r="P57" s="2">
        <f>SUM(OSRRefP22_6x_0)</f>
        <v>61.45</v>
      </c>
      <c r="Q57" s="2"/>
      <c r="R57" s="5">
        <f t="shared" ref="R57:R92" si="12">IF(P$12=0,0,P57/P$12)</f>
        <v>7.281045254297052E-5</v>
      </c>
      <c r="S57" s="2"/>
      <c r="T57" s="2">
        <f>SUM(OSRRefT22_6x_0)</f>
        <v>100</v>
      </c>
      <c r="U57" s="2"/>
      <c r="V57" s="5">
        <f t="shared" ref="V57:V92" si="13">IF(T$12=0,0,T57/T$12)</f>
        <v>1.4837895986349135E-4</v>
      </c>
      <c r="W57" s="2"/>
      <c r="X57" s="2">
        <f t="shared" ref="X57:X92" si="14">+P57-T57</f>
        <v>-38.549999999999997</v>
      </c>
      <c r="Y57" s="2"/>
      <c r="Z57" s="5">
        <f t="shared" ref="Z57:Z92" si="15">IF(T57=0,0,X57/T57)</f>
        <v>-0.38549999999999995</v>
      </c>
    </row>
    <row r="58" spans="1:26" s="70" customFormat="1" ht="15" hidden="1" customHeight="1" outlineLevel="2" x14ac:dyDescent="0.3">
      <c r="A58" s="21"/>
      <c r="B58" s="9" t="str">
        <f>CONCATENATE("          ","6277"," - ","EMPLOYEE APPRECIATION")</f>
        <v xml:space="preserve">          6277 - EMPLOYEE APPRECIATION</v>
      </c>
      <c r="C58" s="9"/>
      <c r="D58" s="6"/>
      <c r="E58" s="3"/>
      <c r="F58" s="7">
        <f t="shared" si="8"/>
        <v>0</v>
      </c>
      <c r="G58" s="3"/>
      <c r="H58" s="6"/>
      <c r="I58" s="3"/>
      <c r="J58" s="7">
        <f t="shared" si="9"/>
        <v>0</v>
      </c>
      <c r="K58" s="3"/>
      <c r="L58" s="6">
        <f t="shared" si="10"/>
        <v>0</v>
      </c>
      <c r="M58" s="3"/>
      <c r="N58" s="7">
        <f t="shared" si="11"/>
        <v>0</v>
      </c>
      <c r="O58" s="9"/>
      <c r="P58" s="6">
        <v>61.45</v>
      </c>
      <c r="Q58" s="3"/>
      <c r="R58" s="7">
        <f t="shared" si="12"/>
        <v>7.281045254297052E-5</v>
      </c>
      <c r="S58" s="3"/>
      <c r="T58" s="6">
        <v>100</v>
      </c>
      <c r="U58" s="3"/>
      <c r="V58" s="7">
        <f t="shared" si="13"/>
        <v>1.4837895986349135E-4</v>
      </c>
      <c r="W58" s="3"/>
      <c r="X58" s="6">
        <f t="shared" si="14"/>
        <v>-38.549999999999997</v>
      </c>
      <c r="Y58" s="3"/>
      <c r="Z58" s="7">
        <f t="shared" si="15"/>
        <v>-0.38549999999999995</v>
      </c>
    </row>
    <row r="59" spans="1:26" s="69" customFormat="1" ht="15" customHeight="1" outlineLevel="1" collapsed="1" x14ac:dyDescent="0.3">
      <c r="A59" s="20"/>
      <c r="B59" s="11" t="str">
        <f>CONCATENATE("     ","Equipment Rental                                  ")</f>
        <v xml:space="preserve">     Equipment Rental                                  </v>
      </c>
      <c r="C59" s="11"/>
      <c r="D59" s="2">
        <f>SUM(OSRRefD22_7x_0)</f>
        <v>735.54</v>
      </c>
      <c r="E59" s="2"/>
      <c r="F59" s="5">
        <f t="shared" si="8"/>
        <v>2.2420003346815084E-2</v>
      </c>
      <c r="G59" s="2"/>
      <c r="H59" s="2">
        <f>SUM(OSRRefH22_7x_0)</f>
        <v>275</v>
      </c>
      <c r="I59" s="2"/>
      <c r="J59" s="5">
        <f t="shared" si="9"/>
        <v>1.0367186910955289E-2</v>
      </c>
      <c r="K59" s="2"/>
      <c r="L59" s="2">
        <f t="shared" si="10"/>
        <v>460.53999999999996</v>
      </c>
      <c r="M59" s="2"/>
      <c r="N59" s="5">
        <f t="shared" si="11"/>
        <v>1.674690909090909</v>
      </c>
      <c r="O59" s="11"/>
      <c r="P59" s="2">
        <f>SUM(OSRRefP22_7x_0)</f>
        <v>4502.74</v>
      </c>
      <c r="Q59" s="2"/>
      <c r="R59" s="5">
        <f t="shared" si="12"/>
        <v>5.335175542446462E-3</v>
      </c>
      <c r="S59" s="2"/>
      <c r="T59" s="2">
        <f>SUM(OSRRefT22_7x_0)</f>
        <v>3300</v>
      </c>
      <c r="U59" s="2"/>
      <c r="V59" s="5">
        <f t="shared" si="13"/>
        <v>4.8965056754952151E-3</v>
      </c>
      <c r="W59" s="2"/>
      <c r="X59" s="2">
        <f t="shared" si="14"/>
        <v>1202.7399999999998</v>
      </c>
      <c r="Y59" s="2"/>
      <c r="Z59" s="5">
        <f t="shared" si="15"/>
        <v>0.36446666666666661</v>
      </c>
    </row>
    <row r="60" spans="1:26" s="70" customFormat="1" ht="15" hidden="1" customHeight="1" outlineLevel="2" x14ac:dyDescent="0.3">
      <c r="A60" s="21"/>
      <c r="B60" s="9" t="str">
        <f>CONCATENATE("          ","6351"," - ","EQUIPMENT RENTAL")</f>
        <v xml:space="preserve">          6351 - EQUIPMENT RENTAL</v>
      </c>
      <c r="C60" s="9"/>
      <c r="D60" s="6">
        <v>735.54</v>
      </c>
      <c r="E60" s="3"/>
      <c r="F60" s="7">
        <f t="shared" si="8"/>
        <v>2.2420003346815084E-2</v>
      </c>
      <c r="G60" s="3"/>
      <c r="H60" s="6">
        <v>275</v>
      </c>
      <c r="I60" s="3"/>
      <c r="J60" s="7">
        <f t="shared" si="9"/>
        <v>1.0367186910955289E-2</v>
      </c>
      <c r="K60" s="3"/>
      <c r="L60" s="6">
        <f t="shared" si="10"/>
        <v>460.53999999999996</v>
      </c>
      <c r="M60" s="3"/>
      <c r="N60" s="7">
        <f t="shared" si="11"/>
        <v>1.674690909090909</v>
      </c>
      <c r="O60" s="9"/>
      <c r="P60" s="6">
        <v>4502.74</v>
      </c>
      <c r="Q60" s="3"/>
      <c r="R60" s="7">
        <f t="shared" si="12"/>
        <v>5.335175542446462E-3</v>
      </c>
      <c r="S60" s="3"/>
      <c r="T60" s="6">
        <v>3300</v>
      </c>
      <c r="U60" s="3"/>
      <c r="V60" s="7">
        <f t="shared" si="13"/>
        <v>4.8965056754952151E-3</v>
      </c>
      <c r="W60" s="3"/>
      <c r="X60" s="6">
        <f t="shared" si="14"/>
        <v>1202.7399999999998</v>
      </c>
      <c r="Y60" s="3"/>
      <c r="Z60" s="7">
        <f t="shared" si="15"/>
        <v>0.36446666666666661</v>
      </c>
    </row>
    <row r="61" spans="1:26" s="69" customFormat="1" ht="15" customHeight="1" outlineLevel="1" collapsed="1" x14ac:dyDescent="0.3">
      <c r="A61" s="20"/>
      <c r="B61" s="11" t="str">
        <f>CONCATENATE("     ","General                                           ")</f>
        <v xml:space="preserve">     General                                           </v>
      </c>
      <c r="C61" s="11"/>
      <c r="D61" s="2">
        <f>SUM(OSRRefD22_8x_0)</f>
        <v>42.15</v>
      </c>
      <c r="E61" s="2"/>
      <c r="F61" s="5">
        <f t="shared" si="8"/>
        <v>1.2847746432121379E-3</v>
      </c>
      <c r="G61" s="2"/>
      <c r="H61" s="2">
        <f>SUM(OSRRefH22_8x_0)</f>
        <v>0</v>
      </c>
      <c r="I61" s="2"/>
      <c r="J61" s="5">
        <f t="shared" si="9"/>
        <v>0</v>
      </c>
      <c r="K61" s="2"/>
      <c r="L61" s="2">
        <f t="shared" si="10"/>
        <v>42.15</v>
      </c>
      <c r="M61" s="2"/>
      <c r="N61" s="5">
        <f t="shared" si="11"/>
        <v>0</v>
      </c>
      <c r="O61" s="11"/>
      <c r="P61" s="2">
        <f>SUM(OSRRefP22_8x_0)</f>
        <v>1617.72</v>
      </c>
      <c r="Q61" s="2"/>
      <c r="R61" s="5">
        <f t="shared" si="12"/>
        <v>1.9167929257577587E-3</v>
      </c>
      <c r="S61" s="2"/>
      <c r="T61" s="2">
        <f>SUM(OSRRefT22_8x_0)</f>
        <v>1790</v>
      </c>
      <c r="U61" s="2"/>
      <c r="V61" s="5">
        <f t="shared" si="13"/>
        <v>2.6559833815564954E-3</v>
      </c>
      <c r="W61" s="2"/>
      <c r="X61" s="2">
        <f t="shared" si="14"/>
        <v>-172.27999999999997</v>
      </c>
      <c r="Y61" s="2"/>
      <c r="Z61" s="5">
        <f t="shared" si="15"/>
        <v>-9.624581005586591E-2</v>
      </c>
    </row>
    <row r="62" spans="1:26" s="70" customFormat="1" ht="15" hidden="1" customHeight="1" outlineLevel="2" x14ac:dyDescent="0.3">
      <c r="A62" s="21"/>
      <c r="B62" s="9" t="str">
        <f>CONCATENATE("          ","6279"," - ","GENERAL EXPENSE")</f>
        <v xml:space="preserve">          6279 - GENERAL EXPENSE</v>
      </c>
      <c r="C62" s="9"/>
      <c r="D62" s="6">
        <v>42.15</v>
      </c>
      <c r="E62" s="3"/>
      <c r="F62" s="7">
        <f t="shared" si="8"/>
        <v>1.2847746432121379E-3</v>
      </c>
      <c r="G62" s="3"/>
      <c r="H62" s="6"/>
      <c r="I62" s="3"/>
      <c r="J62" s="7">
        <f t="shared" si="9"/>
        <v>0</v>
      </c>
      <c r="K62" s="3"/>
      <c r="L62" s="6">
        <f t="shared" si="10"/>
        <v>42.15</v>
      </c>
      <c r="M62" s="3"/>
      <c r="N62" s="7">
        <f t="shared" si="11"/>
        <v>0</v>
      </c>
      <c r="O62" s="9"/>
      <c r="P62" s="6">
        <v>1617.72</v>
      </c>
      <c r="Q62" s="3"/>
      <c r="R62" s="7">
        <f t="shared" si="12"/>
        <v>1.9167929257577587E-3</v>
      </c>
      <c r="S62" s="3"/>
      <c r="T62" s="6">
        <v>1790</v>
      </c>
      <c r="U62" s="3"/>
      <c r="V62" s="7">
        <f t="shared" si="13"/>
        <v>2.6559833815564954E-3</v>
      </c>
      <c r="W62" s="3"/>
      <c r="X62" s="6">
        <f t="shared" si="14"/>
        <v>-172.27999999999997</v>
      </c>
      <c r="Y62" s="3"/>
      <c r="Z62" s="7">
        <f t="shared" si="15"/>
        <v>-9.624581005586591E-2</v>
      </c>
    </row>
    <row r="63" spans="1:26" s="69" customFormat="1" ht="15" customHeight="1" outlineLevel="1" collapsed="1" x14ac:dyDescent="0.3">
      <c r="A63" s="20"/>
      <c r="B63" s="11" t="str">
        <f>CONCATENATE("     ","Insurance                                         ")</f>
        <v xml:space="preserve">     Insurance                                         </v>
      </c>
      <c r="C63" s="11"/>
      <c r="D63" s="2">
        <f>SUM(OSRRefD22_9x_0)</f>
        <v>-270.70999999999998</v>
      </c>
      <c r="E63" s="2"/>
      <c r="F63" s="5">
        <f t="shared" si="8"/>
        <v>-8.2515146776739687E-3</v>
      </c>
      <c r="G63" s="2"/>
      <c r="H63" s="2">
        <f>SUM(OSRRefH22_9x_0)</f>
        <v>850</v>
      </c>
      <c r="I63" s="2"/>
      <c r="J63" s="5">
        <f t="shared" si="9"/>
        <v>3.2044032270225439E-2</v>
      </c>
      <c r="K63" s="2"/>
      <c r="L63" s="2">
        <f t="shared" si="10"/>
        <v>-1120.71</v>
      </c>
      <c r="M63" s="2"/>
      <c r="N63" s="5">
        <f t="shared" si="11"/>
        <v>-1.3184823529411764</v>
      </c>
      <c r="O63" s="11"/>
      <c r="P63" s="2">
        <f>SUM(OSRRefP22_9x_0)</f>
        <v>9317</v>
      </c>
      <c r="Q63" s="2"/>
      <c r="R63" s="5">
        <f t="shared" si="12"/>
        <v>1.1039462755782853E-2</v>
      </c>
      <c r="S63" s="2"/>
      <c r="T63" s="2">
        <f>SUM(OSRRefT22_9x_0)</f>
        <v>10200</v>
      </c>
      <c r="U63" s="2"/>
      <c r="V63" s="5">
        <f t="shared" si="13"/>
        <v>1.5134653906076118E-2</v>
      </c>
      <c r="W63" s="2"/>
      <c r="X63" s="2">
        <f t="shared" si="14"/>
        <v>-883</v>
      </c>
      <c r="Y63" s="2"/>
      <c r="Z63" s="5">
        <f t="shared" si="15"/>
        <v>-8.6568627450980387E-2</v>
      </c>
    </row>
    <row r="64" spans="1:26" s="70" customFormat="1" ht="15" hidden="1" customHeight="1" outlineLevel="2" x14ac:dyDescent="0.3">
      <c r="A64" s="21"/>
      <c r="B64" s="9" t="str">
        <f>CONCATENATE("          ","6314"," - ","LIABILITY INSURANCE")</f>
        <v xml:space="preserve">          6314 - LIABILITY INSURANCE</v>
      </c>
      <c r="C64" s="9"/>
      <c r="D64" s="6">
        <v>-270.70999999999998</v>
      </c>
      <c r="E64" s="3"/>
      <c r="F64" s="7">
        <f t="shared" si="8"/>
        <v>-8.2515146776739687E-3</v>
      </c>
      <c r="G64" s="3"/>
      <c r="H64" s="6">
        <v>850</v>
      </c>
      <c r="I64" s="3"/>
      <c r="J64" s="7">
        <f t="shared" si="9"/>
        <v>3.2044032270225439E-2</v>
      </c>
      <c r="K64" s="3"/>
      <c r="L64" s="6">
        <f t="shared" si="10"/>
        <v>-1120.71</v>
      </c>
      <c r="M64" s="3"/>
      <c r="N64" s="7">
        <f t="shared" si="11"/>
        <v>-1.3184823529411764</v>
      </c>
      <c r="O64" s="9"/>
      <c r="P64" s="6">
        <v>9317</v>
      </c>
      <c r="Q64" s="3"/>
      <c r="R64" s="7">
        <f t="shared" si="12"/>
        <v>1.1039462755782853E-2</v>
      </c>
      <c r="S64" s="3"/>
      <c r="T64" s="6">
        <v>10200</v>
      </c>
      <c r="U64" s="3"/>
      <c r="V64" s="7">
        <f t="shared" si="13"/>
        <v>1.5134653906076118E-2</v>
      </c>
      <c r="W64" s="3"/>
      <c r="X64" s="6">
        <f t="shared" si="14"/>
        <v>-883</v>
      </c>
      <c r="Y64" s="3"/>
      <c r="Z64" s="7">
        <f t="shared" si="15"/>
        <v>-8.6568627450980387E-2</v>
      </c>
    </row>
    <row r="65" spans="1:26" s="69" customFormat="1" ht="15" customHeight="1" outlineLevel="1" collapsed="1" x14ac:dyDescent="0.3">
      <c r="A65" s="20"/>
      <c r="B65" s="11" t="str">
        <f>CONCATENATE("     ","Interest                                          ")</f>
        <v xml:space="preserve">     Interest                                          </v>
      </c>
      <c r="C65" s="11"/>
      <c r="D65" s="2">
        <f>SUM(OSRRefD22_10x_0)</f>
        <v>7253</v>
      </c>
      <c r="E65" s="2"/>
      <c r="F65" s="5">
        <f t="shared" si="8"/>
        <v>0.22107877786993205</v>
      </c>
      <c r="G65" s="2"/>
      <c r="H65" s="2">
        <f>SUM(OSRRefH22_10x_0)</f>
        <v>6982</v>
      </c>
      <c r="I65" s="2"/>
      <c r="J65" s="5">
        <f t="shared" si="9"/>
        <v>0.26321345095378118</v>
      </c>
      <c r="K65" s="2"/>
      <c r="L65" s="2">
        <f t="shared" si="10"/>
        <v>271</v>
      </c>
      <c r="M65" s="2"/>
      <c r="N65" s="5">
        <f t="shared" si="11"/>
        <v>3.8814093382984818E-2</v>
      </c>
      <c r="O65" s="11"/>
      <c r="P65" s="2">
        <f>SUM(OSRRefP22_10x_0)</f>
        <v>84898</v>
      </c>
      <c r="Q65" s="2"/>
      <c r="R65" s="5">
        <f t="shared" si="12"/>
        <v>0.10059335720086431</v>
      </c>
      <c r="S65" s="2"/>
      <c r="T65" s="2">
        <f>SUM(OSRRefT22_10x_0)</f>
        <v>86494</v>
      </c>
      <c r="U65" s="2"/>
      <c r="V65" s="5">
        <f t="shared" si="13"/>
        <v>0.1283388975443282</v>
      </c>
      <c r="W65" s="2"/>
      <c r="X65" s="2">
        <f t="shared" si="14"/>
        <v>-1596</v>
      </c>
      <c r="Y65" s="2"/>
      <c r="Z65" s="5">
        <f t="shared" si="15"/>
        <v>-1.8452146969732006E-2</v>
      </c>
    </row>
    <row r="66" spans="1:26" s="70" customFormat="1" ht="15" hidden="1" customHeight="1" outlineLevel="2" x14ac:dyDescent="0.3">
      <c r="A66" s="21"/>
      <c r="B66" s="9" t="str">
        <f>CONCATENATE("          ","6401"," - ","INTEREST EXPENSE")</f>
        <v xml:space="preserve">          6401 - INTEREST EXPENSE</v>
      </c>
      <c r="C66" s="9"/>
      <c r="D66" s="6">
        <v>7253</v>
      </c>
      <c r="E66" s="3"/>
      <c r="F66" s="7">
        <f t="shared" si="8"/>
        <v>0.22107877786993205</v>
      </c>
      <c r="G66" s="3"/>
      <c r="H66" s="6">
        <v>6982</v>
      </c>
      <c r="I66" s="3"/>
      <c r="J66" s="7">
        <f t="shared" si="9"/>
        <v>0.26321345095378118</v>
      </c>
      <c r="K66" s="3"/>
      <c r="L66" s="6">
        <f t="shared" si="10"/>
        <v>271</v>
      </c>
      <c r="M66" s="3"/>
      <c r="N66" s="7">
        <f t="shared" si="11"/>
        <v>3.8814093382984818E-2</v>
      </c>
      <c r="O66" s="9"/>
      <c r="P66" s="6">
        <v>84898</v>
      </c>
      <c r="Q66" s="3"/>
      <c r="R66" s="7">
        <f t="shared" si="12"/>
        <v>0.10059335720086431</v>
      </c>
      <c r="S66" s="3"/>
      <c r="T66" s="6">
        <v>86494</v>
      </c>
      <c r="U66" s="3"/>
      <c r="V66" s="7">
        <f t="shared" si="13"/>
        <v>0.1283388975443282</v>
      </c>
      <c r="W66" s="3"/>
      <c r="X66" s="6">
        <f t="shared" si="14"/>
        <v>-1596</v>
      </c>
      <c r="Y66" s="3"/>
      <c r="Z66" s="7">
        <f t="shared" si="15"/>
        <v>-1.8452146969732006E-2</v>
      </c>
    </row>
    <row r="67" spans="1:26" s="69" customFormat="1" ht="15" customHeight="1" outlineLevel="1" collapsed="1" x14ac:dyDescent="0.3">
      <c r="A67" s="20"/>
      <c r="B67" s="11" t="str">
        <f>CONCATENATE("     ","Repair and Maintenance                            ")</f>
        <v xml:space="preserve">     Repair and Maintenance                            </v>
      </c>
      <c r="C67" s="11"/>
      <c r="D67" s="2">
        <f>SUM(OSRRefD22_11x_0)</f>
        <v>4821.29</v>
      </c>
      <c r="E67" s="2"/>
      <c r="F67" s="5">
        <f t="shared" si="8"/>
        <v>0.14695779690562866</v>
      </c>
      <c r="G67" s="2"/>
      <c r="H67" s="2">
        <f>SUM(OSRRefH22_11x_0)</f>
        <v>500</v>
      </c>
      <c r="I67" s="2"/>
      <c r="J67" s="5">
        <f t="shared" si="9"/>
        <v>1.8849430747191434E-2</v>
      </c>
      <c r="K67" s="2"/>
      <c r="L67" s="2">
        <f t="shared" si="10"/>
        <v>4321.29</v>
      </c>
      <c r="M67" s="2"/>
      <c r="N67" s="5">
        <f t="shared" si="11"/>
        <v>8.6425800000000006</v>
      </c>
      <c r="O67" s="11"/>
      <c r="P67" s="2">
        <f>SUM(OSRRefP22_11x_0)</f>
        <v>40112.019999999997</v>
      </c>
      <c r="Q67" s="2"/>
      <c r="R67" s="5">
        <f t="shared" si="12"/>
        <v>4.7527653842354502E-2</v>
      </c>
      <c r="S67" s="2"/>
      <c r="T67" s="2">
        <f>SUM(OSRRefT22_11x_0)</f>
        <v>10686</v>
      </c>
      <c r="U67" s="2"/>
      <c r="V67" s="5">
        <f t="shared" si="13"/>
        <v>1.5855775651012687E-2</v>
      </c>
      <c r="W67" s="2"/>
      <c r="X67" s="2">
        <f t="shared" si="14"/>
        <v>29426.019999999997</v>
      </c>
      <c r="Y67" s="2"/>
      <c r="Z67" s="5">
        <f t="shared" si="15"/>
        <v>2.7536982968369825</v>
      </c>
    </row>
    <row r="68" spans="1:26" s="70" customFormat="1" ht="15" hidden="1" customHeight="1" outlineLevel="2" x14ac:dyDescent="0.3">
      <c r="A68" s="21"/>
      <c r="B68" s="9" t="str">
        <f>CONCATENATE("          ","6373"," - ","MAINTENANCE CONTRACTS")</f>
        <v xml:space="preserve">          6373 - MAINTENANCE CONTRACTS</v>
      </c>
      <c r="C68" s="9"/>
      <c r="D68" s="6">
        <v>4442.6499999999996</v>
      </c>
      <c r="E68" s="3"/>
      <c r="F68" s="7">
        <f t="shared" si="8"/>
        <v>0.13541646663502738</v>
      </c>
      <c r="G68" s="3"/>
      <c r="H68" s="6"/>
      <c r="I68" s="3"/>
      <c r="J68" s="7">
        <f t="shared" si="9"/>
        <v>0</v>
      </c>
      <c r="K68" s="3"/>
      <c r="L68" s="6">
        <f t="shared" si="10"/>
        <v>4442.6499999999996</v>
      </c>
      <c r="M68" s="3"/>
      <c r="N68" s="7">
        <f t="shared" si="11"/>
        <v>0</v>
      </c>
      <c r="O68" s="9"/>
      <c r="P68" s="6">
        <v>11496.49</v>
      </c>
      <c r="Q68" s="3"/>
      <c r="R68" s="7">
        <f t="shared" si="12"/>
        <v>1.3621881847937107E-2</v>
      </c>
      <c r="S68" s="3"/>
      <c r="T68" s="6">
        <v>3045</v>
      </c>
      <c r="U68" s="3"/>
      <c r="V68" s="7">
        <f t="shared" si="13"/>
        <v>4.5181393278433115E-3</v>
      </c>
      <c r="W68" s="3"/>
      <c r="X68" s="6">
        <f t="shared" si="14"/>
        <v>8451.49</v>
      </c>
      <c r="Y68" s="3"/>
      <c r="Z68" s="7">
        <f t="shared" si="15"/>
        <v>2.7755303776683085</v>
      </c>
    </row>
    <row r="69" spans="1:26" s="70" customFormat="1" ht="15" hidden="1" customHeight="1" outlineLevel="2" x14ac:dyDescent="0.3">
      <c r="A69" s="21"/>
      <c r="B69" s="9" t="str">
        <f>CONCATENATE("          ","6375"," - ","OUTSIDE REPAIRS &amp; MAINTENANCE")</f>
        <v xml:space="preserve">          6375 - OUTSIDE REPAIRS &amp; MAINTENANCE</v>
      </c>
      <c r="C69" s="9"/>
      <c r="D69" s="6">
        <v>378.64</v>
      </c>
      <c r="E69" s="3"/>
      <c r="F69" s="7">
        <f t="shared" si="8"/>
        <v>1.1541330270601278E-2</v>
      </c>
      <c r="G69" s="3"/>
      <c r="H69" s="6">
        <v>500</v>
      </c>
      <c r="I69" s="3"/>
      <c r="J69" s="7">
        <f t="shared" si="9"/>
        <v>1.8849430747191434E-2</v>
      </c>
      <c r="K69" s="3"/>
      <c r="L69" s="6">
        <f t="shared" si="10"/>
        <v>-121.36000000000001</v>
      </c>
      <c r="M69" s="3"/>
      <c r="N69" s="7">
        <f t="shared" si="11"/>
        <v>-0.24272000000000002</v>
      </c>
      <c r="O69" s="9"/>
      <c r="P69" s="6">
        <v>28615.53</v>
      </c>
      <c r="Q69" s="3"/>
      <c r="R69" s="7">
        <f t="shared" si="12"/>
        <v>3.3905771994417397E-2</v>
      </c>
      <c r="S69" s="3"/>
      <c r="T69" s="6">
        <v>7641</v>
      </c>
      <c r="U69" s="3"/>
      <c r="V69" s="7">
        <f t="shared" si="13"/>
        <v>1.1337636323169375E-2</v>
      </c>
      <c r="W69" s="3"/>
      <c r="X69" s="6">
        <f t="shared" si="14"/>
        <v>20974.53</v>
      </c>
      <c r="Y69" s="3"/>
      <c r="Z69" s="7">
        <f t="shared" si="15"/>
        <v>2.7449980369061642</v>
      </c>
    </row>
    <row r="70" spans="1:26" s="69" customFormat="1" ht="15" customHeight="1" outlineLevel="1" collapsed="1" x14ac:dyDescent="0.3">
      <c r="A70" s="20"/>
      <c r="B70" s="11" t="str">
        <f>CONCATENATE("     ","Services                                          ")</f>
        <v xml:space="preserve">     Services                                          </v>
      </c>
      <c r="C70" s="11"/>
      <c r="D70" s="2">
        <f>SUM(OSRRefD22_12x_0)</f>
        <v>9038.15</v>
      </c>
      <c r="E70" s="2"/>
      <c r="F70" s="5">
        <f t="shared" si="8"/>
        <v>0.27549195590860698</v>
      </c>
      <c r="G70" s="2"/>
      <c r="H70" s="2">
        <f>SUM(OSRRefH22_12x_0)</f>
        <v>4979</v>
      </c>
      <c r="I70" s="2"/>
      <c r="J70" s="5">
        <f t="shared" si="9"/>
        <v>0.18770263138053231</v>
      </c>
      <c r="K70" s="2"/>
      <c r="L70" s="2">
        <f t="shared" si="10"/>
        <v>4059.1499999999996</v>
      </c>
      <c r="M70" s="2"/>
      <c r="N70" s="5">
        <f t="shared" si="11"/>
        <v>0.81525406708174319</v>
      </c>
      <c r="O70" s="11"/>
      <c r="P70" s="2">
        <f>SUM(OSRRefP22_12x_0)</f>
        <v>63737.31</v>
      </c>
      <c r="Q70" s="2"/>
      <c r="R70" s="5">
        <f t="shared" si="12"/>
        <v>7.5520624653728233E-2</v>
      </c>
      <c r="S70" s="2"/>
      <c r="T70" s="2">
        <f>SUM(OSRRefT22_12x_0)</f>
        <v>58894</v>
      </c>
      <c r="U70" s="2"/>
      <c r="V70" s="5">
        <f t="shared" si="13"/>
        <v>8.7386304622004599E-2</v>
      </c>
      <c r="W70" s="2"/>
      <c r="X70" s="2">
        <f t="shared" si="14"/>
        <v>4843.3099999999977</v>
      </c>
      <c r="Y70" s="2"/>
      <c r="Z70" s="5">
        <f t="shared" si="15"/>
        <v>8.2237749176486533E-2</v>
      </c>
    </row>
    <row r="71" spans="1:26" s="70" customFormat="1" ht="15" hidden="1" customHeight="1" outlineLevel="2" x14ac:dyDescent="0.3">
      <c r="A71" s="21"/>
      <c r="B71" s="9" t="str">
        <f>CONCATENATE("          ","6282"," - ","JANITORIAL/EXTERMINATOR EXPENS")</f>
        <v xml:space="preserve">          6282 - JANITORIAL/EXTERMINATOR EXPENS</v>
      </c>
      <c r="C71" s="9"/>
      <c r="D71" s="6">
        <v>773.5</v>
      </c>
      <c r="E71" s="3"/>
      <c r="F71" s="7">
        <f t="shared" si="8"/>
        <v>2.3577062550998545E-2</v>
      </c>
      <c r="G71" s="3"/>
      <c r="H71" s="6">
        <v>328</v>
      </c>
      <c r="I71" s="3"/>
      <c r="J71" s="7">
        <f t="shared" si="9"/>
        <v>1.2365226570157581E-2</v>
      </c>
      <c r="K71" s="3"/>
      <c r="L71" s="6">
        <f t="shared" si="10"/>
        <v>445.5</v>
      </c>
      <c r="M71" s="3"/>
      <c r="N71" s="7">
        <f t="shared" si="11"/>
        <v>1.3582317073170731</v>
      </c>
      <c r="O71" s="9"/>
      <c r="P71" s="6">
        <v>4359.3999999999996</v>
      </c>
      <c r="Q71" s="3"/>
      <c r="R71" s="7">
        <f t="shared" si="12"/>
        <v>5.1653358310142497E-3</v>
      </c>
      <c r="S71" s="3"/>
      <c r="T71" s="6">
        <v>3936</v>
      </c>
      <c r="U71" s="3"/>
      <c r="V71" s="7">
        <f t="shared" si="13"/>
        <v>5.8401958602270201E-3</v>
      </c>
      <c r="W71" s="3"/>
      <c r="X71" s="6">
        <f t="shared" si="14"/>
        <v>423.39999999999964</v>
      </c>
      <c r="Y71" s="3"/>
      <c r="Z71" s="7">
        <f t="shared" si="15"/>
        <v>0.10757113821138202</v>
      </c>
    </row>
    <row r="72" spans="1:26" s="70" customFormat="1" ht="15" hidden="1" customHeight="1" outlineLevel="2" x14ac:dyDescent="0.3">
      <c r="A72" s="21"/>
      <c r="B72" s="9" t="str">
        <f>CONCATENATE("          ","6284"," - ","TRASH REMOVAL EXPENSE")</f>
        <v xml:space="preserve">          6284 - TRASH REMOVAL EXPENSE</v>
      </c>
      <c r="C72" s="9"/>
      <c r="D72" s="6"/>
      <c r="E72" s="3"/>
      <c r="F72" s="7">
        <f t="shared" si="8"/>
        <v>0</v>
      </c>
      <c r="G72" s="3"/>
      <c r="H72" s="6">
        <v>1000</v>
      </c>
      <c r="I72" s="3"/>
      <c r="J72" s="7">
        <f t="shared" si="9"/>
        <v>3.7698861494382868E-2</v>
      </c>
      <c r="K72" s="3"/>
      <c r="L72" s="6">
        <f t="shared" si="10"/>
        <v>-1000</v>
      </c>
      <c r="M72" s="3"/>
      <c r="N72" s="7">
        <f t="shared" si="11"/>
        <v>-1</v>
      </c>
      <c r="O72" s="9"/>
      <c r="P72" s="6"/>
      <c r="Q72" s="3"/>
      <c r="R72" s="7">
        <f t="shared" si="12"/>
        <v>0</v>
      </c>
      <c r="S72" s="3"/>
      <c r="T72" s="6">
        <v>12000</v>
      </c>
      <c r="U72" s="3"/>
      <c r="V72" s="7">
        <f t="shared" si="13"/>
        <v>1.7805475183618961E-2</v>
      </c>
      <c r="W72" s="3"/>
      <c r="X72" s="6">
        <f t="shared" si="14"/>
        <v>-12000</v>
      </c>
      <c r="Y72" s="3"/>
      <c r="Z72" s="7">
        <f t="shared" si="15"/>
        <v>-1</v>
      </c>
    </row>
    <row r="73" spans="1:26" s="70" customFormat="1" ht="15" hidden="1" customHeight="1" outlineLevel="2" x14ac:dyDescent="0.3">
      <c r="A73" s="21"/>
      <c r="B73" s="9" t="str">
        <f>CONCATENATE("          ","6285"," - ","JANITORIAL SERVICES")</f>
        <v xml:space="preserve">          6285 - JANITORIAL SERVICES</v>
      </c>
      <c r="C73" s="9"/>
      <c r="D73" s="6">
        <v>7863.92</v>
      </c>
      <c r="E73" s="3"/>
      <c r="F73" s="7">
        <f t="shared" si="8"/>
        <v>0.23970023753852421</v>
      </c>
      <c r="G73" s="3"/>
      <c r="H73" s="6">
        <v>3041</v>
      </c>
      <c r="I73" s="3"/>
      <c r="J73" s="7">
        <f t="shared" si="9"/>
        <v>0.1146422378044183</v>
      </c>
      <c r="K73" s="3"/>
      <c r="L73" s="6">
        <f t="shared" si="10"/>
        <v>4822.92</v>
      </c>
      <c r="M73" s="3"/>
      <c r="N73" s="7">
        <f t="shared" si="11"/>
        <v>1.585965143045051</v>
      </c>
      <c r="O73" s="9"/>
      <c r="P73" s="6">
        <v>55564.5</v>
      </c>
      <c r="Q73" s="3"/>
      <c r="R73" s="7">
        <f t="shared" si="12"/>
        <v>6.5836881860437513E-2</v>
      </c>
      <c r="S73" s="3"/>
      <c r="T73" s="6">
        <v>36492</v>
      </c>
      <c r="U73" s="3"/>
      <c r="V73" s="7">
        <f t="shared" si="13"/>
        <v>5.4146450033385266E-2</v>
      </c>
      <c r="W73" s="3"/>
      <c r="X73" s="6">
        <f t="shared" si="14"/>
        <v>19072.5</v>
      </c>
      <c r="Y73" s="3"/>
      <c r="Z73" s="7">
        <f t="shared" si="15"/>
        <v>0.52264879973692868</v>
      </c>
    </row>
    <row r="74" spans="1:26" s="70" customFormat="1" ht="15" hidden="1" customHeight="1" outlineLevel="2" x14ac:dyDescent="0.3">
      <c r="A74" s="21"/>
      <c r="B74" s="9" t="str">
        <f>CONCATENATE("          ","6286"," - ","LAUNDRY EXPENSE")</f>
        <v xml:space="preserve">          6286 - LAUNDRY EXPENSE</v>
      </c>
      <c r="C74" s="9"/>
      <c r="D74" s="6">
        <v>400.73</v>
      </c>
      <c r="E74" s="3"/>
      <c r="F74" s="7">
        <f t="shared" si="8"/>
        <v>1.2214655819084224E-2</v>
      </c>
      <c r="G74" s="3"/>
      <c r="H74" s="6">
        <v>610</v>
      </c>
      <c r="I74" s="3"/>
      <c r="J74" s="7">
        <f t="shared" si="9"/>
        <v>2.2996305511573549E-2</v>
      </c>
      <c r="K74" s="3"/>
      <c r="L74" s="6">
        <f t="shared" si="10"/>
        <v>-209.26999999999998</v>
      </c>
      <c r="M74" s="3"/>
      <c r="N74" s="7">
        <f t="shared" si="11"/>
        <v>-0.34306557377049179</v>
      </c>
      <c r="O74" s="9"/>
      <c r="P74" s="6">
        <v>3813.41</v>
      </c>
      <c r="Q74" s="3"/>
      <c r="R74" s="7">
        <f t="shared" si="12"/>
        <v>4.518406962276472E-3</v>
      </c>
      <c r="S74" s="3"/>
      <c r="T74" s="6">
        <v>6466</v>
      </c>
      <c r="U74" s="3"/>
      <c r="V74" s="7">
        <f t="shared" si="13"/>
        <v>9.5941835447733506E-3</v>
      </c>
      <c r="W74" s="3"/>
      <c r="X74" s="6">
        <f t="shared" si="14"/>
        <v>-2652.59</v>
      </c>
      <c r="Y74" s="3"/>
      <c r="Z74" s="7">
        <f t="shared" si="15"/>
        <v>-0.41023662233219921</v>
      </c>
    </row>
    <row r="75" spans="1:26" s="69" customFormat="1" ht="15" customHeight="1" outlineLevel="1" collapsed="1" x14ac:dyDescent="0.3">
      <c r="A75" s="20"/>
      <c r="B75" s="11" t="str">
        <f>CONCATENATE("     ","Subscriptions &amp; Dues                              ")</f>
        <v xml:space="preserve">     Subscriptions &amp; Dues                              </v>
      </c>
      <c r="C75" s="11"/>
      <c r="D75" s="2">
        <f>SUM(OSRRefD22_13x_0)</f>
        <v>327.64</v>
      </c>
      <c r="E75" s="2"/>
      <c r="F75" s="5">
        <f t="shared" si="8"/>
        <v>9.9867986738321427E-3</v>
      </c>
      <c r="G75" s="2"/>
      <c r="H75" s="2">
        <f>SUM(OSRRefH22_13x_0)</f>
        <v>380</v>
      </c>
      <c r="I75" s="2"/>
      <c r="J75" s="5">
        <f t="shared" si="9"/>
        <v>1.4325567367865491E-2</v>
      </c>
      <c r="K75" s="2"/>
      <c r="L75" s="2">
        <f t="shared" si="10"/>
        <v>-52.360000000000014</v>
      </c>
      <c r="M75" s="2"/>
      <c r="N75" s="5">
        <f t="shared" si="11"/>
        <v>-0.13778947368421057</v>
      </c>
      <c r="O75" s="11"/>
      <c r="P75" s="2">
        <f>SUM(OSRRefP22_13x_0)</f>
        <v>4352.95</v>
      </c>
      <c r="Q75" s="2"/>
      <c r="R75" s="5">
        <f t="shared" si="12"/>
        <v>5.1576933994617333E-3</v>
      </c>
      <c r="S75" s="2"/>
      <c r="T75" s="2">
        <f>SUM(OSRRefT22_13x_0)</f>
        <v>4560</v>
      </c>
      <c r="U75" s="2"/>
      <c r="V75" s="5">
        <f t="shared" si="13"/>
        <v>6.766080569775206E-3</v>
      </c>
      <c r="W75" s="2"/>
      <c r="X75" s="2">
        <f t="shared" si="14"/>
        <v>-207.05000000000018</v>
      </c>
      <c r="Y75" s="2"/>
      <c r="Z75" s="5">
        <f t="shared" si="15"/>
        <v>-4.5405701754386005E-2</v>
      </c>
    </row>
    <row r="76" spans="1:26" s="70" customFormat="1" ht="15" hidden="1" customHeight="1" outlineLevel="2" x14ac:dyDescent="0.3">
      <c r="A76" s="21"/>
      <c r="B76" s="9" t="str">
        <f>CONCATENATE("          ","6275"," - ","SUBSCRIPTIONS")</f>
        <v xml:space="preserve">          6275 - SUBSCRIPTIONS</v>
      </c>
      <c r="C76" s="9"/>
      <c r="D76" s="6">
        <v>327.64</v>
      </c>
      <c r="E76" s="3"/>
      <c r="F76" s="7">
        <f t="shared" si="8"/>
        <v>9.9867986738321427E-3</v>
      </c>
      <c r="G76" s="3"/>
      <c r="H76" s="6">
        <v>380</v>
      </c>
      <c r="I76" s="3"/>
      <c r="J76" s="7">
        <f t="shared" si="9"/>
        <v>1.4325567367865491E-2</v>
      </c>
      <c r="K76" s="3"/>
      <c r="L76" s="6">
        <f t="shared" si="10"/>
        <v>-52.360000000000014</v>
      </c>
      <c r="M76" s="3"/>
      <c r="N76" s="7">
        <f t="shared" si="11"/>
        <v>-0.13778947368421057</v>
      </c>
      <c r="O76" s="9"/>
      <c r="P76" s="6">
        <v>4352.95</v>
      </c>
      <c r="Q76" s="3"/>
      <c r="R76" s="7">
        <f t="shared" si="12"/>
        <v>5.1576933994617333E-3</v>
      </c>
      <c r="S76" s="3"/>
      <c r="T76" s="6">
        <v>4560</v>
      </c>
      <c r="U76" s="3"/>
      <c r="V76" s="7">
        <f t="shared" si="13"/>
        <v>6.766080569775206E-3</v>
      </c>
      <c r="W76" s="3"/>
      <c r="X76" s="6">
        <f t="shared" si="14"/>
        <v>-207.05000000000018</v>
      </c>
      <c r="Y76" s="3"/>
      <c r="Z76" s="7">
        <f t="shared" si="15"/>
        <v>-4.5405701754386005E-2</v>
      </c>
    </row>
    <row r="77" spans="1:26" s="69" customFormat="1" ht="15" customHeight="1" outlineLevel="1" collapsed="1" x14ac:dyDescent="0.3">
      <c r="A77" s="20"/>
      <c r="B77" s="11" t="str">
        <f>CONCATENATE("     ","Supplies                                          ")</f>
        <v xml:space="preserve">     Supplies                                          </v>
      </c>
      <c r="C77" s="11"/>
      <c r="D77" s="2">
        <f>SUM(OSRRefD22_14x_0)</f>
        <v>1332.07</v>
      </c>
      <c r="E77" s="2"/>
      <c r="F77" s="5">
        <f t="shared" si="8"/>
        <v>4.0602841257024729E-2</v>
      </c>
      <c r="G77" s="2"/>
      <c r="H77" s="2">
        <f>SUM(OSRRefH22_14x_0)</f>
        <v>200</v>
      </c>
      <c r="I77" s="2"/>
      <c r="J77" s="5">
        <f t="shared" si="9"/>
        <v>7.5397722988765738E-3</v>
      </c>
      <c r="K77" s="2"/>
      <c r="L77" s="2">
        <f t="shared" si="10"/>
        <v>1132.07</v>
      </c>
      <c r="M77" s="2"/>
      <c r="N77" s="5">
        <f t="shared" si="11"/>
        <v>5.6603499999999993</v>
      </c>
      <c r="O77" s="11"/>
      <c r="P77" s="2">
        <f>SUM(OSRRefP22_14x_0)</f>
        <v>19447.039999999997</v>
      </c>
      <c r="Q77" s="2"/>
      <c r="R77" s="5">
        <f t="shared" si="12"/>
        <v>2.3042274744039859E-2</v>
      </c>
      <c r="S77" s="2"/>
      <c r="T77" s="2">
        <f>SUM(OSRRefT22_14x_0)</f>
        <v>9673</v>
      </c>
      <c r="U77" s="2"/>
      <c r="V77" s="5">
        <f t="shared" si="13"/>
        <v>1.4352696787595518E-2</v>
      </c>
      <c r="W77" s="2"/>
      <c r="X77" s="2">
        <f t="shared" si="14"/>
        <v>9774.0399999999972</v>
      </c>
      <c r="Y77" s="2"/>
      <c r="Z77" s="5">
        <f t="shared" si="15"/>
        <v>1.0104455701436987</v>
      </c>
    </row>
    <row r="78" spans="1:26" s="70" customFormat="1" ht="15" hidden="1" customHeight="1" outlineLevel="2" x14ac:dyDescent="0.3">
      <c r="A78" s="21"/>
      <c r="B78" s="9" t="str">
        <f>CONCATENATE("          ","6234"," - ","EXPENDABLE SUPPLIES &amp; EQUIPMEN")</f>
        <v xml:space="preserve">          6234 - EXPENDABLE SUPPLIES &amp; EQUIPMEN</v>
      </c>
      <c r="C78" s="9"/>
      <c r="D78" s="6"/>
      <c r="E78" s="3"/>
      <c r="F78" s="7">
        <f t="shared" si="8"/>
        <v>0</v>
      </c>
      <c r="G78" s="3"/>
      <c r="H78" s="6"/>
      <c r="I78" s="3"/>
      <c r="J78" s="7">
        <f t="shared" si="9"/>
        <v>0</v>
      </c>
      <c r="K78" s="3"/>
      <c r="L78" s="6">
        <f t="shared" si="10"/>
        <v>0</v>
      </c>
      <c r="M78" s="3"/>
      <c r="N78" s="7">
        <f t="shared" si="11"/>
        <v>0</v>
      </c>
      <c r="O78" s="9"/>
      <c r="P78" s="6">
        <v>57.77</v>
      </c>
      <c r="Q78" s="3"/>
      <c r="R78" s="7">
        <f t="shared" si="12"/>
        <v>6.845011950215471E-5</v>
      </c>
      <c r="S78" s="3"/>
      <c r="T78" s="6"/>
      <c r="U78" s="3"/>
      <c r="V78" s="7">
        <f t="shared" si="13"/>
        <v>0</v>
      </c>
      <c r="W78" s="3"/>
      <c r="X78" s="6">
        <f t="shared" si="14"/>
        <v>57.77</v>
      </c>
      <c r="Y78" s="3"/>
      <c r="Z78" s="7">
        <f t="shared" si="15"/>
        <v>0</v>
      </c>
    </row>
    <row r="79" spans="1:26" s="70" customFormat="1" ht="15" hidden="1" customHeight="1" outlineLevel="2" x14ac:dyDescent="0.3">
      <c r="A79" s="21"/>
      <c r="B79" s="9" t="str">
        <f>CONCATENATE("          ","6235"," - ","COVID-19 EXPENSES")</f>
        <v xml:space="preserve">          6235 - COVID-19 EXPENSES</v>
      </c>
      <c r="C79" s="9"/>
      <c r="D79" s="6"/>
      <c r="E79" s="3"/>
      <c r="F79" s="7">
        <f t="shared" si="8"/>
        <v>0</v>
      </c>
      <c r="G79" s="3"/>
      <c r="H79" s="6"/>
      <c r="I79" s="3"/>
      <c r="J79" s="7">
        <f t="shared" si="9"/>
        <v>0</v>
      </c>
      <c r="K79" s="3"/>
      <c r="L79" s="6">
        <f t="shared" si="10"/>
        <v>0</v>
      </c>
      <c r="M79" s="3"/>
      <c r="N79" s="7">
        <f t="shared" si="11"/>
        <v>0</v>
      </c>
      <c r="O79" s="9"/>
      <c r="P79" s="6">
        <v>35.72</v>
      </c>
      <c r="Q79" s="3"/>
      <c r="R79" s="7">
        <f t="shared" si="12"/>
        <v>4.2323667450527371E-5</v>
      </c>
      <c r="S79" s="3"/>
      <c r="T79" s="6"/>
      <c r="U79" s="3"/>
      <c r="V79" s="7">
        <f t="shared" si="13"/>
        <v>0</v>
      </c>
      <c r="W79" s="3"/>
      <c r="X79" s="6">
        <f t="shared" si="14"/>
        <v>35.72</v>
      </c>
      <c r="Y79" s="3"/>
      <c r="Z79" s="7">
        <f t="shared" si="15"/>
        <v>0</v>
      </c>
    </row>
    <row r="80" spans="1:26" s="70" customFormat="1" ht="15" hidden="1" customHeight="1" outlineLevel="2" x14ac:dyDescent="0.3">
      <c r="A80" s="21"/>
      <c r="B80" s="9" t="str">
        <f>CONCATENATE("          ","6237"," - ","JANITORIAL SUPPLIES")</f>
        <v xml:space="preserve">          6237 - JANITORIAL SUPPLIES</v>
      </c>
      <c r="C80" s="9"/>
      <c r="D80" s="6">
        <v>721.05</v>
      </c>
      <c r="E80" s="3"/>
      <c r="F80" s="7">
        <f t="shared" si="8"/>
        <v>2.1978333487262441E-2</v>
      </c>
      <c r="G80" s="3"/>
      <c r="H80" s="6"/>
      <c r="I80" s="3"/>
      <c r="J80" s="7">
        <f t="shared" si="9"/>
        <v>0</v>
      </c>
      <c r="K80" s="3"/>
      <c r="L80" s="6">
        <f t="shared" si="10"/>
        <v>721.05</v>
      </c>
      <c r="M80" s="3"/>
      <c r="N80" s="7">
        <f t="shared" si="11"/>
        <v>0</v>
      </c>
      <c r="O80" s="9"/>
      <c r="P80" s="6">
        <v>8659.9</v>
      </c>
      <c r="Q80" s="3"/>
      <c r="R80" s="7">
        <f t="shared" si="12"/>
        <v>1.0260882635913269E-2</v>
      </c>
      <c r="S80" s="3"/>
      <c r="T80" s="6">
        <v>1503</v>
      </c>
      <c r="U80" s="3"/>
      <c r="V80" s="7">
        <f t="shared" si="13"/>
        <v>2.230135766748275E-3</v>
      </c>
      <c r="W80" s="3"/>
      <c r="X80" s="6">
        <f t="shared" si="14"/>
        <v>7156.9</v>
      </c>
      <c r="Y80" s="3"/>
      <c r="Z80" s="7">
        <f t="shared" si="15"/>
        <v>4.7617431803060546</v>
      </c>
    </row>
    <row r="81" spans="1:26" s="70" customFormat="1" ht="15" hidden="1" customHeight="1" outlineLevel="2" x14ac:dyDescent="0.3">
      <c r="A81" s="21"/>
      <c r="B81" s="9" t="str">
        <f>CONCATENATE("          ","6239"," - ","KITCHEN SUPPLIES")</f>
        <v xml:space="preserve">          6239 - KITCHEN SUPPLIES</v>
      </c>
      <c r="C81" s="9"/>
      <c r="D81" s="6">
        <v>180.11</v>
      </c>
      <c r="E81" s="3"/>
      <c r="F81" s="7">
        <f t="shared" si="8"/>
        <v>5.489935017531155E-3</v>
      </c>
      <c r="G81" s="3"/>
      <c r="H81" s="6"/>
      <c r="I81" s="3"/>
      <c r="J81" s="7">
        <f t="shared" si="9"/>
        <v>0</v>
      </c>
      <c r="K81" s="3"/>
      <c r="L81" s="6">
        <f t="shared" si="10"/>
        <v>180.11</v>
      </c>
      <c r="M81" s="3"/>
      <c r="N81" s="7">
        <f t="shared" si="11"/>
        <v>0</v>
      </c>
      <c r="O81" s="9"/>
      <c r="P81" s="6">
        <v>3732.76</v>
      </c>
      <c r="Q81" s="3"/>
      <c r="R81" s="7">
        <f t="shared" si="12"/>
        <v>4.422846946042289E-3</v>
      </c>
      <c r="S81" s="3"/>
      <c r="T81" s="6">
        <v>149</v>
      </c>
      <c r="U81" s="3"/>
      <c r="V81" s="7">
        <f t="shared" si="13"/>
        <v>2.2108465019660212E-4</v>
      </c>
      <c r="W81" s="3"/>
      <c r="X81" s="6">
        <f t="shared" si="14"/>
        <v>3583.76</v>
      </c>
      <c r="Y81" s="3"/>
      <c r="Z81" s="7">
        <f t="shared" si="15"/>
        <v>24.052080536912754</v>
      </c>
    </row>
    <row r="82" spans="1:26" s="70" customFormat="1" ht="15" hidden="1" customHeight="1" outlineLevel="2" x14ac:dyDescent="0.3">
      <c r="A82" s="21"/>
      <c r="B82" s="9" t="str">
        <f>CONCATENATE("          ","6241"," - ","OFFICE EXPENSE")</f>
        <v xml:space="preserve">          6241 - OFFICE EXPENSE</v>
      </c>
      <c r="C82" s="9"/>
      <c r="D82" s="6"/>
      <c r="E82" s="3"/>
      <c r="F82" s="7">
        <f t="shared" si="8"/>
        <v>0</v>
      </c>
      <c r="G82" s="3"/>
      <c r="H82" s="6"/>
      <c r="I82" s="3"/>
      <c r="J82" s="7">
        <f t="shared" si="9"/>
        <v>0</v>
      </c>
      <c r="K82" s="3"/>
      <c r="L82" s="6">
        <f t="shared" si="10"/>
        <v>0</v>
      </c>
      <c r="M82" s="3"/>
      <c r="N82" s="7">
        <f t="shared" si="11"/>
        <v>0</v>
      </c>
      <c r="O82" s="9"/>
      <c r="P82" s="6">
        <v>3780.79</v>
      </c>
      <c r="Q82" s="3"/>
      <c r="R82" s="7">
        <f t="shared" si="12"/>
        <v>4.4797564014635886E-3</v>
      </c>
      <c r="S82" s="3"/>
      <c r="T82" s="6">
        <v>2827</v>
      </c>
      <c r="U82" s="3"/>
      <c r="V82" s="7">
        <f t="shared" si="13"/>
        <v>4.1946731953409009E-3</v>
      </c>
      <c r="W82" s="3"/>
      <c r="X82" s="6">
        <f t="shared" si="14"/>
        <v>953.79</v>
      </c>
      <c r="Y82" s="3"/>
      <c r="Z82" s="7">
        <f t="shared" si="15"/>
        <v>0.33738592147152457</v>
      </c>
    </row>
    <row r="83" spans="1:26" s="70" customFormat="1" ht="15" hidden="1" customHeight="1" outlineLevel="2" x14ac:dyDescent="0.3">
      <c r="A83" s="21"/>
      <c r="B83" s="9" t="str">
        <f>CONCATENATE("          ","6243"," - ","PAPER SUPPLIES")</f>
        <v xml:space="preserve">          6243 - PAPER SUPPLIES</v>
      </c>
      <c r="C83" s="9"/>
      <c r="D83" s="6">
        <v>430.91</v>
      </c>
      <c r="E83" s="3"/>
      <c r="F83" s="7">
        <f t="shared" si="8"/>
        <v>1.3134572752231136E-2</v>
      </c>
      <c r="G83" s="3"/>
      <c r="H83" s="6">
        <v>200</v>
      </c>
      <c r="I83" s="3"/>
      <c r="J83" s="7">
        <f t="shared" si="9"/>
        <v>7.5397722988765738E-3</v>
      </c>
      <c r="K83" s="3"/>
      <c r="L83" s="6">
        <f t="shared" si="10"/>
        <v>230.91000000000003</v>
      </c>
      <c r="M83" s="3"/>
      <c r="N83" s="7">
        <f t="shared" si="11"/>
        <v>1.1545500000000002</v>
      </c>
      <c r="O83" s="9"/>
      <c r="P83" s="6">
        <v>3147.1</v>
      </c>
      <c r="Q83" s="3"/>
      <c r="R83" s="7">
        <f t="shared" si="12"/>
        <v>3.7289141610737596E-3</v>
      </c>
      <c r="S83" s="3"/>
      <c r="T83" s="6">
        <v>3283</v>
      </c>
      <c r="U83" s="3"/>
      <c r="V83" s="7">
        <f t="shared" si="13"/>
        <v>4.8712812523184212E-3</v>
      </c>
      <c r="W83" s="3"/>
      <c r="X83" s="6">
        <f t="shared" si="14"/>
        <v>-135.90000000000009</v>
      </c>
      <c r="Y83" s="3"/>
      <c r="Z83" s="7">
        <f t="shared" si="15"/>
        <v>-4.1395065488882145E-2</v>
      </c>
    </row>
    <row r="84" spans="1:26" s="70" customFormat="1" ht="15" hidden="1" customHeight="1" outlineLevel="2" x14ac:dyDescent="0.3">
      <c r="A84" s="21"/>
      <c r="B84" s="9" t="str">
        <f>CONCATENATE("          ","6247"," - ","STORE SUPPLIES")</f>
        <v xml:space="preserve">          6247 - STORE SUPPLIES</v>
      </c>
      <c r="C84" s="9"/>
      <c r="D84" s="6"/>
      <c r="E84" s="3"/>
      <c r="F84" s="7">
        <f t="shared" si="8"/>
        <v>0</v>
      </c>
      <c r="G84" s="3"/>
      <c r="H84" s="6"/>
      <c r="I84" s="3"/>
      <c r="J84" s="7">
        <f t="shared" si="9"/>
        <v>0</v>
      </c>
      <c r="K84" s="3"/>
      <c r="L84" s="6">
        <f t="shared" si="10"/>
        <v>0</v>
      </c>
      <c r="M84" s="3"/>
      <c r="N84" s="7">
        <f t="shared" si="11"/>
        <v>0</v>
      </c>
      <c r="O84" s="9"/>
      <c r="P84" s="6">
        <v>33</v>
      </c>
      <c r="Q84" s="3"/>
      <c r="R84" s="7">
        <f t="shared" si="12"/>
        <v>3.9100812594272207E-5</v>
      </c>
      <c r="S84" s="3"/>
      <c r="T84" s="6">
        <v>411</v>
      </c>
      <c r="U84" s="3"/>
      <c r="V84" s="7">
        <f t="shared" si="13"/>
        <v>6.098375250389495E-4</v>
      </c>
      <c r="W84" s="3"/>
      <c r="X84" s="6">
        <f t="shared" si="14"/>
        <v>-378</v>
      </c>
      <c r="Y84" s="3"/>
      <c r="Z84" s="7">
        <f t="shared" si="15"/>
        <v>-0.91970802919708028</v>
      </c>
    </row>
    <row r="85" spans="1:26" s="70" customFormat="1" ht="15" hidden="1" customHeight="1" outlineLevel="2" x14ac:dyDescent="0.3">
      <c r="A85" s="21"/>
      <c r="B85" s="9" t="str">
        <f>CONCATENATE("          ","6248"," - ","UNIFORMS")</f>
        <v xml:space="preserve">          6248 - UNIFORMS</v>
      </c>
      <c r="C85" s="9"/>
      <c r="D85" s="6"/>
      <c r="E85" s="3"/>
      <c r="F85" s="7">
        <f t="shared" si="8"/>
        <v>0</v>
      </c>
      <c r="G85" s="3"/>
      <c r="H85" s="6"/>
      <c r="I85" s="3"/>
      <c r="J85" s="7">
        <f t="shared" si="9"/>
        <v>0</v>
      </c>
      <c r="K85" s="3"/>
      <c r="L85" s="6">
        <f t="shared" si="10"/>
        <v>0</v>
      </c>
      <c r="M85" s="3"/>
      <c r="N85" s="7">
        <f t="shared" si="11"/>
        <v>0</v>
      </c>
      <c r="O85" s="9"/>
      <c r="P85" s="6"/>
      <c r="Q85" s="3"/>
      <c r="R85" s="7">
        <f t="shared" si="12"/>
        <v>0</v>
      </c>
      <c r="S85" s="3"/>
      <c r="T85" s="6">
        <v>1500</v>
      </c>
      <c r="U85" s="3"/>
      <c r="V85" s="7">
        <f t="shared" si="13"/>
        <v>2.2256843979523702E-3</v>
      </c>
      <c r="W85" s="3"/>
      <c r="X85" s="6">
        <f t="shared" si="14"/>
        <v>-1500</v>
      </c>
      <c r="Y85" s="3"/>
      <c r="Z85" s="7">
        <f t="shared" si="15"/>
        <v>-1</v>
      </c>
    </row>
    <row r="86" spans="1:26" s="69" customFormat="1" ht="15" customHeight="1" outlineLevel="1" collapsed="1" x14ac:dyDescent="0.3">
      <c r="A86" s="20"/>
      <c r="B86" s="11" t="str">
        <f>CONCATENATE("     ","Telephone/Data Lines                              ")</f>
        <v xml:space="preserve">     Telephone/Data Lines                              </v>
      </c>
      <c r="C86" s="11"/>
      <c r="D86" s="2">
        <f>SUM(OSRRefD22_15x_0)</f>
        <v>105.25</v>
      </c>
      <c r="E86" s="2"/>
      <c r="F86" s="5">
        <f t="shared" si="8"/>
        <v>3.2081264815676754E-3</v>
      </c>
      <c r="G86" s="2"/>
      <c r="H86" s="2">
        <f>SUM(OSRRefH22_15x_0)</f>
        <v>135</v>
      </c>
      <c r="I86" s="2"/>
      <c r="J86" s="5">
        <f t="shared" si="9"/>
        <v>5.089346301741687E-3</v>
      </c>
      <c r="K86" s="2"/>
      <c r="L86" s="2">
        <f t="shared" si="10"/>
        <v>-29.75</v>
      </c>
      <c r="M86" s="2"/>
      <c r="N86" s="5">
        <f t="shared" si="11"/>
        <v>-0.22037037037037038</v>
      </c>
      <c r="O86" s="11"/>
      <c r="P86" s="2">
        <f>SUM(OSRRefP22_15x_0)</f>
        <v>2641.38</v>
      </c>
      <c r="Q86" s="2"/>
      <c r="R86" s="5">
        <f t="shared" si="12"/>
        <v>3.1297001324320827E-3</v>
      </c>
      <c r="S86" s="2"/>
      <c r="T86" s="2">
        <f>SUM(OSRRefT22_15x_0)</f>
        <v>1620</v>
      </c>
      <c r="U86" s="2"/>
      <c r="V86" s="5">
        <f t="shared" si="13"/>
        <v>2.4037391497885598E-3</v>
      </c>
      <c r="W86" s="2"/>
      <c r="X86" s="2">
        <f t="shared" si="14"/>
        <v>1021.3800000000001</v>
      </c>
      <c r="Y86" s="2"/>
      <c r="Z86" s="5">
        <f t="shared" si="15"/>
        <v>0.63048148148148153</v>
      </c>
    </row>
    <row r="87" spans="1:26" s="70" customFormat="1" ht="15" hidden="1" customHeight="1" outlineLevel="2" x14ac:dyDescent="0.3">
      <c r="A87" s="21"/>
      <c r="B87" s="9" t="str">
        <f>CONCATENATE("          ","6303"," - ","DATA PHONE LINES")</f>
        <v xml:space="preserve">          6303 - DATA PHONE LINES</v>
      </c>
      <c r="C87" s="9"/>
      <c r="D87" s="6"/>
      <c r="E87" s="3"/>
      <c r="F87" s="7">
        <f t="shared" si="8"/>
        <v>0</v>
      </c>
      <c r="G87" s="3"/>
      <c r="H87" s="6">
        <v>60</v>
      </c>
      <c r="I87" s="3"/>
      <c r="J87" s="7">
        <f t="shared" si="9"/>
        <v>2.2619316896629721E-3</v>
      </c>
      <c r="K87" s="3"/>
      <c r="L87" s="6">
        <f t="shared" si="10"/>
        <v>-60</v>
      </c>
      <c r="M87" s="3"/>
      <c r="N87" s="7">
        <f t="shared" si="11"/>
        <v>-1</v>
      </c>
      <c r="O87" s="9"/>
      <c r="P87" s="6"/>
      <c r="Q87" s="3"/>
      <c r="R87" s="7">
        <f t="shared" si="12"/>
        <v>0</v>
      </c>
      <c r="S87" s="3"/>
      <c r="T87" s="6">
        <v>720</v>
      </c>
      <c r="U87" s="3"/>
      <c r="V87" s="7">
        <f t="shared" si="13"/>
        <v>1.0683285110171378E-3</v>
      </c>
      <c r="W87" s="3"/>
      <c r="X87" s="6">
        <f t="shared" si="14"/>
        <v>-720</v>
      </c>
      <c r="Y87" s="3"/>
      <c r="Z87" s="7">
        <f t="shared" si="15"/>
        <v>-1</v>
      </c>
    </row>
    <row r="88" spans="1:26" s="70" customFormat="1" ht="15" hidden="1" customHeight="1" outlineLevel="2" x14ac:dyDescent="0.3">
      <c r="A88" s="21"/>
      <c r="B88" s="9" t="str">
        <f>CONCATENATE("          ","6309"," - ","TELEPHONE")</f>
        <v xml:space="preserve">          6309 - TELEPHONE</v>
      </c>
      <c r="C88" s="9"/>
      <c r="D88" s="6">
        <v>105.25</v>
      </c>
      <c r="E88" s="3"/>
      <c r="F88" s="7">
        <f t="shared" si="8"/>
        <v>3.2081264815676754E-3</v>
      </c>
      <c r="G88" s="3"/>
      <c r="H88" s="6">
        <v>75</v>
      </c>
      <c r="I88" s="3"/>
      <c r="J88" s="7">
        <f t="shared" si="9"/>
        <v>2.8274146120787153E-3</v>
      </c>
      <c r="K88" s="3"/>
      <c r="L88" s="6">
        <f t="shared" si="10"/>
        <v>30.25</v>
      </c>
      <c r="M88" s="3"/>
      <c r="N88" s="7">
        <f t="shared" si="11"/>
        <v>0.40333333333333332</v>
      </c>
      <c r="O88" s="9"/>
      <c r="P88" s="6">
        <v>2641.38</v>
      </c>
      <c r="Q88" s="3"/>
      <c r="R88" s="7">
        <f t="shared" si="12"/>
        <v>3.1297001324320827E-3</v>
      </c>
      <c r="S88" s="3"/>
      <c r="T88" s="6">
        <v>900</v>
      </c>
      <c r="U88" s="3"/>
      <c r="V88" s="7">
        <f t="shared" si="13"/>
        <v>1.3354106387714222E-3</v>
      </c>
      <c r="W88" s="3"/>
      <c r="X88" s="6">
        <f t="shared" si="14"/>
        <v>1741.38</v>
      </c>
      <c r="Y88" s="3"/>
      <c r="Z88" s="7">
        <f t="shared" si="15"/>
        <v>1.9348666666666667</v>
      </c>
    </row>
    <row r="89" spans="1:26" s="69" customFormat="1" ht="15" customHeight="1" outlineLevel="1" collapsed="1" x14ac:dyDescent="0.3">
      <c r="A89" s="20"/>
      <c r="B89" s="11" t="str">
        <f>CONCATENATE("     ","Training                                          ")</f>
        <v xml:space="preserve">     Training                                          </v>
      </c>
      <c r="C89" s="11"/>
      <c r="D89" s="2">
        <f>SUM(OSRRefD22_16x_0)</f>
        <v>14.95</v>
      </c>
      <c r="E89" s="2"/>
      <c r="F89" s="5">
        <f t="shared" si="8"/>
        <v>4.5569112493526595E-4</v>
      </c>
      <c r="G89" s="2"/>
      <c r="H89" s="2">
        <f>SUM(OSRRefH22_16x_0)</f>
        <v>0</v>
      </c>
      <c r="I89" s="2"/>
      <c r="J89" s="5">
        <f t="shared" si="9"/>
        <v>0</v>
      </c>
      <c r="K89" s="2"/>
      <c r="L89" s="2">
        <f t="shared" si="10"/>
        <v>14.95</v>
      </c>
      <c r="M89" s="2"/>
      <c r="N89" s="5">
        <f t="shared" si="11"/>
        <v>0</v>
      </c>
      <c r="O89" s="11"/>
      <c r="P89" s="2">
        <f>SUM(OSRRefP22_16x_0)</f>
        <v>190.9</v>
      </c>
      <c r="Q89" s="2"/>
      <c r="R89" s="5">
        <f t="shared" si="12"/>
        <v>2.2619227649232015E-4</v>
      </c>
      <c r="S89" s="2"/>
      <c r="T89" s="2">
        <f>SUM(OSRRefT22_16x_0)</f>
        <v>760</v>
      </c>
      <c r="U89" s="2"/>
      <c r="V89" s="5">
        <f t="shared" si="13"/>
        <v>1.1276800949625344E-3</v>
      </c>
      <c r="W89" s="2"/>
      <c r="X89" s="2">
        <f t="shared" si="14"/>
        <v>-569.1</v>
      </c>
      <c r="Y89" s="2"/>
      <c r="Z89" s="5">
        <f t="shared" si="15"/>
        <v>-0.74881578947368421</v>
      </c>
    </row>
    <row r="90" spans="1:26" s="70" customFormat="1" ht="15" hidden="1" customHeight="1" outlineLevel="2" x14ac:dyDescent="0.3">
      <c r="A90" s="21"/>
      <c r="B90" s="9" t="str">
        <f>CONCATENATE("          ","6376"," - ","TRAINING")</f>
        <v xml:space="preserve">          6376 - TRAINING</v>
      </c>
      <c r="C90" s="9"/>
      <c r="D90" s="6">
        <v>14.95</v>
      </c>
      <c r="E90" s="3"/>
      <c r="F90" s="7">
        <f t="shared" si="8"/>
        <v>4.5569112493526595E-4</v>
      </c>
      <c r="G90" s="3"/>
      <c r="H90" s="6"/>
      <c r="I90" s="3"/>
      <c r="J90" s="7">
        <f t="shared" si="9"/>
        <v>0</v>
      </c>
      <c r="K90" s="3"/>
      <c r="L90" s="6">
        <f t="shared" si="10"/>
        <v>14.95</v>
      </c>
      <c r="M90" s="3"/>
      <c r="N90" s="7">
        <f t="shared" si="11"/>
        <v>0</v>
      </c>
      <c r="O90" s="9"/>
      <c r="P90" s="6">
        <v>190.9</v>
      </c>
      <c r="Q90" s="3"/>
      <c r="R90" s="7">
        <f t="shared" si="12"/>
        <v>2.2619227649232015E-4</v>
      </c>
      <c r="S90" s="3"/>
      <c r="T90" s="6">
        <v>760</v>
      </c>
      <c r="U90" s="3"/>
      <c r="V90" s="7">
        <f t="shared" si="13"/>
        <v>1.1276800949625344E-3</v>
      </c>
      <c r="W90" s="3"/>
      <c r="X90" s="6">
        <f t="shared" si="14"/>
        <v>-569.1</v>
      </c>
      <c r="Y90" s="3"/>
      <c r="Z90" s="7">
        <f t="shared" si="15"/>
        <v>-0.74881578947368421</v>
      </c>
    </row>
    <row r="91" spans="1:26" s="69" customFormat="1" ht="15" customHeight="1" outlineLevel="1" collapsed="1" x14ac:dyDescent="0.3">
      <c r="A91" s="20"/>
      <c r="B91" s="11" t="str">
        <f>CONCATENATE("     ","Utilities                                         ")</f>
        <v xml:space="preserve">     Utilities                                         </v>
      </c>
      <c r="C91" s="11"/>
      <c r="D91" s="2">
        <f>SUM(OSRRefD22_17x_0)</f>
        <v>4115.88</v>
      </c>
      <c r="E91" s="2"/>
      <c r="F91" s="5">
        <f t="shared" si="8"/>
        <v>0.12545618644137543</v>
      </c>
      <c r="G91" s="2"/>
      <c r="H91" s="2">
        <f>SUM(OSRRefH22_17x_0)</f>
        <v>2413</v>
      </c>
      <c r="I91" s="2"/>
      <c r="J91" s="5">
        <f t="shared" si="9"/>
        <v>9.0967352785945865E-2</v>
      </c>
      <c r="K91" s="2"/>
      <c r="L91" s="2">
        <f t="shared" si="10"/>
        <v>1702.88</v>
      </c>
      <c r="M91" s="2"/>
      <c r="N91" s="5">
        <f t="shared" si="11"/>
        <v>0.7057107335267303</v>
      </c>
      <c r="O91" s="11"/>
      <c r="P91" s="2">
        <f>SUM(OSRRefP22_17x_0)</f>
        <v>31547.64</v>
      </c>
      <c r="Q91" s="2"/>
      <c r="R91" s="5">
        <f t="shared" si="12"/>
        <v>3.7379950285805021E-2</v>
      </c>
      <c r="S91" s="2"/>
      <c r="T91" s="2">
        <f>SUM(OSRRefT22_17x_0)</f>
        <v>29000</v>
      </c>
      <c r="U91" s="2"/>
      <c r="V91" s="5">
        <f t="shared" si="13"/>
        <v>4.3029898360412495E-2</v>
      </c>
      <c r="W91" s="2"/>
      <c r="X91" s="2">
        <f t="shared" si="14"/>
        <v>2547.6399999999994</v>
      </c>
      <c r="Y91" s="2"/>
      <c r="Z91" s="5">
        <f t="shared" si="15"/>
        <v>8.7849655172413776E-2</v>
      </c>
    </row>
    <row r="92" spans="1:26" s="70" customFormat="1" ht="15" hidden="1" customHeight="1" outlineLevel="2" x14ac:dyDescent="0.3">
      <c r="A92" s="21"/>
      <c r="B92" s="9" t="str">
        <f>CONCATENATE("          ","6274"," - ","UTILITIES")</f>
        <v xml:space="preserve">          6274 - UTILITIES</v>
      </c>
      <c r="C92" s="9"/>
      <c r="D92" s="6">
        <v>4115.88</v>
      </c>
      <c r="E92" s="3"/>
      <c r="F92" s="7">
        <f t="shared" si="8"/>
        <v>0.12545618644137543</v>
      </c>
      <c r="G92" s="3"/>
      <c r="H92" s="6">
        <v>2413</v>
      </c>
      <c r="I92" s="3"/>
      <c r="J92" s="7">
        <f t="shared" si="9"/>
        <v>9.0967352785945865E-2</v>
      </c>
      <c r="K92" s="3"/>
      <c r="L92" s="6">
        <f t="shared" si="10"/>
        <v>1702.88</v>
      </c>
      <c r="M92" s="3"/>
      <c r="N92" s="7">
        <f t="shared" si="11"/>
        <v>0.7057107335267303</v>
      </c>
      <c r="O92" s="9"/>
      <c r="P92" s="6">
        <v>31547.64</v>
      </c>
      <c r="Q92" s="3"/>
      <c r="R92" s="7">
        <f t="shared" si="12"/>
        <v>3.7379950285805021E-2</v>
      </c>
      <c r="S92" s="3"/>
      <c r="T92" s="6">
        <v>29000</v>
      </c>
      <c r="U92" s="3"/>
      <c r="V92" s="7">
        <f t="shared" si="13"/>
        <v>4.3029898360412495E-2</v>
      </c>
      <c r="W92" s="3"/>
      <c r="X92" s="6">
        <f t="shared" si="14"/>
        <v>2547.6399999999994</v>
      </c>
      <c r="Y92" s="3"/>
      <c r="Z92" s="7">
        <f t="shared" si="15"/>
        <v>8.7849655172413776E-2</v>
      </c>
    </row>
    <row r="93" spans="1:26" s="65" customFormat="1" ht="15" customHeight="1" x14ac:dyDescent="0.3">
      <c r="A93" s="36"/>
      <c r="B93" s="36"/>
      <c r="C93" s="36"/>
      <c r="D93" s="2"/>
      <c r="E93" s="2"/>
      <c r="F93" s="5"/>
      <c r="G93" s="2"/>
      <c r="H93" s="2"/>
      <c r="I93" s="2"/>
      <c r="J93" s="5"/>
      <c r="K93" s="2"/>
      <c r="L93" s="2"/>
      <c r="M93" s="2"/>
      <c r="N93" s="5"/>
      <c r="O93" s="36"/>
      <c r="P93" s="2"/>
      <c r="Q93" s="2"/>
      <c r="R93" s="5"/>
      <c r="S93" s="2"/>
      <c r="T93" s="2"/>
      <c r="U93" s="2"/>
      <c r="V93" s="5"/>
      <c r="W93" s="2"/>
      <c r="X93" s="2"/>
      <c r="Y93" s="2"/>
      <c r="Z93" s="5"/>
    </row>
    <row r="94" spans="1:26" s="63" customFormat="1" ht="15" customHeight="1" collapsed="1" x14ac:dyDescent="0.3">
      <c r="A94" s="13"/>
      <c r="B94" s="28" t="s">
        <v>291</v>
      </c>
      <c r="C94" s="13"/>
      <c r="D94" s="8">
        <f>SUM(OSRRefD25x_0)</f>
        <v>13.55</v>
      </c>
      <c r="E94" s="8"/>
      <c r="F94" s="14">
        <f>IF(D$12=0,0,D94/D$12)</f>
        <v>4.1301770855336817E-4</v>
      </c>
      <c r="G94" s="8"/>
      <c r="H94" s="8">
        <f>SUM(OSRRefH25x_0)</f>
        <v>0</v>
      </c>
      <c r="I94" s="8"/>
      <c r="J94" s="14">
        <f>IF(H$12=0,0,H94/H$12)</f>
        <v>0</v>
      </c>
      <c r="K94" s="8"/>
      <c r="L94" s="8">
        <f>+D94-H94</f>
        <v>13.55</v>
      </c>
      <c r="M94" s="8"/>
      <c r="N94" s="14">
        <f>IF(H94=0,0,L94/H94)</f>
        <v>0</v>
      </c>
      <c r="O94" s="13"/>
      <c r="P94" s="8">
        <f>SUM(OSRRefP25x_0)</f>
        <v>19.579999999999998</v>
      </c>
      <c r="Q94" s="8"/>
      <c r="R94" s="14">
        <f>IF(P$12=0,0,P94/P$12)</f>
        <v>2.3199815472601506E-5</v>
      </c>
      <c r="S94" s="8"/>
      <c r="T94" s="8">
        <f>SUM(OSRRefT25x_0)</f>
        <v>0</v>
      </c>
      <c r="U94" s="8"/>
      <c r="V94" s="14">
        <f>IF(T$12=0,0,T94/T$12)</f>
        <v>0</v>
      </c>
      <c r="W94" s="8"/>
      <c r="X94" s="8">
        <f>+P94-T94</f>
        <v>19.579999999999998</v>
      </c>
      <c r="Y94" s="8"/>
      <c r="Z94" s="14">
        <f>IF(T94=0,0,X94/T94)</f>
        <v>0</v>
      </c>
    </row>
    <row r="95" spans="1:26" s="70" customFormat="1" ht="15" hidden="1" customHeight="1" outlineLevel="1" x14ac:dyDescent="0.3">
      <c r="A95" s="48"/>
      <c r="B95" s="9" t="str">
        <f>CONCATENATE("          ","9150"," - ","MISC. INCOME")</f>
        <v xml:space="preserve">          9150 - MISC. INCOME</v>
      </c>
      <c r="C95" s="9"/>
      <c r="D95" s="3">
        <f>--13.55</f>
        <v>13.55</v>
      </c>
      <c r="E95" s="3"/>
      <c r="F95" s="26">
        <f>IF(D$12=0,0,D95/D$12)</f>
        <v>4.1301770855336817E-4</v>
      </c>
      <c r="G95" s="3"/>
      <c r="H95" s="3"/>
      <c r="I95" s="3"/>
      <c r="J95" s="26">
        <f>IF(H$12=0,0,H95/H$12)</f>
        <v>0</v>
      </c>
      <c r="K95" s="3"/>
      <c r="L95" s="3">
        <f>+D95-H95</f>
        <v>13.55</v>
      </c>
      <c r="M95" s="3"/>
      <c r="N95" s="26">
        <f>IF(H95=0,0,L95/H95)</f>
        <v>0</v>
      </c>
      <c r="O95" s="9"/>
      <c r="P95" s="3">
        <f>--19.58</f>
        <v>19.579999999999998</v>
      </c>
      <c r="Q95" s="3"/>
      <c r="R95" s="26">
        <f>IF(P$12=0,0,P95/P$12)</f>
        <v>2.3199815472601506E-5</v>
      </c>
      <c r="S95" s="3"/>
      <c r="T95" s="3"/>
      <c r="U95" s="3"/>
      <c r="V95" s="26">
        <f>IF(T$12=0,0,T95/T$12)</f>
        <v>0</v>
      </c>
      <c r="W95" s="3"/>
      <c r="X95" s="3">
        <f>+P95-T95</f>
        <v>19.579999999999998</v>
      </c>
      <c r="Y95" s="3"/>
      <c r="Z95" s="26">
        <f>IF(T95=0,0,X95/T95)</f>
        <v>0</v>
      </c>
    </row>
    <row r="96" spans="1:26" ht="15" customHeight="1" x14ac:dyDescent="0.3">
      <c r="A96" s="12"/>
      <c r="B96" s="13"/>
      <c r="C96" s="13"/>
      <c r="D96" s="4"/>
      <c r="E96" s="4"/>
      <c r="F96" s="10"/>
      <c r="G96" s="4"/>
      <c r="H96" s="4"/>
      <c r="I96" s="4"/>
      <c r="J96" s="10"/>
      <c r="K96" s="4"/>
      <c r="L96" s="4"/>
      <c r="M96" s="4"/>
      <c r="N96" s="10"/>
      <c r="O96" s="13"/>
      <c r="P96" s="4"/>
      <c r="Q96" s="4"/>
      <c r="R96" s="10"/>
      <c r="S96" s="4"/>
      <c r="T96" s="4"/>
      <c r="U96" s="4"/>
      <c r="V96" s="10"/>
      <c r="W96" s="4"/>
      <c r="X96" s="4"/>
      <c r="Y96" s="4"/>
      <c r="Z96" s="10"/>
    </row>
    <row r="97" spans="1:26" s="63" customFormat="1" ht="15" customHeight="1" x14ac:dyDescent="0.3">
      <c r="A97" s="13"/>
      <c r="B97" s="27" t="s">
        <v>292</v>
      </c>
      <c r="C97" s="27"/>
      <c r="D97" s="23">
        <f>+D23-D25+D94</f>
        <v>-41760.620000000003</v>
      </c>
      <c r="E97" s="15"/>
      <c r="F97" s="22">
        <f>IF(D$12=0,0,D97/D$12)</f>
        <v>-1.2729059468758641</v>
      </c>
      <c r="G97" s="15"/>
      <c r="H97" s="23">
        <f>+H23-H25+H94</f>
        <v>-28901.147065272919</v>
      </c>
      <c r="I97" s="15"/>
      <c r="J97" s="22">
        <f>IF(H$12=0,0,H97/H$12)</f>
        <v>-1.0895403402425137</v>
      </c>
      <c r="K97" s="17"/>
      <c r="L97" s="23">
        <f>+D97-H97</f>
        <v>-12859.472934727084</v>
      </c>
      <c r="M97" s="17"/>
      <c r="N97" s="22">
        <f>IF(H97=0,0,L97/H97)</f>
        <v>0.44494680109699825</v>
      </c>
      <c r="O97" s="28"/>
      <c r="P97" s="23">
        <f>+P23-P25+P94</f>
        <v>-389023.31999999989</v>
      </c>
      <c r="Q97" s="15"/>
      <c r="R97" s="22">
        <f>IF(P$12=0,0,P97/P$12)</f>
        <v>-0.46094327060974494</v>
      </c>
      <c r="S97" s="15"/>
      <c r="T97" s="23">
        <f>+T23-T25+T94</f>
        <v>-239819.78880830365</v>
      </c>
      <c r="U97" s="15"/>
      <c r="V97" s="22">
        <f>IF(T$12=0,0,T97/T$12)</f>
        <v>-0.35584210818058259</v>
      </c>
      <c r="W97" s="17"/>
      <c r="X97" s="23">
        <f>+P97-T97</f>
        <v>-149203.53119169624</v>
      </c>
      <c r="Y97" s="17"/>
      <c r="Z97" s="22">
        <f>IF(T97=0,0,X97/T97)</f>
        <v>0.62214853883871879</v>
      </c>
    </row>
    <row r="98" spans="1:26" ht="15" customHeight="1" x14ac:dyDescent="0.3">
      <c r="A98" s="12"/>
      <c r="B98" s="13"/>
      <c r="C98" s="12"/>
      <c r="D98" s="4"/>
      <c r="E98" s="4"/>
      <c r="F98" s="10"/>
      <c r="G98" s="4"/>
      <c r="H98" s="4"/>
      <c r="I98" s="4"/>
      <c r="J98" s="10"/>
      <c r="K98" s="4"/>
      <c r="L98" s="4"/>
      <c r="M98" s="4"/>
      <c r="N98" s="10"/>
      <c r="P98" s="4"/>
      <c r="Q98" s="4"/>
      <c r="R98" s="10"/>
      <c r="S98" s="4"/>
      <c r="T98" s="4"/>
      <c r="U98" s="4"/>
      <c r="V98" s="10"/>
      <c r="W98" s="4"/>
      <c r="X98" s="4"/>
      <c r="Y98" s="4"/>
      <c r="Z98" s="10"/>
    </row>
    <row r="99" spans="1:26" s="63" customFormat="1" ht="15" customHeight="1" x14ac:dyDescent="0.3">
      <c r="A99" s="49"/>
      <c r="B99" s="13" t="s">
        <v>293</v>
      </c>
      <c r="C99" s="13"/>
      <c r="D99" s="8">
        <v>-188495.98</v>
      </c>
      <c r="E99" s="8"/>
      <c r="F99" s="14">
        <f>IF(D$12=0,0,D99/D$12)</f>
        <v>-5.7455481720384887</v>
      </c>
      <c r="G99" s="8"/>
      <c r="H99" s="8">
        <v>-3834</v>
      </c>
      <c r="I99" s="8"/>
      <c r="J99" s="14">
        <f>IF(H$12=0,0,H99/H$12)</f>
        <v>-0.14453743496946392</v>
      </c>
      <c r="K99" s="8"/>
      <c r="L99" s="8">
        <f>+D99-H99</f>
        <v>-184661.98</v>
      </c>
      <c r="M99" s="8"/>
      <c r="N99" s="14">
        <f>IF(H99=0,0,L99/H99)</f>
        <v>48.164314032342205</v>
      </c>
      <c r="O99" s="13"/>
      <c r="P99" s="8">
        <v>-97300.479999999996</v>
      </c>
      <c r="Q99" s="8"/>
      <c r="R99" s="14">
        <f>IF(P$12=0,0,P99/P$12)</f>
        <v>-0.11528872223674942</v>
      </c>
      <c r="S99" s="8"/>
      <c r="T99" s="8">
        <v>76423</v>
      </c>
      <c r="U99" s="8"/>
      <c r="V99" s="14">
        <f>IF(T$12=0,0,T99/T$12)</f>
        <v>0.113395652496476</v>
      </c>
      <c r="W99" s="8"/>
      <c r="X99" s="8">
        <f>+P99-T99</f>
        <v>-173723.47999999998</v>
      </c>
      <c r="Y99" s="8"/>
      <c r="Z99" s="14">
        <f>IF(T99=0,0,X99/T99)</f>
        <v>-2.2731832040092641</v>
      </c>
    </row>
    <row r="100" spans="1:26" ht="15" customHeight="1" x14ac:dyDescent="0.3">
      <c r="A100" s="12"/>
      <c r="B100" s="13"/>
      <c r="C100" s="13"/>
      <c r="D100" s="4"/>
      <c r="E100" s="4"/>
      <c r="F100" s="10"/>
      <c r="G100" s="4"/>
      <c r="H100" s="4"/>
      <c r="I100" s="4"/>
      <c r="J100" s="10"/>
      <c r="K100" s="4"/>
      <c r="L100" s="4"/>
      <c r="M100" s="4"/>
      <c r="N100" s="10"/>
      <c r="O100" s="13"/>
      <c r="P100" s="4"/>
      <c r="Q100" s="4"/>
      <c r="R100" s="10"/>
      <c r="S100" s="4"/>
      <c r="T100" s="4"/>
      <c r="U100" s="4"/>
      <c r="V100" s="10"/>
      <c r="W100" s="4"/>
      <c r="X100" s="4"/>
      <c r="Y100" s="4"/>
      <c r="Z100" s="10"/>
    </row>
    <row r="101" spans="1:26" s="63" customFormat="1" ht="15" customHeight="1" x14ac:dyDescent="0.3">
      <c r="A101" s="13"/>
      <c r="B101" s="27" t="s">
        <v>294</v>
      </c>
      <c r="C101" s="27"/>
      <c r="D101" s="30">
        <f>+D97-D99</f>
        <v>146735.36000000002</v>
      </c>
      <c r="E101" s="15"/>
      <c r="F101" s="35">
        <f>IF(D$12=0,0,D101/D$12)</f>
        <v>4.472642225162625</v>
      </c>
      <c r="G101" s="15"/>
      <c r="H101" s="30">
        <f>+H97-H99</f>
        <v>-25067.147065272919</v>
      </c>
      <c r="I101" s="15"/>
      <c r="J101" s="35">
        <f>IF(H$12=0,0,H101/H$12)</f>
        <v>-0.94500290527304975</v>
      </c>
      <c r="K101" s="17"/>
      <c r="L101" s="30">
        <f>D101-H101</f>
        <v>171802.50706527295</v>
      </c>
      <c r="M101" s="17"/>
      <c r="N101" s="35">
        <f>IF(H101=0,0,L101/H101)</f>
        <v>-6.8536920702588322</v>
      </c>
      <c r="O101" s="28"/>
      <c r="P101" s="30">
        <f>+P97-P99</f>
        <v>-291722.83999999991</v>
      </c>
      <c r="Q101" s="15"/>
      <c r="R101" s="35">
        <f>IF(P$12=0,0,P101/P$12)</f>
        <v>-0.34565454837299553</v>
      </c>
      <c r="S101" s="15"/>
      <c r="T101" s="30">
        <f>+T97-T99</f>
        <v>-316242.78880830365</v>
      </c>
      <c r="U101" s="15"/>
      <c r="V101" s="35">
        <f>IF(T$12=0,0,T101/T$12)</f>
        <v>-0.46923776067705864</v>
      </c>
      <c r="W101" s="17"/>
      <c r="X101" s="30">
        <f>P101-T101</f>
        <v>24519.948808303743</v>
      </c>
      <c r="Y101" s="17"/>
      <c r="Z101" s="35">
        <f>IF(T101=0,0,X101/T101)</f>
        <v>-7.7535202939178982E-2</v>
      </c>
    </row>
    <row r="102" spans="1:26" ht="15" customHeight="1" x14ac:dyDescent="0.3">
      <c r="A102" s="12"/>
      <c r="B102" s="12"/>
      <c r="C102" s="12"/>
      <c r="D102" s="4"/>
      <c r="E102" s="4"/>
      <c r="F102" s="10"/>
      <c r="G102" s="4"/>
      <c r="H102" s="4"/>
      <c r="I102" s="4"/>
      <c r="J102" s="10"/>
      <c r="K102" s="4"/>
      <c r="L102" s="4"/>
      <c r="M102" s="4"/>
      <c r="N102" s="10"/>
      <c r="P102" s="4"/>
      <c r="Q102" s="4"/>
      <c r="R102" s="10"/>
      <c r="S102" s="4"/>
      <c r="T102" s="4"/>
      <c r="U102" s="4"/>
      <c r="V102" s="10"/>
      <c r="W102" s="4"/>
      <c r="X102" s="4"/>
      <c r="Y102" s="4"/>
      <c r="Z102" s="10"/>
    </row>
    <row r="103" spans="1:26" ht="15" customHeight="1" x14ac:dyDescent="0.3">
      <c r="A103" s="12"/>
      <c r="B103" s="12"/>
      <c r="C103" s="12"/>
      <c r="D103" s="4"/>
      <c r="E103" s="4"/>
      <c r="F103" s="10"/>
      <c r="G103" s="4"/>
      <c r="H103" s="4"/>
      <c r="I103" s="4"/>
      <c r="J103" s="10"/>
      <c r="K103" s="4"/>
      <c r="L103" s="4"/>
      <c r="M103" s="4"/>
      <c r="N103" s="10"/>
      <c r="P103" s="4"/>
      <c r="Q103" s="4"/>
      <c r="R103" s="10"/>
      <c r="S103" s="4"/>
      <c r="T103" s="4"/>
      <c r="U103" s="4"/>
      <c r="V103" s="10"/>
      <c r="W103" s="4"/>
      <c r="X103" s="4"/>
      <c r="Y103" s="4"/>
      <c r="Z103" s="10"/>
    </row>
    <row r="104" spans="1:26" s="63" customFormat="1" ht="15" customHeight="1" x14ac:dyDescent="0.3">
      <c r="A104" s="13"/>
      <c r="B104" s="27" t="s">
        <v>297</v>
      </c>
      <c r="C104" s="27"/>
      <c r="D104" s="33">
        <f>SUM(D101:D103)</f>
        <v>146735.36000000002</v>
      </c>
      <c r="E104" s="15"/>
      <c r="F104" s="31">
        <f>IF(D$12=0,0,D104/D$12)</f>
        <v>4.472642225162625</v>
      </c>
      <c r="G104" s="15"/>
      <c r="H104" s="33">
        <f>SUM(H101:H103)</f>
        <v>-25067.147065272919</v>
      </c>
      <c r="I104" s="15"/>
      <c r="J104" s="31">
        <f>IF(H$12=0,0,H104/H$12)</f>
        <v>-0.94500290527304975</v>
      </c>
      <c r="K104" s="17"/>
      <c r="L104" s="33">
        <f>+D104-H104</f>
        <v>171802.50706527295</v>
      </c>
      <c r="M104" s="17"/>
      <c r="N104" s="31">
        <f>IF(H104=0,0,L104/H104)</f>
        <v>-6.8536920702588322</v>
      </c>
      <c r="O104" s="28"/>
      <c r="P104" s="33">
        <f>SUM(P101:P103)</f>
        <v>-291722.83999999991</v>
      </c>
      <c r="Q104" s="15"/>
      <c r="R104" s="31">
        <f>IF(P$12=0,0,P104/P$12)</f>
        <v>-0.34565454837299553</v>
      </c>
      <c r="S104" s="15"/>
      <c r="T104" s="33">
        <f>SUM(T101:T103)</f>
        <v>-316242.78880830365</v>
      </c>
      <c r="U104" s="15"/>
      <c r="V104" s="31">
        <f>IF(T$12=0,0,T104/T$12)</f>
        <v>-0.46923776067705864</v>
      </c>
      <c r="W104" s="17"/>
      <c r="X104" s="33">
        <f>+P104-T104</f>
        <v>24519.948808303743</v>
      </c>
      <c r="Y104" s="17"/>
      <c r="Z104" s="31">
        <f>IF(T104=0,0,X104/T104)</f>
        <v>-7.7535202939178982E-2</v>
      </c>
    </row>
    <row r="105" spans="1:26" ht="15" customHeight="1" x14ac:dyDescent="0.3">
      <c r="A105" s="12"/>
      <c r="C105" s="12"/>
      <c r="D105" s="19"/>
      <c r="E105" s="19"/>
      <c r="G105" s="19"/>
      <c r="H105" s="19"/>
      <c r="I105" s="19"/>
      <c r="J105" s="41"/>
      <c r="K105" s="19"/>
      <c r="L105" s="19"/>
      <c r="M105" s="19"/>
      <c r="P105" s="19"/>
      <c r="Q105" s="19"/>
      <c r="R105" s="41"/>
      <c r="S105" s="19"/>
      <c r="T105" s="19"/>
      <c r="U105" s="19"/>
      <c r="V105" s="41"/>
      <c r="W105" s="19"/>
      <c r="X105" s="19"/>
    </row>
    <row r="106" spans="1:26" ht="15" customHeight="1" x14ac:dyDescent="0.3">
      <c r="A106" s="12"/>
      <c r="B106" s="50">
        <v>44767.799547766204</v>
      </c>
      <c r="D106" s="19"/>
      <c r="E106" s="19"/>
      <c r="G106" s="19"/>
      <c r="H106" s="19"/>
      <c r="I106" s="19"/>
      <c r="J106" s="41"/>
      <c r="K106" s="19"/>
      <c r="L106" s="19"/>
      <c r="M106" s="19"/>
      <c r="P106" s="19"/>
      <c r="Q106" s="19"/>
      <c r="R106" s="41"/>
      <c r="S106" s="19"/>
      <c r="T106" s="19"/>
      <c r="U106" s="19"/>
      <c r="V106" s="41"/>
      <c r="W106" s="19"/>
      <c r="X106" s="19"/>
    </row>
    <row r="107" spans="1:26" ht="15" customHeight="1" x14ac:dyDescent="0.3">
      <c r="A107" s="12"/>
      <c r="B107" s="57" t="s">
        <v>298</v>
      </c>
      <c r="D107" s="19"/>
      <c r="E107" s="19"/>
      <c r="G107" s="19"/>
      <c r="H107" s="19"/>
      <c r="I107" s="19"/>
      <c r="J107" s="41"/>
      <c r="K107" s="19"/>
      <c r="L107" s="19"/>
      <c r="M107" s="19"/>
      <c r="P107" s="19"/>
      <c r="Q107" s="19"/>
      <c r="R107" s="41"/>
      <c r="S107" s="19"/>
      <c r="T107" s="19"/>
      <c r="U107" s="19"/>
      <c r="V107" s="41"/>
      <c r="W107" s="19"/>
      <c r="X107" s="19"/>
    </row>
    <row r="108" spans="1:26" ht="15" customHeight="1" x14ac:dyDescent="0.3">
      <c r="A108" s="12"/>
      <c r="B108" s="51"/>
      <c r="D108" s="19"/>
      <c r="E108" s="19"/>
      <c r="G108" s="19"/>
      <c r="H108" s="19"/>
      <c r="I108" s="19"/>
      <c r="J108" s="41"/>
      <c r="K108" s="19"/>
      <c r="L108" s="19"/>
      <c r="M108" s="19"/>
      <c r="P108" s="19"/>
      <c r="Q108" s="19"/>
      <c r="R108" s="41"/>
      <c r="S108" s="19"/>
      <c r="T108" s="19"/>
      <c r="U108" s="19"/>
      <c r="V108" s="41"/>
      <c r="W108" s="19"/>
      <c r="X108" s="19"/>
    </row>
    <row r="109" spans="1:26" ht="15" customHeight="1" x14ac:dyDescent="0.3">
      <c r="D109" s="19"/>
      <c r="E109" s="19"/>
      <c r="G109" s="19"/>
      <c r="H109" s="19"/>
      <c r="I109" s="19"/>
      <c r="J109" s="41"/>
      <c r="K109" s="19"/>
      <c r="L109" s="19"/>
      <c r="M109" s="19"/>
      <c r="P109" s="19"/>
      <c r="Q109" s="19"/>
      <c r="R109" s="41"/>
      <c r="S109" s="19"/>
      <c r="T109" s="19"/>
      <c r="U109" s="19"/>
      <c r="V109" s="41"/>
      <c r="W109" s="19"/>
      <c r="X109" s="19"/>
    </row>
  </sheetData>
  <pageMargins left="0.25" right="0.25" top="0.75" bottom="0.75" header="0.3" footer="0.3"/>
  <pageSetup scale="55" orientation="landscape" r:id="rId1"/>
  <headerFooter>
    <oddHeader>&amp;RPre-Audit</oddHeader>
    <oddFooter>&amp;L&amp;C&amp;R</oddFooter>
    <evenHeader>&amp;L&amp;C&amp;R</evenHeader>
    <evenFooter>&amp;L&amp;C&amp;R</evenFoot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177FBA-793B-9FF2-FE7F-63D9761C1E0E}">
  <sheetPr>
    <tabColor rgb="FF92D050"/>
    <outlinePr summaryBelow="0" summaryRight="0"/>
  </sheetPr>
  <dimension ref="A2:Z103"/>
  <sheetViews>
    <sheetView showGridLines="0" defaultGridColor="0" colorId="8" zoomScale="80" workbookViewId="0">
      <pane xSplit="3" ySplit="10" topLeftCell="D11" activePane="bottomRight" state="frozen"/>
      <selection activeCell="D78" sqref="D78"/>
      <selection pane="topRight" activeCell="D78" sqref="D78"/>
      <selection pane="bottomLeft" activeCell="D78" sqref="D78"/>
      <selection pane="bottomRight" activeCell="D78" sqref="D78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3" t="s">
        <v>276</v>
      </c>
    </row>
    <row r="3" spans="1:26" ht="15" customHeight="1" x14ac:dyDescent="0.3">
      <c r="D3" s="53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3" t="str">
        <f>CONCATENATE("Period ",RIGHT(202212,2),", ",2022)</f>
        <v>Period 12,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5"/>
      <c r="D5" s="60">
        <v>44742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5"/>
      <c r="B6" s="47"/>
      <c r="C6" s="47"/>
      <c r="D6" s="25" t="str">
        <f>CONCATENATE("Department ","418"," - ","Nugget")</f>
        <v>Department 418 - Nugget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4"/>
    </row>
    <row r="8" spans="1:26" ht="15" customHeight="1" x14ac:dyDescent="0.3">
      <c r="B8" s="54"/>
    </row>
    <row r="9" spans="1:26" ht="15" customHeight="1" x14ac:dyDescent="0.3">
      <c r="B9" s="12"/>
      <c r="C9" s="12"/>
      <c r="D9" s="16" t="s">
        <v>279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280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ht="15" customHeight="1" x14ac:dyDescent="0.3">
      <c r="A10" s="13"/>
      <c r="B10" s="52"/>
      <c r="C10" s="13"/>
      <c r="D10" s="40" t="s">
        <v>281</v>
      </c>
      <c r="E10" s="32"/>
      <c r="F10" s="39" t="s">
        <v>282</v>
      </c>
      <c r="G10" s="32"/>
      <c r="H10" s="45" t="s">
        <v>283</v>
      </c>
      <c r="I10" s="32"/>
      <c r="J10" s="42" t="s">
        <v>284</v>
      </c>
      <c r="K10" s="13"/>
      <c r="L10" s="40" t="s">
        <v>285</v>
      </c>
      <c r="M10" s="13"/>
      <c r="N10" s="39" t="s">
        <v>286</v>
      </c>
      <c r="O10" s="13"/>
      <c r="P10" s="55" t="s">
        <v>281</v>
      </c>
      <c r="Q10" s="32"/>
      <c r="R10" s="39" t="s">
        <v>282</v>
      </c>
      <c r="S10" s="32"/>
      <c r="T10" s="45" t="s">
        <v>283</v>
      </c>
      <c r="U10" s="32"/>
      <c r="V10" s="42" t="s">
        <v>284</v>
      </c>
      <c r="W10" s="13"/>
      <c r="X10" s="40" t="s">
        <v>285</v>
      </c>
      <c r="Y10" s="13"/>
      <c r="Z10" s="39" t="s">
        <v>286</v>
      </c>
    </row>
    <row r="11" spans="1:26" ht="16.5" customHeight="1" x14ac:dyDescent="0.3">
      <c r="A11" s="12"/>
      <c r="B11" s="58"/>
      <c r="C11" s="12"/>
      <c r="D11" s="12"/>
      <c r="E11" s="12"/>
      <c r="F11" s="10"/>
      <c r="G11" s="12"/>
      <c r="H11" s="12"/>
      <c r="I11" s="12"/>
      <c r="J11" s="43"/>
      <c r="K11" s="12"/>
      <c r="L11" s="12"/>
      <c r="M11" s="12"/>
      <c r="N11" s="10"/>
      <c r="P11" s="12"/>
      <c r="Q11" s="12"/>
      <c r="R11" s="10"/>
      <c r="S11" s="12"/>
      <c r="T11" s="12"/>
      <c r="U11" s="12"/>
      <c r="V11" s="43"/>
      <c r="W11" s="12"/>
      <c r="X11" s="12"/>
      <c r="Y11" s="12"/>
      <c r="Z11" s="10"/>
    </row>
    <row r="12" spans="1:26" s="63" customFormat="1" ht="15" customHeight="1" collapsed="1" x14ac:dyDescent="0.3">
      <c r="A12" s="13"/>
      <c r="B12" s="28" t="s">
        <v>287</v>
      </c>
      <c r="C12" s="13"/>
      <c r="D12" s="8">
        <f>SUM(OSRRefD13x_0)</f>
        <v>0</v>
      </c>
      <c r="E12" s="8"/>
      <c r="F12" s="14"/>
      <c r="G12" s="8"/>
      <c r="H12" s="8">
        <f>SUM(OSRRefH13x_0)</f>
        <v>43661</v>
      </c>
      <c r="I12" s="8"/>
      <c r="J12" s="14"/>
      <c r="K12" s="8"/>
      <c r="L12" s="8">
        <f>+D12-H12</f>
        <v>-43661</v>
      </c>
      <c r="M12" s="8"/>
      <c r="N12" s="14">
        <f>IF(H12=0,0,L12/H12)</f>
        <v>-1</v>
      </c>
      <c r="O12" s="13"/>
      <c r="P12" s="8">
        <f>SUM(OSRRefP13x_0)</f>
        <v>0</v>
      </c>
      <c r="Q12" s="8"/>
      <c r="R12" s="14"/>
      <c r="S12" s="8"/>
      <c r="T12" s="8">
        <f>SUM(OSRRefT13x_0)</f>
        <v>965192</v>
      </c>
      <c r="U12" s="8"/>
      <c r="V12" s="14"/>
      <c r="W12" s="8"/>
      <c r="X12" s="8">
        <f>+P12-T12</f>
        <v>-965192</v>
      </c>
      <c r="Y12" s="8"/>
      <c r="Z12" s="14">
        <f>IF(T12=0,0,X12/T12)</f>
        <v>-1</v>
      </c>
    </row>
    <row r="13" spans="1:26" s="70" customFormat="1" ht="15" hidden="1" customHeight="1" outlineLevel="1" x14ac:dyDescent="0.3">
      <c r="A13" s="48"/>
      <c r="B13" s="9" t="str">
        <f>CONCATENATE("          ","4000"," - ","TAXABLE SALES")</f>
        <v xml:space="preserve">          4000 - TAXABLE SALES</v>
      </c>
      <c r="C13" s="9"/>
      <c r="D13" s="3">
        <f>0</f>
        <v>0</v>
      </c>
      <c r="E13" s="3"/>
      <c r="F13" s="26"/>
      <c r="G13" s="3"/>
      <c r="H13" s="3">
        <v>28074</v>
      </c>
      <c r="I13" s="3"/>
      <c r="J13" s="26"/>
      <c r="K13" s="3"/>
      <c r="L13" s="3">
        <f>+D13-H13</f>
        <v>-28074</v>
      </c>
      <c r="M13" s="3"/>
      <c r="N13" s="26">
        <f>IF(H13=0,0,L13/H13)</f>
        <v>-1</v>
      </c>
      <c r="O13" s="9"/>
      <c r="P13" s="3">
        <f>0</f>
        <v>0</v>
      </c>
      <c r="Q13" s="3"/>
      <c r="R13" s="26"/>
      <c r="S13" s="3"/>
      <c r="T13" s="3">
        <v>557356</v>
      </c>
      <c r="U13" s="3"/>
      <c r="V13" s="26"/>
      <c r="W13" s="3"/>
      <c r="X13" s="3">
        <f>+P13-T13</f>
        <v>-557356</v>
      </c>
      <c r="Y13" s="3"/>
      <c r="Z13" s="26">
        <f>IF(T13=0,0,X13/T13)</f>
        <v>-1</v>
      </c>
    </row>
    <row r="14" spans="1:26" s="70" customFormat="1" ht="15" hidden="1" customHeight="1" outlineLevel="1" x14ac:dyDescent="0.3">
      <c r="A14" s="48"/>
      <c r="B14" s="9" t="str">
        <f>CONCATENATE("          ","4100"," - ","NON-TAXABLE SALES")</f>
        <v xml:space="preserve">          4100 - NON-TAXABLE SALES</v>
      </c>
      <c r="C14" s="9"/>
      <c r="D14" s="3">
        <f>0</f>
        <v>0</v>
      </c>
      <c r="E14" s="3"/>
      <c r="F14" s="26"/>
      <c r="G14" s="3"/>
      <c r="H14" s="3">
        <v>15587</v>
      </c>
      <c r="I14" s="3"/>
      <c r="J14" s="26"/>
      <c r="K14" s="3"/>
      <c r="L14" s="3">
        <f>+D14-H14</f>
        <v>-15587</v>
      </c>
      <c r="M14" s="3"/>
      <c r="N14" s="26">
        <f>IF(H14=0,0,L14/H14)</f>
        <v>-1</v>
      </c>
      <c r="O14" s="9"/>
      <c r="P14" s="3">
        <f>0</f>
        <v>0</v>
      </c>
      <c r="Q14" s="3"/>
      <c r="R14" s="26"/>
      <c r="S14" s="3"/>
      <c r="T14" s="3">
        <v>407836</v>
      </c>
      <c r="U14" s="3"/>
      <c r="V14" s="26"/>
      <c r="W14" s="3"/>
      <c r="X14" s="3">
        <f>+P14-T14</f>
        <v>-407836</v>
      </c>
      <c r="Y14" s="3"/>
      <c r="Z14" s="26">
        <f>IF(T14=0,0,X14/T14)</f>
        <v>-1</v>
      </c>
    </row>
    <row r="15" spans="1:26" ht="15" customHeight="1" x14ac:dyDescent="0.3">
      <c r="A15" s="12"/>
      <c r="B15" s="13"/>
      <c r="C15" s="12"/>
      <c r="D15" s="4"/>
      <c r="E15" s="4"/>
      <c r="F15" s="10"/>
      <c r="G15" s="4"/>
      <c r="H15" s="4"/>
      <c r="I15" s="4"/>
      <c r="J15" s="10"/>
      <c r="K15" s="4"/>
      <c r="L15" s="4"/>
      <c r="M15" s="4"/>
      <c r="N15" s="10"/>
      <c r="P15" s="4"/>
      <c r="Q15" s="4"/>
      <c r="R15" s="10"/>
      <c r="S15" s="4"/>
      <c r="T15" s="4"/>
      <c r="U15" s="4"/>
      <c r="V15" s="10"/>
      <c r="W15" s="4"/>
      <c r="X15" s="4"/>
      <c r="Y15" s="4"/>
      <c r="Z15" s="10"/>
    </row>
    <row r="16" spans="1:26" s="63" customFormat="1" ht="15" customHeight="1" collapsed="1" x14ac:dyDescent="0.3">
      <c r="A16" s="13"/>
      <c r="B16" s="28" t="s">
        <v>288</v>
      </c>
      <c r="C16" s="13"/>
      <c r="D16" s="8">
        <f>SUM(OSRRefD16x_0)</f>
        <v>793</v>
      </c>
      <c r="E16" s="8"/>
      <c r="F16" s="14">
        <f>IF(D$12=0,0,D16/D$12)</f>
        <v>0</v>
      </c>
      <c r="G16" s="8"/>
      <c r="H16" s="8">
        <f>SUM(OSRRefH16x_0)</f>
        <v>14845</v>
      </c>
      <c r="I16" s="8"/>
      <c r="J16" s="14">
        <f>IF(H$12=0,0,H16/H$12)</f>
        <v>0.3400059549712558</v>
      </c>
      <c r="K16" s="8"/>
      <c r="L16" s="8">
        <f>+D16-H16</f>
        <v>-14052</v>
      </c>
      <c r="M16" s="8"/>
      <c r="N16" s="14">
        <f>IF(H16=0,0,L16/H16)</f>
        <v>-0.94658134051869314</v>
      </c>
      <c r="O16" s="13"/>
      <c r="P16" s="8">
        <f>SUM(OSRRefP16x_0)</f>
        <v>1961.02</v>
      </c>
      <c r="Q16" s="8"/>
      <c r="R16" s="14">
        <f>IF(P$12=0,0,P16/P$12)</f>
        <v>0</v>
      </c>
      <c r="S16" s="8"/>
      <c r="T16" s="8">
        <f>SUM(OSRRefT16x_0)</f>
        <v>328039</v>
      </c>
      <c r="U16" s="8"/>
      <c r="V16" s="14">
        <f>IF(T$12=0,0,T16/T$12)</f>
        <v>0.33986916592760819</v>
      </c>
      <c r="W16" s="8"/>
      <c r="X16" s="8">
        <f>+P16-T16</f>
        <v>-326077.98</v>
      </c>
      <c r="Y16" s="8"/>
      <c r="Z16" s="14">
        <f>IF(T16=0,0,X16/T16)</f>
        <v>-0.99402199128762125</v>
      </c>
    </row>
    <row r="17" spans="1:26" s="70" customFormat="1" ht="15" hidden="1" customHeight="1" outlineLevel="1" x14ac:dyDescent="0.3">
      <c r="A17" s="48"/>
      <c r="B17" s="9" t="str">
        <f>CONCATENATE("          ","5000"," - ","PURCHASES @ COST")</f>
        <v xml:space="preserve">          5000 - PURCHASES @ COST</v>
      </c>
      <c r="C17" s="9"/>
      <c r="D17" s="3"/>
      <c r="E17" s="3"/>
      <c r="F17" s="26">
        <f>IF(D$12=0,0,D17/D$12)</f>
        <v>0</v>
      </c>
      <c r="G17" s="3"/>
      <c r="H17" s="3">
        <v>14845</v>
      </c>
      <c r="I17" s="3"/>
      <c r="J17" s="26">
        <f>IF(H$12=0,0,H17/H$12)</f>
        <v>0.3400059549712558</v>
      </c>
      <c r="K17" s="3"/>
      <c r="L17" s="3">
        <f>+D17-H17</f>
        <v>-14845</v>
      </c>
      <c r="M17" s="3"/>
      <c r="N17" s="26">
        <f>IF(H17=0,0,L17/H17)</f>
        <v>-1</v>
      </c>
      <c r="O17" s="9"/>
      <c r="P17" s="3"/>
      <c r="Q17" s="3"/>
      <c r="R17" s="26">
        <f>IF(P$12=0,0,P17/P$12)</f>
        <v>0</v>
      </c>
      <c r="S17" s="3"/>
      <c r="T17" s="3">
        <v>328039</v>
      </c>
      <c r="U17" s="3"/>
      <c r="V17" s="26">
        <f>IF(T$12=0,0,T17/T$12)</f>
        <v>0.33986916592760819</v>
      </c>
      <c r="W17" s="3"/>
      <c r="X17" s="3">
        <f>+P17-T17</f>
        <v>-328039</v>
      </c>
      <c r="Y17" s="3"/>
      <c r="Z17" s="26">
        <f>IF(T17=0,0,X17/T17)</f>
        <v>-1</v>
      </c>
    </row>
    <row r="18" spans="1:26" s="70" customFormat="1" ht="15" hidden="1" customHeight="1" outlineLevel="1" x14ac:dyDescent="0.3">
      <c r="A18" s="48"/>
      <c r="B18" s="9" t="str">
        <f>CONCATENATE("          ","5053"," - ","PURCHASES @ COST-FOOD")</f>
        <v xml:space="preserve">          5053 - PURCHASES @ COST-FOOD</v>
      </c>
      <c r="C18" s="9"/>
      <c r="D18" s="3">
        <v>793</v>
      </c>
      <c r="E18" s="3"/>
      <c r="F18" s="26">
        <f>IF(D$12=0,0,D18/D$12)</f>
        <v>0</v>
      </c>
      <c r="G18" s="3"/>
      <c r="H18" s="3"/>
      <c r="I18" s="3"/>
      <c r="J18" s="26">
        <f>IF(H$12=0,0,H18/H$12)</f>
        <v>0</v>
      </c>
      <c r="K18" s="3"/>
      <c r="L18" s="3">
        <f>+D18-H18</f>
        <v>793</v>
      </c>
      <c r="M18" s="3"/>
      <c r="N18" s="26">
        <f>IF(H18=0,0,L18/H18)</f>
        <v>0</v>
      </c>
      <c r="O18" s="9"/>
      <c r="P18" s="3">
        <v>1961.02</v>
      </c>
      <c r="Q18" s="3"/>
      <c r="R18" s="26">
        <f>IF(P$12=0,0,P18/P$12)</f>
        <v>0</v>
      </c>
      <c r="S18" s="3"/>
      <c r="T18" s="3"/>
      <c r="U18" s="3"/>
      <c r="V18" s="26">
        <f>IF(T$12=0,0,T18/T$12)</f>
        <v>0</v>
      </c>
      <c r="W18" s="3"/>
      <c r="X18" s="3">
        <f>+P18-T18</f>
        <v>1961.02</v>
      </c>
      <c r="Y18" s="3"/>
      <c r="Z18" s="26">
        <f>IF(T18=0,0,X18/T18)</f>
        <v>0</v>
      </c>
    </row>
    <row r="19" spans="1:26" ht="15" customHeight="1" x14ac:dyDescent="0.3">
      <c r="A19" s="12"/>
      <c r="B19" s="13"/>
      <c r="C19" s="13"/>
      <c r="D19" s="4"/>
      <c r="E19" s="4"/>
      <c r="F19" s="10"/>
      <c r="G19" s="4"/>
      <c r="H19" s="4"/>
      <c r="I19" s="4"/>
      <c r="J19" s="10"/>
      <c r="K19" s="4"/>
      <c r="L19" s="4"/>
      <c r="M19" s="4"/>
      <c r="N19" s="10"/>
      <c r="O19" s="13"/>
      <c r="P19" s="4"/>
      <c r="Q19" s="4"/>
      <c r="R19" s="10"/>
      <c r="S19" s="4"/>
      <c r="T19" s="4"/>
      <c r="U19" s="4"/>
      <c r="V19" s="10"/>
      <c r="W19" s="4"/>
      <c r="X19" s="4"/>
      <c r="Y19" s="4"/>
      <c r="Z19" s="10"/>
    </row>
    <row r="20" spans="1:26" s="63" customFormat="1" ht="15" customHeight="1" x14ac:dyDescent="0.3">
      <c r="A20" s="13"/>
      <c r="B20" s="27" t="s">
        <v>289</v>
      </c>
      <c r="C20" s="27"/>
      <c r="D20" s="23">
        <f>D12-D16</f>
        <v>-793</v>
      </c>
      <c r="E20" s="15"/>
      <c r="F20" s="22">
        <f>IF(D$12=0,0,D20/D$12)</f>
        <v>0</v>
      </c>
      <c r="G20" s="15"/>
      <c r="H20" s="23">
        <f>H12-H16</f>
        <v>28816</v>
      </c>
      <c r="I20" s="15"/>
      <c r="J20" s="22">
        <f>IF(H$12=0,0,H20/H$12)</f>
        <v>0.65999404502874415</v>
      </c>
      <c r="K20" s="17"/>
      <c r="L20" s="23">
        <f>+D20-H20</f>
        <v>-29609</v>
      </c>
      <c r="M20" s="17"/>
      <c r="N20" s="22">
        <f>IF(H20=0,0,L20/H20)</f>
        <v>-1.0275194336479734</v>
      </c>
      <c r="O20" s="28"/>
      <c r="P20" s="23">
        <f>P12-P16</f>
        <v>-1961.02</v>
      </c>
      <c r="Q20" s="15"/>
      <c r="R20" s="22">
        <f>IF(P$12=0,0,P20/P$12)</f>
        <v>0</v>
      </c>
      <c r="S20" s="15"/>
      <c r="T20" s="23">
        <f>T12-T16</f>
        <v>637153</v>
      </c>
      <c r="U20" s="15"/>
      <c r="V20" s="22">
        <f>IF(T$12=0,0,T20/T$12)</f>
        <v>0.66013083407239181</v>
      </c>
      <c r="W20" s="17"/>
      <c r="X20" s="23">
        <f>+P20-T20</f>
        <v>-639114.02</v>
      </c>
      <c r="Y20" s="17"/>
      <c r="Z20" s="22">
        <f>IF(T20=0,0,X20/T20)</f>
        <v>-1.0030777850845873</v>
      </c>
    </row>
    <row r="21" spans="1:26" ht="15" customHeight="1" x14ac:dyDescent="0.3">
      <c r="A21" s="12"/>
      <c r="B21" s="13"/>
      <c r="C21" s="12"/>
      <c r="D21" s="2"/>
      <c r="E21" s="2"/>
      <c r="F21" s="5"/>
      <c r="G21" s="2"/>
      <c r="H21" s="2"/>
      <c r="I21" s="2"/>
      <c r="J21" s="5"/>
      <c r="K21" s="2"/>
      <c r="L21" s="2"/>
      <c r="M21" s="2"/>
      <c r="N21" s="5"/>
      <c r="O21" s="36"/>
      <c r="P21" s="2"/>
      <c r="Q21" s="2"/>
      <c r="R21" s="5"/>
      <c r="S21" s="2"/>
      <c r="T21" s="2"/>
      <c r="U21" s="2"/>
      <c r="V21" s="5"/>
      <c r="W21" s="2"/>
      <c r="X21" s="2"/>
      <c r="Y21" s="2"/>
      <c r="Z21" s="5"/>
    </row>
    <row r="22" spans="1:26" s="63" customFormat="1" ht="15" customHeight="1" x14ac:dyDescent="0.3">
      <c r="A22" s="13"/>
      <c r="B22" s="28" t="s">
        <v>290</v>
      </c>
      <c r="C22" s="13"/>
      <c r="D22" s="24" cm="1">
        <f t="array" ref="D22">SUM(OSRRefD22x_0)</f>
        <v>12873.539999999999</v>
      </c>
      <c r="E22" s="24"/>
      <c r="F22" s="34">
        <f t="shared" ref="F22:F53" si="0">IF(D$12=0,0,D22/D$12)</f>
        <v>0</v>
      </c>
      <c r="G22" s="24"/>
      <c r="H22" s="24" cm="1">
        <f t="array" ref="H22">SUM(OSRRefH22x_0)</f>
        <v>44929.69979997538</v>
      </c>
      <c r="I22" s="24"/>
      <c r="J22" s="34">
        <f t="shared" ref="J22:J53" si="1">IF(H$12=0,0,H22/H$12)</f>
        <v>1.0290579647734908</v>
      </c>
      <c r="K22" s="8"/>
      <c r="L22" s="24">
        <f t="shared" ref="L22:L53" si="2">+D22-H22</f>
        <v>-32056.159799975379</v>
      </c>
      <c r="M22" s="8"/>
      <c r="N22" s="34">
        <f t="shared" ref="N22:N53" si="3">IF(H22=0,0,L22/H22)</f>
        <v>-0.71347371432900042</v>
      </c>
      <c r="O22" s="13"/>
      <c r="P22" s="24" cm="1">
        <f t="array" ref="P22">SUM(OSRRefP22x_0)</f>
        <v>204058.08000000002</v>
      </c>
      <c r="Q22" s="24"/>
      <c r="R22" s="34">
        <f t="shared" ref="R22:R53" si="4">IF(P$12=0,0,P22/P$12)</f>
        <v>0</v>
      </c>
      <c r="S22" s="24"/>
      <c r="T22" s="24" cm="1">
        <f t="array" ref="T22">SUM(OSRRefT22x_0)</f>
        <v>573764.79940551391</v>
      </c>
      <c r="U22" s="24"/>
      <c r="V22" s="34">
        <f t="shared" ref="V22:V53" si="5">IF(T$12=0,0,T22/T$12)</f>
        <v>0.59445664635172479</v>
      </c>
      <c r="W22" s="8"/>
      <c r="X22" s="24">
        <f t="shared" ref="X22:X53" si="6">+P22-T22</f>
        <v>-369706.7194055139</v>
      </c>
      <c r="Y22" s="8"/>
      <c r="Z22" s="34">
        <f t="shared" ref="Z22:Z53" si="7">IF(T22=0,0,X22/T22)</f>
        <v>-0.64435238932149974</v>
      </c>
    </row>
    <row r="23" spans="1:26" s="69" customFormat="1" ht="15" customHeight="1" outlineLevel="1" collapsed="1" x14ac:dyDescent="0.3">
      <c r="A23" s="20"/>
      <c r="B23" s="11" t="str">
        <f>CONCATENATE("     ","*Benefits                                         ")</f>
        <v xml:space="preserve">     *Benefits                                         </v>
      </c>
      <c r="C23" s="11"/>
      <c r="D23" s="2">
        <f>SUM(OSRRefD22_0x_0)</f>
        <v>825.95</v>
      </c>
      <c r="E23" s="2"/>
      <c r="F23" s="5">
        <f t="shared" si="0"/>
        <v>0</v>
      </c>
      <c r="G23" s="2"/>
      <c r="H23" s="2">
        <f>SUM(OSRRefH22_0x_0)</f>
        <v>11695.126138436921</v>
      </c>
      <c r="I23" s="2"/>
      <c r="J23" s="5">
        <f t="shared" si="1"/>
        <v>0.26786207687494379</v>
      </c>
      <c r="K23" s="2"/>
      <c r="L23" s="2">
        <f t="shared" si="2"/>
        <v>-10869.17613843692</v>
      </c>
      <c r="M23" s="2"/>
      <c r="N23" s="5">
        <f t="shared" si="3"/>
        <v>-0.92937656334586649</v>
      </c>
      <c r="O23" s="11"/>
      <c r="P23" s="2">
        <f>SUM(OSRRefP22_0x_0)</f>
        <v>30113.7</v>
      </c>
      <c r="Q23" s="2"/>
      <c r="R23" s="5">
        <f t="shared" si="4"/>
        <v>0</v>
      </c>
      <c r="S23" s="2"/>
      <c r="T23" s="2">
        <f>SUM(OSRRefT22_0x_0)</f>
        <v>118817.3120055139</v>
      </c>
      <c r="U23" s="2"/>
      <c r="V23" s="5">
        <f t="shared" si="5"/>
        <v>0.12310225530828467</v>
      </c>
      <c r="W23" s="2"/>
      <c r="X23" s="2">
        <f t="shared" si="6"/>
        <v>-88703.612005513904</v>
      </c>
      <c r="Y23" s="2"/>
      <c r="Z23" s="5">
        <f t="shared" si="7"/>
        <v>-0.74655460983158306</v>
      </c>
    </row>
    <row r="24" spans="1:26" s="70" customFormat="1" ht="15" hidden="1" customHeight="1" outlineLevel="2" x14ac:dyDescent="0.3">
      <c r="A24" s="21"/>
      <c r="B24" s="9" t="str">
        <f>CONCATENATE("          ","6111"," - ","F.I.C.A.")</f>
        <v xml:space="preserve">          6111 - F.I.C.A.</v>
      </c>
      <c r="C24" s="9"/>
      <c r="D24" s="6">
        <v>198.92</v>
      </c>
      <c r="E24" s="3"/>
      <c r="F24" s="7">
        <f t="shared" si="0"/>
        <v>0</v>
      </c>
      <c r="G24" s="3"/>
      <c r="H24" s="6">
        <v>1182.9527968984601</v>
      </c>
      <c r="I24" s="3"/>
      <c r="J24" s="7">
        <f t="shared" si="1"/>
        <v>2.7094038086586659E-2</v>
      </c>
      <c r="K24" s="3"/>
      <c r="L24" s="6">
        <f t="shared" si="2"/>
        <v>-984.03279689846011</v>
      </c>
      <c r="M24" s="3"/>
      <c r="N24" s="7">
        <f t="shared" si="3"/>
        <v>-0.83184451609435228</v>
      </c>
      <c r="O24" s="9"/>
      <c r="P24" s="6">
        <v>4905.5</v>
      </c>
      <c r="Q24" s="3"/>
      <c r="R24" s="7">
        <f t="shared" si="4"/>
        <v>0</v>
      </c>
      <c r="S24" s="3"/>
      <c r="T24" s="6">
        <v>11594.579079360001</v>
      </c>
      <c r="U24" s="3"/>
      <c r="V24" s="7">
        <f t="shared" si="5"/>
        <v>1.201271775911943E-2</v>
      </c>
      <c r="W24" s="3"/>
      <c r="X24" s="6">
        <f t="shared" si="6"/>
        <v>-6689.0790793600008</v>
      </c>
      <c r="Y24" s="3"/>
      <c r="Z24" s="7">
        <f t="shared" si="7"/>
        <v>-0.57691435226549215</v>
      </c>
    </row>
    <row r="25" spans="1:26" s="70" customFormat="1" ht="15" hidden="1" customHeight="1" outlineLevel="2" x14ac:dyDescent="0.3">
      <c r="A25" s="21"/>
      <c r="B25" s="9" t="str">
        <f>CONCATENATE("          ","6112"," - ","COMPENSATION INSURANCE")</f>
        <v xml:space="preserve">          6112 - COMPENSATION INSURANCE</v>
      </c>
      <c r="C25" s="9"/>
      <c r="D25" s="6">
        <v>-71.56</v>
      </c>
      <c r="E25" s="3"/>
      <c r="F25" s="7">
        <f t="shared" si="0"/>
        <v>0</v>
      </c>
      <c r="G25" s="3"/>
      <c r="H25" s="6">
        <v>775.29807310769195</v>
      </c>
      <c r="I25" s="3"/>
      <c r="J25" s="7">
        <f t="shared" si="1"/>
        <v>1.775722207708692E-2</v>
      </c>
      <c r="K25" s="3"/>
      <c r="L25" s="6">
        <f t="shared" si="2"/>
        <v>-846.85807310769201</v>
      </c>
      <c r="M25" s="3"/>
      <c r="N25" s="7">
        <f t="shared" si="3"/>
        <v>-1.0922999843313941</v>
      </c>
      <c r="O25" s="9"/>
      <c r="P25" s="6">
        <v>2084.6</v>
      </c>
      <c r="Q25" s="3"/>
      <c r="R25" s="7">
        <f t="shared" si="4"/>
        <v>0</v>
      </c>
      <c r="S25" s="3"/>
      <c r="T25" s="6">
        <v>9639.9639948000004</v>
      </c>
      <c r="U25" s="3"/>
      <c r="V25" s="7">
        <f t="shared" si="5"/>
        <v>9.9876128219048652E-3</v>
      </c>
      <c r="W25" s="3"/>
      <c r="X25" s="6">
        <f t="shared" si="6"/>
        <v>-7555.3639948</v>
      </c>
      <c r="Y25" s="3"/>
      <c r="Z25" s="7">
        <f t="shared" si="7"/>
        <v>-0.78375437904908385</v>
      </c>
    </row>
    <row r="26" spans="1:26" s="70" customFormat="1" ht="15" hidden="1" customHeight="1" outlineLevel="2" x14ac:dyDescent="0.3">
      <c r="A26" s="21"/>
      <c r="B26" s="9" t="str">
        <f>CONCATENATE("          ","6113"," - ","GROUP INSURANCE")</f>
        <v xml:space="preserve">          6113 - GROUP INSURANCE</v>
      </c>
      <c r="C26" s="9"/>
      <c r="D26" s="6">
        <v>608</v>
      </c>
      <c r="E26" s="3"/>
      <c r="F26" s="7">
        <f t="shared" si="0"/>
        <v>0</v>
      </c>
      <c r="G26" s="3"/>
      <c r="H26" s="6">
        <v>7046.3692307692299</v>
      </c>
      <c r="I26" s="3"/>
      <c r="J26" s="7">
        <f t="shared" si="1"/>
        <v>0.16138817779641396</v>
      </c>
      <c r="K26" s="3"/>
      <c r="L26" s="6">
        <f t="shared" si="2"/>
        <v>-6438.3692307692299</v>
      </c>
      <c r="M26" s="3"/>
      <c r="N26" s="7">
        <f t="shared" si="3"/>
        <v>-0.91371442794325064</v>
      </c>
      <c r="O26" s="9"/>
      <c r="P26" s="6">
        <v>13966.16</v>
      </c>
      <c r="Q26" s="3"/>
      <c r="R26" s="7">
        <f t="shared" si="4"/>
        <v>0</v>
      </c>
      <c r="S26" s="3"/>
      <c r="T26" s="6">
        <v>66742.903846153902</v>
      </c>
      <c r="U26" s="3"/>
      <c r="V26" s="7">
        <f t="shared" si="5"/>
        <v>6.9149872612033564E-2</v>
      </c>
      <c r="W26" s="3"/>
      <c r="X26" s="6">
        <f t="shared" si="6"/>
        <v>-52776.743846153899</v>
      </c>
      <c r="Y26" s="3"/>
      <c r="Z26" s="7">
        <f t="shared" si="7"/>
        <v>-0.79074689300014911</v>
      </c>
    </row>
    <row r="27" spans="1:26" s="70" customFormat="1" ht="15" hidden="1" customHeight="1" outlineLevel="2" x14ac:dyDescent="0.3">
      <c r="A27" s="21"/>
      <c r="B27" s="9" t="str">
        <f>CONCATENATE("          ","6114"," - ","STATE UNEMPLOYMENT INSURANCE")</f>
        <v xml:space="preserve">          6114 - STATE UNEMPLOYMENT INSURANCE</v>
      </c>
      <c r="C27" s="9"/>
      <c r="D27" s="6"/>
      <c r="E27" s="3"/>
      <c r="F27" s="7">
        <f t="shared" si="0"/>
        <v>0</v>
      </c>
      <c r="G27" s="3"/>
      <c r="H27" s="6">
        <v>42.958468430769202</v>
      </c>
      <c r="I27" s="3"/>
      <c r="J27" s="7">
        <f t="shared" si="1"/>
        <v>9.8390940268819316E-4</v>
      </c>
      <c r="K27" s="3"/>
      <c r="L27" s="6">
        <f t="shared" si="2"/>
        <v>-42.958468430769202</v>
      </c>
      <c r="M27" s="3"/>
      <c r="N27" s="7">
        <f t="shared" si="3"/>
        <v>-1</v>
      </c>
      <c r="O27" s="9"/>
      <c r="P27" s="6">
        <v>157.1</v>
      </c>
      <c r="Q27" s="3"/>
      <c r="R27" s="7">
        <f t="shared" si="4"/>
        <v>0</v>
      </c>
      <c r="S27" s="3"/>
      <c r="T27" s="6">
        <v>534.14048519999994</v>
      </c>
      <c r="U27" s="3"/>
      <c r="V27" s="7">
        <f t="shared" si="5"/>
        <v>5.5340334897098183E-4</v>
      </c>
      <c r="W27" s="3"/>
      <c r="X27" s="6">
        <f t="shared" si="6"/>
        <v>-377.04048519999992</v>
      </c>
      <c r="Y27" s="3"/>
      <c r="Z27" s="7">
        <f t="shared" si="7"/>
        <v>-0.7058826201103694</v>
      </c>
    </row>
    <row r="28" spans="1:26" s="70" customFormat="1" ht="15" hidden="1" customHeight="1" outlineLevel="2" x14ac:dyDescent="0.3">
      <c r="A28" s="21"/>
      <c r="B28" s="9" t="str">
        <f>CONCATENATE("          ","6115"," - ","P.E.R.S.")</f>
        <v xml:space="preserve">          6115 - P.E.R.S.</v>
      </c>
      <c r="C28" s="9"/>
      <c r="D28" s="6">
        <v>63.06</v>
      </c>
      <c r="E28" s="3"/>
      <c r="F28" s="7">
        <f t="shared" si="0"/>
        <v>0</v>
      </c>
      <c r="G28" s="3"/>
      <c r="H28" s="6">
        <v>424.70769230769201</v>
      </c>
      <c r="I28" s="3"/>
      <c r="J28" s="7">
        <f t="shared" si="1"/>
        <v>9.7273926915941462E-3</v>
      </c>
      <c r="K28" s="3"/>
      <c r="L28" s="6">
        <f t="shared" si="2"/>
        <v>-361.64769230769201</v>
      </c>
      <c r="M28" s="3"/>
      <c r="N28" s="7">
        <f t="shared" si="3"/>
        <v>-0.85152140838948043</v>
      </c>
      <c r="O28" s="9"/>
      <c r="P28" s="6">
        <v>2606.34</v>
      </c>
      <c r="Q28" s="3"/>
      <c r="R28" s="7">
        <f t="shared" si="4"/>
        <v>0</v>
      </c>
      <c r="S28" s="3"/>
      <c r="T28" s="6">
        <v>2760.6</v>
      </c>
      <c r="U28" s="3"/>
      <c r="V28" s="7">
        <f t="shared" si="5"/>
        <v>2.8601563212293513E-3</v>
      </c>
      <c r="W28" s="3"/>
      <c r="X28" s="6">
        <f t="shared" si="6"/>
        <v>-154.25999999999976</v>
      </c>
      <c r="Y28" s="3"/>
      <c r="Z28" s="7">
        <f t="shared" si="7"/>
        <v>-5.5879156705064034E-2</v>
      </c>
    </row>
    <row r="29" spans="1:26" s="70" customFormat="1" ht="15" hidden="1" customHeight="1" outlineLevel="2" x14ac:dyDescent="0.3">
      <c r="A29" s="21"/>
      <c r="B29" s="9" t="str">
        <f>CONCATENATE("          ","6116"," - ","EDUCATIONAL BENEFITS")</f>
        <v xml:space="preserve">          6116 - EDUCATIONAL BENEFITS</v>
      </c>
      <c r="C29" s="9"/>
      <c r="D29" s="6"/>
      <c r="E29" s="3"/>
      <c r="F29" s="7">
        <f t="shared" si="0"/>
        <v>0</v>
      </c>
      <c r="G29" s="3"/>
      <c r="H29" s="6">
        <v>0</v>
      </c>
      <c r="I29" s="3"/>
      <c r="J29" s="7">
        <f t="shared" si="1"/>
        <v>0</v>
      </c>
      <c r="K29" s="3"/>
      <c r="L29" s="6">
        <f t="shared" si="2"/>
        <v>0</v>
      </c>
      <c r="M29" s="3"/>
      <c r="N29" s="7">
        <f t="shared" si="3"/>
        <v>0</v>
      </c>
      <c r="O29" s="9"/>
      <c r="P29" s="6"/>
      <c r="Q29" s="3"/>
      <c r="R29" s="7">
        <f t="shared" si="4"/>
        <v>0</v>
      </c>
      <c r="S29" s="3"/>
      <c r="T29" s="6">
        <v>0</v>
      </c>
      <c r="U29" s="3"/>
      <c r="V29" s="7">
        <f t="shared" si="5"/>
        <v>0</v>
      </c>
      <c r="W29" s="3"/>
      <c r="X29" s="6">
        <f t="shared" si="6"/>
        <v>0</v>
      </c>
      <c r="Y29" s="3"/>
      <c r="Z29" s="7">
        <f t="shared" si="7"/>
        <v>0</v>
      </c>
    </row>
    <row r="30" spans="1:26" s="70" customFormat="1" ht="15" hidden="1" customHeight="1" outlineLevel="2" x14ac:dyDescent="0.3">
      <c r="A30" s="21"/>
      <c r="B30" s="9" t="str">
        <f>CONCATENATE("          ","6118"," - ","VACATION")</f>
        <v xml:space="preserve">          6118 - VACATION</v>
      </c>
      <c r="C30" s="9"/>
      <c r="D30" s="6"/>
      <c r="E30" s="3"/>
      <c r="F30" s="7">
        <f t="shared" si="0"/>
        <v>0</v>
      </c>
      <c r="G30" s="3"/>
      <c r="H30" s="6">
        <v>463.72120615384603</v>
      </c>
      <c r="I30" s="3"/>
      <c r="J30" s="7">
        <f t="shared" si="1"/>
        <v>1.062094789752516E-2</v>
      </c>
      <c r="K30" s="3"/>
      <c r="L30" s="6">
        <f t="shared" si="2"/>
        <v>-463.72120615384603</v>
      </c>
      <c r="M30" s="3"/>
      <c r="N30" s="7">
        <f t="shared" si="3"/>
        <v>-1</v>
      </c>
      <c r="O30" s="9"/>
      <c r="P30" s="6">
        <v>2204</v>
      </c>
      <c r="Q30" s="3"/>
      <c r="R30" s="7">
        <f t="shared" si="4"/>
        <v>0</v>
      </c>
      <c r="S30" s="3"/>
      <c r="T30" s="6">
        <v>4131.8193600000004</v>
      </c>
      <c r="U30" s="3"/>
      <c r="V30" s="7">
        <f t="shared" si="5"/>
        <v>4.2808263640809292E-3</v>
      </c>
      <c r="W30" s="3"/>
      <c r="X30" s="6">
        <f t="shared" si="6"/>
        <v>-1927.8193600000004</v>
      </c>
      <c r="Y30" s="3"/>
      <c r="Z30" s="7">
        <f t="shared" si="7"/>
        <v>-0.46657880997004675</v>
      </c>
    </row>
    <row r="31" spans="1:26" s="70" customFormat="1" ht="15" hidden="1" customHeight="1" outlineLevel="2" x14ac:dyDescent="0.3">
      <c r="A31" s="21"/>
      <c r="B31" s="9" t="str">
        <f>CONCATENATE("          ","6119"," - ","SICK LEAVE")</f>
        <v xml:space="preserve">          6119 - SICK LEAVE</v>
      </c>
      <c r="C31" s="9"/>
      <c r="D31" s="6"/>
      <c r="E31" s="3"/>
      <c r="F31" s="7">
        <f t="shared" si="0"/>
        <v>0</v>
      </c>
      <c r="G31" s="3"/>
      <c r="H31" s="6">
        <v>459.11867076923102</v>
      </c>
      <c r="I31" s="3"/>
      <c r="J31" s="7">
        <f t="shared" si="1"/>
        <v>1.0515532643989625E-2</v>
      </c>
      <c r="K31" s="3"/>
      <c r="L31" s="6">
        <f t="shared" si="2"/>
        <v>-459.11867076923102</v>
      </c>
      <c r="M31" s="3"/>
      <c r="N31" s="7">
        <f t="shared" si="3"/>
        <v>-1</v>
      </c>
      <c r="O31" s="9"/>
      <c r="P31" s="6">
        <v>2461.6799999999998</v>
      </c>
      <c r="Q31" s="3"/>
      <c r="R31" s="7">
        <f t="shared" si="4"/>
        <v>0</v>
      </c>
      <c r="S31" s="3"/>
      <c r="T31" s="6">
        <v>6253.3052399999997</v>
      </c>
      <c r="U31" s="3"/>
      <c r="V31" s="7">
        <f t="shared" si="5"/>
        <v>6.4788200067965752E-3</v>
      </c>
      <c r="W31" s="3"/>
      <c r="X31" s="6">
        <f t="shared" si="6"/>
        <v>-3791.6252399999998</v>
      </c>
      <c r="Y31" s="3"/>
      <c r="Z31" s="7">
        <f t="shared" si="7"/>
        <v>-0.60633938285091615</v>
      </c>
    </row>
    <row r="32" spans="1:26" s="70" customFormat="1" ht="15" hidden="1" customHeight="1" outlineLevel="2" x14ac:dyDescent="0.3">
      <c r="A32" s="21"/>
      <c r="B32" s="9" t="str">
        <f>CONCATENATE("          ","6156"," - ","EMPLOYEE MEALS")</f>
        <v xml:space="preserve">          6156 - EMPLOYEE MEALS</v>
      </c>
      <c r="C32" s="9"/>
      <c r="D32" s="6">
        <v>27.53</v>
      </c>
      <c r="E32" s="3"/>
      <c r="F32" s="7">
        <f t="shared" si="0"/>
        <v>0</v>
      </c>
      <c r="G32" s="3"/>
      <c r="H32" s="6">
        <v>1300</v>
      </c>
      <c r="I32" s="3"/>
      <c r="J32" s="7">
        <f t="shared" si="1"/>
        <v>2.9774856279059115E-2</v>
      </c>
      <c r="K32" s="3"/>
      <c r="L32" s="6">
        <f t="shared" si="2"/>
        <v>-1272.47</v>
      </c>
      <c r="M32" s="3"/>
      <c r="N32" s="7">
        <f t="shared" si="3"/>
        <v>-0.97882307692307691</v>
      </c>
      <c r="O32" s="9"/>
      <c r="P32" s="6">
        <v>1728.32</v>
      </c>
      <c r="Q32" s="3"/>
      <c r="R32" s="7">
        <f t="shared" si="4"/>
        <v>0</v>
      </c>
      <c r="S32" s="3"/>
      <c r="T32" s="6">
        <v>17160</v>
      </c>
      <c r="U32" s="3"/>
      <c r="V32" s="7">
        <f t="shared" si="5"/>
        <v>1.7778846074148976E-2</v>
      </c>
      <c r="W32" s="3"/>
      <c r="X32" s="6">
        <f t="shared" si="6"/>
        <v>-15431.68</v>
      </c>
      <c r="Y32" s="3"/>
      <c r="Z32" s="7">
        <f t="shared" si="7"/>
        <v>-0.8992820512820513</v>
      </c>
    </row>
    <row r="33" spans="1:26" s="69" customFormat="1" ht="15" customHeight="1" outlineLevel="1" collapsed="1" x14ac:dyDescent="0.3">
      <c r="A33" s="20"/>
      <c r="B33" s="11" t="str">
        <f>CONCATENATE("     ","*Payroll                                          ")</f>
        <v xml:space="preserve">     *Payroll                                          </v>
      </c>
      <c r="C33" s="11"/>
      <c r="D33" s="2">
        <f>SUM(OSRRefD22_1x_0)</f>
        <v>1107.69</v>
      </c>
      <c r="E33" s="2"/>
      <c r="F33" s="5">
        <f t="shared" si="0"/>
        <v>0</v>
      </c>
      <c r="G33" s="2"/>
      <c r="H33" s="2">
        <f>SUM(OSRRefH22_1x_0)</f>
        <v>19533.573661538459</v>
      </c>
      <c r="I33" s="2"/>
      <c r="J33" s="5">
        <f t="shared" si="1"/>
        <v>0.44739180645286319</v>
      </c>
      <c r="K33" s="2"/>
      <c r="L33" s="2">
        <f t="shared" si="2"/>
        <v>-18425.883661538461</v>
      </c>
      <c r="M33" s="2"/>
      <c r="N33" s="5">
        <f t="shared" si="3"/>
        <v>-0.94329301851299041</v>
      </c>
      <c r="O33" s="11"/>
      <c r="P33" s="2">
        <f>SUM(OSRRefP22_1x_0)</f>
        <v>61211.330000000009</v>
      </c>
      <c r="Q33" s="2"/>
      <c r="R33" s="5">
        <f t="shared" si="4"/>
        <v>0</v>
      </c>
      <c r="S33" s="2"/>
      <c r="T33" s="2">
        <f>SUM(OSRRefT22_1x_0)</f>
        <v>243967.48740000001</v>
      </c>
      <c r="U33" s="2"/>
      <c r="V33" s="5">
        <f t="shared" si="5"/>
        <v>0.25276575790101868</v>
      </c>
      <c r="W33" s="2"/>
      <c r="X33" s="2">
        <f t="shared" si="6"/>
        <v>-182756.1574</v>
      </c>
      <c r="Y33" s="2"/>
      <c r="Z33" s="5">
        <f t="shared" si="7"/>
        <v>-0.74910046149042719</v>
      </c>
    </row>
    <row r="34" spans="1:26" s="70" customFormat="1" ht="15" hidden="1" customHeight="1" outlineLevel="2" x14ac:dyDescent="0.3">
      <c r="A34" s="21"/>
      <c r="B34" s="9" t="str">
        <f>CONCATENATE("          ","6001"," - ","ADMINISTRATIVE SALARIES")</f>
        <v xml:space="preserve">          6001 - ADMINISTRATIVE SALARIES</v>
      </c>
      <c r="C34" s="9"/>
      <c r="D34" s="6"/>
      <c r="E34" s="3"/>
      <c r="F34" s="7">
        <f t="shared" si="0"/>
        <v>0</v>
      </c>
      <c r="G34" s="3"/>
      <c r="H34" s="6">
        <v>0</v>
      </c>
      <c r="I34" s="3"/>
      <c r="J34" s="7">
        <f t="shared" si="1"/>
        <v>0</v>
      </c>
      <c r="K34" s="3"/>
      <c r="L34" s="6">
        <f t="shared" si="2"/>
        <v>0</v>
      </c>
      <c r="M34" s="3"/>
      <c r="N34" s="7">
        <f t="shared" si="3"/>
        <v>0</v>
      </c>
      <c r="O34" s="9"/>
      <c r="P34" s="6"/>
      <c r="Q34" s="3"/>
      <c r="R34" s="7">
        <f t="shared" si="4"/>
        <v>0</v>
      </c>
      <c r="S34" s="3"/>
      <c r="T34" s="6">
        <v>0</v>
      </c>
      <c r="U34" s="3"/>
      <c r="V34" s="7">
        <f t="shared" si="5"/>
        <v>0</v>
      </c>
      <c r="W34" s="3"/>
      <c r="X34" s="6">
        <f t="shared" si="6"/>
        <v>0</v>
      </c>
      <c r="Y34" s="3"/>
      <c r="Z34" s="7">
        <f t="shared" si="7"/>
        <v>0</v>
      </c>
    </row>
    <row r="35" spans="1:26" s="70" customFormat="1" ht="15" hidden="1" customHeight="1" outlineLevel="2" x14ac:dyDescent="0.3">
      <c r="A35" s="21"/>
      <c r="B35" s="9" t="str">
        <f>CONCATENATE("          ","6002"," - ","STAFF SALARIES")</f>
        <v xml:space="preserve">          6002 - STAFF SALARIES</v>
      </c>
      <c r="C35" s="9"/>
      <c r="D35" s="6">
        <v>1107.69</v>
      </c>
      <c r="E35" s="3"/>
      <c r="F35" s="7">
        <f t="shared" si="0"/>
        <v>0</v>
      </c>
      <c r="G35" s="3"/>
      <c r="H35" s="6">
        <v>4691.5384615384601</v>
      </c>
      <c r="I35" s="3"/>
      <c r="J35" s="7">
        <f t="shared" si="1"/>
        <v>0.10745375647691212</v>
      </c>
      <c r="K35" s="3"/>
      <c r="L35" s="6">
        <f t="shared" si="2"/>
        <v>-3583.84846153846</v>
      </c>
      <c r="M35" s="3"/>
      <c r="N35" s="7">
        <f t="shared" si="3"/>
        <v>-0.76389621249385131</v>
      </c>
      <c r="O35" s="9"/>
      <c r="P35" s="6">
        <v>37384.730000000003</v>
      </c>
      <c r="Q35" s="3"/>
      <c r="R35" s="7">
        <f t="shared" si="4"/>
        <v>0</v>
      </c>
      <c r="S35" s="3"/>
      <c r="T35" s="6">
        <v>30495</v>
      </c>
      <c r="U35" s="3"/>
      <c r="V35" s="7">
        <f t="shared" si="5"/>
        <v>3.1594750060091673E-2</v>
      </c>
      <c r="W35" s="3"/>
      <c r="X35" s="6">
        <f t="shared" si="6"/>
        <v>6889.7300000000032</v>
      </c>
      <c r="Y35" s="3"/>
      <c r="Z35" s="7">
        <f t="shared" si="7"/>
        <v>0.22592982456140362</v>
      </c>
    </row>
    <row r="36" spans="1:26" s="70" customFormat="1" ht="15" hidden="1" customHeight="1" outlineLevel="2" x14ac:dyDescent="0.3">
      <c r="A36" s="21"/>
      <c r="B36" s="9" t="str">
        <f>CONCATENATE("          ","6003"," - ","STAFF HOURLY-9 MONTH")</f>
        <v xml:space="preserve">          6003 - STAFF HOURLY-9 MONTH</v>
      </c>
      <c r="C36" s="9"/>
      <c r="D36" s="6"/>
      <c r="E36" s="3"/>
      <c r="F36" s="7">
        <f t="shared" si="0"/>
        <v>0</v>
      </c>
      <c r="G36" s="3"/>
      <c r="H36" s="6">
        <v>0</v>
      </c>
      <c r="I36" s="3"/>
      <c r="J36" s="7">
        <f t="shared" si="1"/>
        <v>0</v>
      </c>
      <c r="K36" s="3"/>
      <c r="L36" s="6">
        <f t="shared" si="2"/>
        <v>0</v>
      </c>
      <c r="M36" s="3"/>
      <c r="N36" s="7">
        <f t="shared" si="3"/>
        <v>0</v>
      </c>
      <c r="O36" s="9"/>
      <c r="P36" s="6"/>
      <c r="Q36" s="3"/>
      <c r="R36" s="7">
        <f t="shared" si="4"/>
        <v>0</v>
      </c>
      <c r="S36" s="3"/>
      <c r="T36" s="6">
        <v>0</v>
      </c>
      <c r="U36" s="3"/>
      <c r="V36" s="7">
        <f t="shared" si="5"/>
        <v>0</v>
      </c>
      <c r="W36" s="3"/>
      <c r="X36" s="6">
        <f t="shared" si="6"/>
        <v>0</v>
      </c>
      <c r="Y36" s="3"/>
      <c r="Z36" s="7">
        <f t="shared" si="7"/>
        <v>0</v>
      </c>
    </row>
    <row r="37" spans="1:26" s="70" customFormat="1" ht="15" hidden="1" customHeight="1" outlineLevel="2" x14ac:dyDescent="0.3">
      <c r="A37" s="21"/>
      <c r="B37" s="9" t="str">
        <f>CONCATENATE("          ","6004"," - ","STAFF HOURLY")</f>
        <v xml:space="preserve">          6004 - STAFF HOURLY</v>
      </c>
      <c r="C37" s="9"/>
      <c r="D37" s="6"/>
      <c r="E37" s="3"/>
      <c r="F37" s="7">
        <f t="shared" si="0"/>
        <v>0</v>
      </c>
      <c r="G37" s="3"/>
      <c r="H37" s="6">
        <v>9992.9663999999993</v>
      </c>
      <c r="I37" s="3"/>
      <c r="J37" s="7">
        <f t="shared" si="1"/>
        <v>0.22887626027805133</v>
      </c>
      <c r="K37" s="3"/>
      <c r="L37" s="6">
        <f t="shared" si="2"/>
        <v>-9992.9663999999993</v>
      </c>
      <c r="M37" s="3"/>
      <c r="N37" s="7">
        <f t="shared" si="3"/>
        <v>-1</v>
      </c>
      <c r="O37" s="9"/>
      <c r="P37" s="6">
        <v>14370.65</v>
      </c>
      <c r="Q37" s="3"/>
      <c r="R37" s="7">
        <f t="shared" si="4"/>
        <v>0</v>
      </c>
      <c r="S37" s="3"/>
      <c r="T37" s="6">
        <v>100345.9464</v>
      </c>
      <c r="U37" s="3"/>
      <c r="V37" s="7">
        <f t="shared" si="5"/>
        <v>0.10396475146913775</v>
      </c>
      <c r="W37" s="3"/>
      <c r="X37" s="6">
        <f t="shared" si="6"/>
        <v>-85975.296400000007</v>
      </c>
      <c r="Y37" s="3"/>
      <c r="Z37" s="7">
        <f t="shared" si="7"/>
        <v>-0.85678893352885854</v>
      </c>
    </row>
    <row r="38" spans="1:26" s="70" customFormat="1" ht="15" hidden="1" customHeight="1" outlineLevel="2" x14ac:dyDescent="0.3">
      <c r="A38" s="21"/>
      <c r="B38" s="9" t="str">
        <f>CONCATENATE("          ","6005"," - ","TEMPORARY WAGES-HOURLY")</f>
        <v xml:space="preserve">          6005 - TEMPORARY WAGES-HOURLY</v>
      </c>
      <c r="C38" s="9"/>
      <c r="D38" s="6"/>
      <c r="E38" s="3"/>
      <c r="F38" s="7">
        <f t="shared" si="0"/>
        <v>0</v>
      </c>
      <c r="G38" s="3"/>
      <c r="H38" s="6">
        <v>4849.0688</v>
      </c>
      <c r="I38" s="3"/>
      <c r="J38" s="7">
        <f t="shared" si="1"/>
        <v>0.11106178969789973</v>
      </c>
      <c r="K38" s="3"/>
      <c r="L38" s="6">
        <f t="shared" si="2"/>
        <v>-4849.0688</v>
      </c>
      <c r="M38" s="3"/>
      <c r="N38" s="7">
        <f t="shared" si="3"/>
        <v>-1</v>
      </c>
      <c r="O38" s="9"/>
      <c r="P38" s="6">
        <v>8246.0499999999993</v>
      </c>
      <c r="Q38" s="3"/>
      <c r="R38" s="7">
        <f t="shared" si="4"/>
        <v>0</v>
      </c>
      <c r="S38" s="3"/>
      <c r="T38" s="6">
        <v>50667.523200000003</v>
      </c>
      <c r="U38" s="3"/>
      <c r="V38" s="7">
        <f t="shared" si="5"/>
        <v>5.2494760835149902E-2</v>
      </c>
      <c r="W38" s="3"/>
      <c r="X38" s="6">
        <f t="shared" si="6"/>
        <v>-42421.473200000008</v>
      </c>
      <c r="Y38" s="3"/>
      <c r="Z38" s="7">
        <f t="shared" si="7"/>
        <v>-0.83725176445964511</v>
      </c>
    </row>
    <row r="39" spans="1:26" s="70" customFormat="1" ht="15" hidden="1" customHeight="1" outlineLevel="2" x14ac:dyDescent="0.3">
      <c r="A39" s="21"/>
      <c r="B39" s="9" t="str">
        <f>CONCATENATE("          ","6006"," - ","TEMPORARY PART TIME")</f>
        <v xml:space="preserve">          6006 - TEMPORARY PART TIME</v>
      </c>
      <c r="C39" s="9"/>
      <c r="D39" s="6"/>
      <c r="E39" s="3"/>
      <c r="F39" s="7">
        <f t="shared" si="0"/>
        <v>0</v>
      </c>
      <c r="G39" s="3"/>
      <c r="H39" s="6">
        <v>0</v>
      </c>
      <c r="I39" s="3"/>
      <c r="J39" s="7">
        <f t="shared" si="1"/>
        <v>0</v>
      </c>
      <c r="K39" s="3"/>
      <c r="L39" s="6">
        <f t="shared" si="2"/>
        <v>0</v>
      </c>
      <c r="M39" s="3"/>
      <c r="N39" s="7">
        <f t="shared" si="3"/>
        <v>0</v>
      </c>
      <c r="O39" s="9"/>
      <c r="P39" s="6"/>
      <c r="Q39" s="3"/>
      <c r="R39" s="7">
        <f t="shared" si="4"/>
        <v>0</v>
      </c>
      <c r="S39" s="3"/>
      <c r="T39" s="6">
        <v>0</v>
      </c>
      <c r="U39" s="3"/>
      <c r="V39" s="7">
        <f t="shared" si="5"/>
        <v>0</v>
      </c>
      <c r="W39" s="3"/>
      <c r="X39" s="6">
        <f t="shared" si="6"/>
        <v>0</v>
      </c>
      <c r="Y39" s="3"/>
      <c r="Z39" s="7">
        <f t="shared" si="7"/>
        <v>0</v>
      </c>
    </row>
    <row r="40" spans="1:26" s="70" customFormat="1" ht="15" hidden="1" customHeight="1" outlineLevel="2" x14ac:dyDescent="0.3">
      <c r="A40" s="21"/>
      <c r="B40" s="9" t="str">
        <f>CONCATENATE("          ","6007"," - ","STUDENT HOURLY")</f>
        <v xml:space="preserve">          6007 - STUDENT HOURLY</v>
      </c>
      <c r="C40" s="9"/>
      <c r="D40" s="6"/>
      <c r="E40" s="3"/>
      <c r="F40" s="7">
        <f t="shared" si="0"/>
        <v>0</v>
      </c>
      <c r="G40" s="3"/>
      <c r="H40" s="6">
        <v>0</v>
      </c>
      <c r="I40" s="3"/>
      <c r="J40" s="7">
        <f t="shared" si="1"/>
        <v>0</v>
      </c>
      <c r="K40" s="3"/>
      <c r="L40" s="6">
        <f t="shared" si="2"/>
        <v>0</v>
      </c>
      <c r="M40" s="3"/>
      <c r="N40" s="7">
        <f t="shared" si="3"/>
        <v>0</v>
      </c>
      <c r="O40" s="9"/>
      <c r="P40" s="6">
        <v>1209.9000000000001</v>
      </c>
      <c r="Q40" s="3"/>
      <c r="R40" s="7">
        <f t="shared" si="4"/>
        <v>0</v>
      </c>
      <c r="S40" s="3"/>
      <c r="T40" s="6">
        <v>13363.108</v>
      </c>
      <c r="U40" s="3"/>
      <c r="V40" s="7">
        <f t="shared" si="5"/>
        <v>1.3845025652927086E-2</v>
      </c>
      <c r="W40" s="3"/>
      <c r="X40" s="6">
        <f t="shared" si="6"/>
        <v>-12153.208000000001</v>
      </c>
      <c r="Y40" s="3"/>
      <c r="Z40" s="7">
        <f t="shared" si="7"/>
        <v>-0.90945968557613999</v>
      </c>
    </row>
    <row r="41" spans="1:26" s="70" customFormat="1" ht="15" hidden="1" customHeight="1" outlineLevel="2" x14ac:dyDescent="0.3">
      <c r="A41" s="21"/>
      <c r="B41" s="9" t="str">
        <f>CONCATENATE("          ","6008"," - ","STUDENT HOURLY-FICA EXEMPT")</f>
        <v xml:space="preserve">          6008 - STUDENT HOURLY-FICA EXEMPT</v>
      </c>
      <c r="C41" s="9"/>
      <c r="D41" s="6"/>
      <c r="E41" s="3"/>
      <c r="F41" s="7">
        <f t="shared" si="0"/>
        <v>0</v>
      </c>
      <c r="G41" s="3"/>
      <c r="H41" s="6">
        <v>0</v>
      </c>
      <c r="I41" s="3"/>
      <c r="J41" s="7">
        <f t="shared" si="1"/>
        <v>0</v>
      </c>
      <c r="K41" s="3"/>
      <c r="L41" s="6">
        <f t="shared" si="2"/>
        <v>0</v>
      </c>
      <c r="M41" s="3"/>
      <c r="N41" s="7">
        <f t="shared" si="3"/>
        <v>0</v>
      </c>
      <c r="O41" s="9"/>
      <c r="P41" s="6"/>
      <c r="Q41" s="3"/>
      <c r="R41" s="7">
        <f t="shared" si="4"/>
        <v>0</v>
      </c>
      <c r="S41" s="3"/>
      <c r="T41" s="6">
        <v>49095.909800000001</v>
      </c>
      <c r="U41" s="3"/>
      <c r="V41" s="7">
        <f t="shared" si="5"/>
        <v>5.0866469883712261E-2</v>
      </c>
      <c r="W41" s="3"/>
      <c r="X41" s="6">
        <f t="shared" si="6"/>
        <v>-49095.909800000001</v>
      </c>
      <c r="Y41" s="3"/>
      <c r="Z41" s="7">
        <f t="shared" si="7"/>
        <v>-1</v>
      </c>
    </row>
    <row r="42" spans="1:26" s="70" customFormat="1" ht="15" hidden="1" customHeight="1" outlineLevel="2" x14ac:dyDescent="0.3">
      <c r="A42" s="21"/>
      <c r="B42" s="9" t="str">
        <f>CONCATENATE("          ","6009"," - ","TEMPORARY-SEASONAL")</f>
        <v xml:space="preserve">          6009 - TEMPORARY-SEASONAL</v>
      </c>
      <c r="C42" s="9"/>
      <c r="D42" s="6"/>
      <c r="E42" s="3"/>
      <c r="F42" s="7">
        <f t="shared" si="0"/>
        <v>0</v>
      </c>
      <c r="G42" s="3"/>
      <c r="H42" s="6">
        <v>0</v>
      </c>
      <c r="I42" s="3"/>
      <c r="J42" s="7">
        <f t="shared" si="1"/>
        <v>0</v>
      </c>
      <c r="K42" s="3"/>
      <c r="L42" s="6">
        <f t="shared" si="2"/>
        <v>0</v>
      </c>
      <c r="M42" s="3"/>
      <c r="N42" s="7">
        <f t="shared" si="3"/>
        <v>0</v>
      </c>
      <c r="O42" s="9"/>
      <c r="P42" s="6"/>
      <c r="Q42" s="3"/>
      <c r="R42" s="7">
        <f t="shared" si="4"/>
        <v>0</v>
      </c>
      <c r="S42" s="3"/>
      <c r="T42" s="6">
        <v>0</v>
      </c>
      <c r="U42" s="3"/>
      <c r="V42" s="7">
        <f t="shared" si="5"/>
        <v>0</v>
      </c>
      <c r="W42" s="3"/>
      <c r="X42" s="6">
        <f t="shared" si="6"/>
        <v>0</v>
      </c>
      <c r="Y42" s="3"/>
      <c r="Z42" s="7">
        <f t="shared" si="7"/>
        <v>0</v>
      </c>
    </row>
    <row r="43" spans="1:26" s="70" customFormat="1" ht="15" hidden="1" customHeight="1" outlineLevel="2" x14ac:dyDescent="0.3">
      <c r="A43" s="21"/>
      <c r="B43" s="9" t="str">
        <f>CONCATENATE("          ","6010"," - ","GRATUITY")</f>
        <v xml:space="preserve">          6010 - GRATUITY</v>
      </c>
      <c r="C43" s="9"/>
      <c r="D43" s="6"/>
      <c r="E43" s="3"/>
      <c r="F43" s="7">
        <f t="shared" si="0"/>
        <v>0</v>
      </c>
      <c r="G43" s="3"/>
      <c r="H43" s="6">
        <v>0</v>
      </c>
      <c r="I43" s="3"/>
      <c r="J43" s="7">
        <f t="shared" si="1"/>
        <v>0</v>
      </c>
      <c r="K43" s="3"/>
      <c r="L43" s="6">
        <f t="shared" si="2"/>
        <v>0</v>
      </c>
      <c r="M43" s="3"/>
      <c r="N43" s="7">
        <f t="shared" si="3"/>
        <v>0</v>
      </c>
      <c r="O43" s="9"/>
      <c r="P43" s="6"/>
      <c r="Q43" s="3"/>
      <c r="R43" s="7">
        <f t="shared" si="4"/>
        <v>0</v>
      </c>
      <c r="S43" s="3"/>
      <c r="T43" s="6">
        <v>0</v>
      </c>
      <c r="U43" s="3"/>
      <c r="V43" s="7">
        <f t="shared" si="5"/>
        <v>0</v>
      </c>
      <c r="W43" s="3"/>
      <c r="X43" s="6">
        <f t="shared" si="6"/>
        <v>0</v>
      </c>
      <c r="Y43" s="3"/>
      <c r="Z43" s="7">
        <f t="shared" si="7"/>
        <v>0</v>
      </c>
    </row>
    <row r="44" spans="1:26" s="69" customFormat="1" ht="15" customHeight="1" outlineLevel="1" collapsed="1" x14ac:dyDescent="0.3">
      <c r="A44" s="20"/>
      <c r="B44" s="11" t="str">
        <f>CONCATENATE("     ","Advertising/Promo                                 ")</f>
        <v xml:space="preserve">     Advertising/Promo                                 </v>
      </c>
      <c r="C44" s="11"/>
      <c r="D44" s="2">
        <f>SUM(OSRRefD22_2x_0)</f>
        <v>0</v>
      </c>
      <c r="E44" s="2"/>
      <c r="F44" s="5">
        <f t="shared" si="0"/>
        <v>0</v>
      </c>
      <c r="G44" s="2"/>
      <c r="H44" s="2">
        <f>SUM(OSRRefH22_2x_0)</f>
        <v>0</v>
      </c>
      <c r="I44" s="2"/>
      <c r="J44" s="5">
        <f t="shared" si="1"/>
        <v>0</v>
      </c>
      <c r="K44" s="2"/>
      <c r="L44" s="2">
        <f t="shared" si="2"/>
        <v>0</v>
      </c>
      <c r="M44" s="2"/>
      <c r="N44" s="5">
        <f t="shared" si="3"/>
        <v>0</v>
      </c>
      <c r="O44" s="11"/>
      <c r="P44" s="2">
        <f>SUM(OSRRefP22_2x_0)</f>
        <v>263.58</v>
      </c>
      <c r="Q44" s="2"/>
      <c r="R44" s="5">
        <f t="shared" si="4"/>
        <v>0</v>
      </c>
      <c r="S44" s="2"/>
      <c r="T44" s="2">
        <f>SUM(OSRRefT22_2x_0)</f>
        <v>0</v>
      </c>
      <c r="U44" s="2"/>
      <c r="V44" s="5">
        <f t="shared" si="5"/>
        <v>0</v>
      </c>
      <c r="W44" s="2"/>
      <c r="X44" s="2">
        <f t="shared" si="6"/>
        <v>263.58</v>
      </c>
      <c r="Y44" s="2"/>
      <c r="Z44" s="5">
        <f t="shared" si="7"/>
        <v>0</v>
      </c>
    </row>
    <row r="45" spans="1:26" s="70" customFormat="1" ht="15" hidden="1" customHeight="1" outlineLevel="2" x14ac:dyDescent="0.3">
      <c r="A45" s="21"/>
      <c r="B45" s="9" t="str">
        <f>CONCATENATE("          ","6362"," - ","ADVERTISING EXPENSE")</f>
        <v xml:space="preserve">          6362 - ADVERTISING EXPENSE</v>
      </c>
      <c r="C45" s="9"/>
      <c r="D45" s="6"/>
      <c r="E45" s="3"/>
      <c r="F45" s="7">
        <f t="shared" si="0"/>
        <v>0</v>
      </c>
      <c r="G45" s="3"/>
      <c r="H45" s="6"/>
      <c r="I45" s="3"/>
      <c r="J45" s="7">
        <f t="shared" si="1"/>
        <v>0</v>
      </c>
      <c r="K45" s="3"/>
      <c r="L45" s="6">
        <f t="shared" si="2"/>
        <v>0</v>
      </c>
      <c r="M45" s="3"/>
      <c r="N45" s="7">
        <f t="shared" si="3"/>
        <v>0</v>
      </c>
      <c r="O45" s="9"/>
      <c r="P45" s="6">
        <v>263.58</v>
      </c>
      <c r="Q45" s="3"/>
      <c r="R45" s="7">
        <f t="shared" si="4"/>
        <v>0</v>
      </c>
      <c r="S45" s="3"/>
      <c r="T45" s="6"/>
      <c r="U45" s="3"/>
      <c r="V45" s="7">
        <f t="shared" si="5"/>
        <v>0</v>
      </c>
      <c r="W45" s="3"/>
      <c r="X45" s="6">
        <f t="shared" si="6"/>
        <v>263.58</v>
      </c>
      <c r="Y45" s="3"/>
      <c r="Z45" s="7">
        <f t="shared" si="7"/>
        <v>0</v>
      </c>
    </row>
    <row r="46" spans="1:26" s="69" customFormat="1" ht="15" customHeight="1" outlineLevel="1" collapsed="1" x14ac:dyDescent="0.3">
      <c r="A46" s="20"/>
      <c r="B46" s="11" t="str">
        <f>CONCATENATE("     ","Bank/card Fees                                    ")</f>
        <v xml:space="preserve">     Bank/card Fees                                    </v>
      </c>
      <c r="C46" s="11"/>
      <c r="D46" s="2">
        <f>SUM(OSRRefD22_3x_0)</f>
        <v>0</v>
      </c>
      <c r="E46" s="2"/>
      <c r="F46" s="5">
        <f t="shared" si="0"/>
        <v>0</v>
      </c>
      <c r="G46" s="2"/>
      <c r="H46" s="2">
        <f>SUM(OSRRefH22_3x_0)</f>
        <v>1745</v>
      </c>
      <c r="I46" s="2"/>
      <c r="J46" s="5">
        <f t="shared" si="1"/>
        <v>3.9967018620737045E-2</v>
      </c>
      <c r="K46" s="2"/>
      <c r="L46" s="2">
        <f t="shared" si="2"/>
        <v>-1745</v>
      </c>
      <c r="M46" s="2"/>
      <c r="N46" s="5">
        <f t="shared" si="3"/>
        <v>-1</v>
      </c>
      <c r="O46" s="11"/>
      <c r="P46" s="2">
        <f>SUM(OSRRefP22_3x_0)</f>
        <v>0.64</v>
      </c>
      <c r="Q46" s="2"/>
      <c r="R46" s="5">
        <f t="shared" si="4"/>
        <v>0</v>
      </c>
      <c r="S46" s="2"/>
      <c r="T46" s="2">
        <f>SUM(OSRRefT22_3x_0)</f>
        <v>38579</v>
      </c>
      <c r="U46" s="2"/>
      <c r="V46" s="5">
        <f t="shared" si="5"/>
        <v>3.9970285704813133E-2</v>
      </c>
      <c r="W46" s="2"/>
      <c r="X46" s="2">
        <f t="shared" si="6"/>
        <v>-38578.36</v>
      </c>
      <c r="Y46" s="2"/>
      <c r="Z46" s="5">
        <f t="shared" si="7"/>
        <v>-0.99998341066383267</v>
      </c>
    </row>
    <row r="47" spans="1:26" s="70" customFormat="1" ht="15" hidden="1" customHeight="1" outlineLevel="2" x14ac:dyDescent="0.3">
      <c r="A47" s="21"/>
      <c r="B47" s="9" t="str">
        <f>CONCATENATE("          ","6381"," - ","BANK/CREDIT CARD FEES")</f>
        <v xml:space="preserve">          6381 - BANK/CREDIT CARD FEES</v>
      </c>
      <c r="C47" s="9"/>
      <c r="D47" s="6"/>
      <c r="E47" s="3"/>
      <c r="F47" s="7">
        <f t="shared" si="0"/>
        <v>0</v>
      </c>
      <c r="G47" s="3"/>
      <c r="H47" s="6">
        <v>1745</v>
      </c>
      <c r="I47" s="3"/>
      <c r="J47" s="7">
        <f t="shared" si="1"/>
        <v>3.9967018620737045E-2</v>
      </c>
      <c r="K47" s="3"/>
      <c r="L47" s="6">
        <f t="shared" si="2"/>
        <v>-1745</v>
      </c>
      <c r="M47" s="3"/>
      <c r="N47" s="7">
        <f t="shared" si="3"/>
        <v>-1</v>
      </c>
      <c r="O47" s="9"/>
      <c r="P47" s="6">
        <v>0.64</v>
      </c>
      <c r="Q47" s="3"/>
      <c r="R47" s="7">
        <f t="shared" si="4"/>
        <v>0</v>
      </c>
      <c r="S47" s="3"/>
      <c r="T47" s="6">
        <v>38579</v>
      </c>
      <c r="U47" s="3"/>
      <c r="V47" s="7">
        <f t="shared" si="5"/>
        <v>3.9970285704813133E-2</v>
      </c>
      <c r="W47" s="3"/>
      <c r="X47" s="6">
        <f t="shared" si="6"/>
        <v>-38578.36</v>
      </c>
      <c r="Y47" s="3"/>
      <c r="Z47" s="7">
        <f t="shared" si="7"/>
        <v>-0.99998341066383267</v>
      </c>
    </row>
    <row r="48" spans="1:26" s="69" customFormat="1" ht="15" customHeight="1" outlineLevel="1" collapsed="1" x14ac:dyDescent="0.3">
      <c r="A48" s="20"/>
      <c r="B48" s="11" t="str">
        <f>CONCATENATE("     ","Depreciation                                      ")</f>
        <v xml:space="preserve">     Depreciation                                      </v>
      </c>
      <c r="C48" s="11"/>
      <c r="D48" s="2">
        <f>SUM(OSRRefD22_4x_0)</f>
        <v>7400.02</v>
      </c>
      <c r="E48" s="2"/>
      <c r="F48" s="5">
        <f t="shared" si="0"/>
        <v>0</v>
      </c>
      <c r="G48" s="2"/>
      <c r="H48" s="2">
        <f>SUM(OSRRefH22_4x_0)</f>
        <v>6701</v>
      </c>
      <c r="I48" s="2"/>
      <c r="J48" s="5">
        <f t="shared" si="1"/>
        <v>0.1534779322507501</v>
      </c>
      <c r="K48" s="2"/>
      <c r="L48" s="2">
        <f t="shared" si="2"/>
        <v>699.02000000000044</v>
      </c>
      <c r="M48" s="2"/>
      <c r="N48" s="5">
        <f t="shared" si="3"/>
        <v>0.10431577376510975</v>
      </c>
      <c r="O48" s="11"/>
      <c r="P48" s="2">
        <f>SUM(OSRRefP22_4x_0)</f>
        <v>82498.09</v>
      </c>
      <c r="Q48" s="2"/>
      <c r="R48" s="5">
        <f t="shared" si="4"/>
        <v>0</v>
      </c>
      <c r="S48" s="2"/>
      <c r="T48" s="2">
        <f>SUM(OSRRefT22_4x_0)</f>
        <v>80500</v>
      </c>
      <c r="U48" s="2"/>
      <c r="V48" s="5">
        <f t="shared" si="5"/>
        <v>8.3403094928262977E-2</v>
      </c>
      <c r="W48" s="2"/>
      <c r="X48" s="2">
        <f t="shared" si="6"/>
        <v>1998.0899999999965</v>
      </c>
      <c r="Y48" s="2"/>
      <c r="Z48" s="5">
        <f t="shared" si="7"/>
        <v>2.4820993788819832E-2</v>
      </c>
    </row>
    <row r="49" spans="1:26" s="70" customFormat="1" ht="15" hidden="1" customHeight="1" outlineLevel="2" x14ac:dyDescent="0.3">
      <c r="A49" s="21"/>
      <c r="B49" s="9" t="str">
        <f>CONCATENATE("          ","6321"," - ","BUILDING DEPRECIATION")</f>
        <v xml:space="preserve">          6321 - BUILDING DEPRECIATION</v>
      </c>
      <c r="C49" s="9"/>
      <c r="D49" s="6">
        <v>6492.96</v>
      </c>
      <c r="E49" s="3"/>
      <c r="F49" s="7">
        <f t="shared" si="0"/>
        <v>0</v>
      </c>
      <c r="G49" s="3"/>
      <c r="H49" s="6"/>
      <c r="I49" s="3"/>
      <c r="J49" s="7">
        <f t="shared" si="1"/>
        <v>0</v>
      </c>
      <c r="K49" s="3"/>
      <c r="L49" s="6">
        <f t="shared" si="2"/>
        <v>6492.96</v>
      </c>
      <c r="M49" s="3"/>
      <c r="N49" s="7">
        <f t="shared" si="3"/>
        <v>0</v>
      </c>
      <c r="O49" s="9"/>
      <c r="P49" s="6">
        <v>78003.66</v>
      </c>
      <c r="Q49" s="3"/>
      <c r="R49" s="7">
        <f t="shared" si="4"/>
        <v>0</v>
      </c>
      <c r="S49" s="3"/>
      <c r="T49" s="6"/>
      <c r="U49" s="3"/>
      <c r="V49" s="7">
        <f t="shared" si="5"/>
        <v>0</v>
      </c>
      <c r="W49" s="3"/>
      <c r="X49" s="6">
        <f t="shared" si="6"/>
        <v>78003.66</v>
      </c>
      <c r="Y49" s="3"/>
      <c r="Z49" s="7">
        <f t="shared" si="7"/>
        <v>0</v>
      </c>
    </row>
    <row r="50" spans="1:26" s="70" customFormat="1" ht="15" hidden="1" customHeight="1" outlineLevel="2" x14ac:dyDescent="0.3">
      <c r="A50" s="21"/>
      <c r="B50" s="9" t="str">
        <f>CONCATENATE("          ","6322"," - ","EQUIPMENT DEPRECIATION EXPENSE")</f>
        <v xml:space="preserve">          6322 - EQUIPMENT DEPRECIATION EXPENSE</v>
      </c>
      <c r="C50" s="9"/>
      <c r="D50" s="6">
        <v>907.06</v>
      </c>
      <c r="E50" s="3"/>
      <c r="F50" s="7">
        <f t="shared" si="0"/>
        <v>0</v>
      </c>
      <c r="G50" s="3"/>
      <c r="H50" s="6">
        <v>6701</v>
      </c>
      <c r="I50" s="3"/>
      <c r="J50" s="7">
        <f t="shared" si="1"/>
        <v>0.1534779322507501</v>
      </c>
      <c r="K50" s="3"/>
      <c r="L50" s="6">
        <f t="shared" si="2"/>
        <v>-5793.9400000000005</v>
      </c>
      <c r="M50" s="3"/>
      <c r="N50" s="7">
        <f t="shared" si="3"/>
        <v>-0.86463811371437105</v>
      </c>
      <c r="O50" s="9"/>
      <c r="P50" s="6">
        <v>4494.43</v>
      </c>
      <c r="Q50" s="3"/>
      <c r="R50" s="7">
        <f t="shared" si="4"/>
        <v>0</v>
      </c>
      <c r="S50" s="3"/>
      <c r="T50" s="6">
        <v>80500</v>
      </c>
      <c r="U50" s="3"/>
      <c r="V50" s="7">
        <f t="shared" si="5"/>
        <v>8.3403094928262977E-2</v>
      </c>
      <c r="W50" s="3"/>
      <c r="X50" s="6">
        <f t="shared" si="6"/>
        <v>-76005.570000000007</v>
      </c>
      <c r="Y50" s="3"/>
      <c r="Z50" s="7">
        <f t="shared" si="7"/>
        <v>-0.94416857142857147</v>
      </c>
    </row>
    <row r="51" spans="1:26" s="69" customFormat="1" ht="15" customHeight="1" outlineLevel="1" collapsed="1" x14ac:dyDescent="0.3">
      <c r="A51" s="20"/>
      <c r="B51" s="11" t="str">
        <f>CONCATENATE("     ","Employees' Appreciation                           ")</f>
        <v xml:space="preserve">     Employees' Appreciation                           </v>
      </c>
      <c r="C51" s="11"/>
      <c r="D51" s="2">
        <f>SUM(OSRRefD22_5x_0)</f>
        <v>0</v>
      </c>
      <c r="E51" s="2"/>
      <c r="F51" s="5">
        <f t="shared" si="0"/>
        <v>0</v>
      </c>
      <c r="G51" s="2"/>
      <c r="H51" s="2">
        <f>SUM(OSRRefH22_5x_0)</f>
        <v>0</v>
      </c>
      <c r="I51" s="2"/>
      <c r="J51" s="5">
        <f t="shared" si="1"/>
        <v>0</v>
      </c>
      <c r="K51" s="2"/>
      <c r="L51" s="2">
        <f t="shared" si="2"/>
        <v>0</v>
      </c>
      <c r="M51" s="2"/>
      <c r="N51" s="5">
        <f t="shared" si="3"/>
        <v>0</v>
      </c>
      <c r="O51" s="11"/>
      <c r="P51" s="2">
        <f>SUM(OSRRefP22_5x_0)</f>
        <v>49.95</v>
      </c>
      <c r="Q51" s="2"/>
      <c r="R51" s="5">
        <f t="shared" si="4"/>
        <v>0</v>
      </c>
      <c r="S51" s="2"/>
      <c r="T51" s="2">
        <f>SUM(OSRRefT22_5x_0)</f>
        <v>140</v>
      </c>
      <c r="U51" s="2"/>
      <c r="V51" s="5">
        <f t="shared" si="5"/>
        <v>1.4504886074480518E-4</v>
      </c>
      <c r="W51" s="2"/>
      <c r="X51" s="2">
        <f t="shared" si="6"/>
        <v>-90.05</v>
      </c>
      <c r="Y51" s="2"/>
      <c r="Z51" s="5">
        <f t="shared" si="7"/>
        <v>-0.64321428571428574</v>
      </c>
    </row>
    <row r="52" spans="1:26" s="70" customFormat="1" ht="15" hidden="1" customHeight="1" outlineLevel="2" x14ac:dyDescent="0.3">
      <c r="A52" s="21"/>
      <c r="B52" s="9" t="str">
        <f>CONCATENATE("          ","6277"," - ","EMPLOYEE APPRECIATION")</f>
        <v xml:space="preserve">          6277 - EMPLOYEE APPRECIATION</v>
      </c>
      <c r="C52" s="9"/>
      <c r="D52" s="6"/>
      <c r="E52" s="3"/>
      <c r="F52" s="7">
        <f t="shared" si="0"/>
        <v>0</v>
      </c>
      <c r="G52" s="3"/>
      <c r="H52" s="6"/>
      <c r="I52" s="3"/>
      <c r="J52" s="7">
        <f t="shared" si="1"/>
        <v>0</v>
      </c>
      <c r="K52" s="3"/>
      <c r="L52" s="6">
        <f t="shared" si="2"/>
        <v>0</v>
      </c>
      <c r="M52" s="3"/>
      <c r="N52" s="7">
        <f t="shared" si="3"/>
        <v>0</v>
      </c>
      <c r="O52" s="9"/>
      <c r="P52" s="6">
        <v>49.95</v>
      </c>
      <c r="Q52" s="3"/>
      <c r="R52" s="7">
        <f t="shared" si="4"/>
        <v>0</v>
      </c>
      <c r="S52" s="3"/>
      <c r="T52" s="6">
        <v>140</v>
      </c>
      <c r="U52" s="3"/>
      <c r="V52" s="7">
        <f t="shared" si="5"/>
        <v>1.4504886074480518E-4</v>
      </c>
      <c r="W52" s="3"/>
      <c r="X52" s="6">
        <f t="shared" si="6"/>
        <v>-90.05</v>
      </c>
      <c r="Y52" s="3"/>
      <c r="Z52" s="7">
        <f t="shared" si="7"/>
        <v>-0.64321428571428574</v>
      </c>
    </row>
    <row r="53" spans="1:26" s="69" customFormat="1" ht="15" customHeight="1" outlineLevel="1" collapsed="1" x14ac:dyDescent="0.3">
      <c r="A53" s="20"/>
      <c r="B53" s="11" t="str">
        <f>CONCATENATE("     ","Equipment Rental                                  ")</f>
        <v xml:space="preserve">     Equipment Rental                                  </v>
      </c>
      <c r="C53" s="11"/>
      <c r="D53" s="2">
        <f>SUM(OSRRefD22_6x_0)</f>
        <v>345.24</v>
      </c>
      <c r="E53" s="2"/>
      <c r="F53" s="5">
        <f t="shared" si="0"/>
        <v>0</v>
      </c>
      <c r="G53" s="2"/>
      <c r="H53" s="2">
        <f>SUM(OSRRefH22_6x_0)</f>
        <v>200</v>
      </c>
      <c r="I53" s="2"/>
      <c r="J53" s="5">
        <f t="shared" si="1"/>
        <v>4.5807471198552486E-3</v>
      </c>
      <c r="K53" s="2"/>
      <c r="L53" s="2">
        <f t="shared" si="2"/>
        <v>145.24</v>
      </c>
      <c r="M53" s="2"/>
      <c r="N53" s="5">
        <f t="shared" si="3"/>
        <v>0.72620000000000007</v>
      </c>
      <c r="O53" s="11"/>
      <c r="P53" s="2">
        <f>SUM(OSRRefP22_6x_0)</f>
        <v>6494.83</v>
      </c>
      <c r="Q53" s="2"/>
      <c r="R53" s="5">
        <f t="shared" si="4"/>
        <v>0</v>
      </c>
      <c r="S53" s="2"/>
      <c r="T53" s="2">
        <f>SUM(OSRRefT22_6x_0)</f>
        <v>2400</v>
      </c>
      <c r="U53" s="2"/>
      <c r="V53" s="5">
        <f t="shared" si="5"/>
        <v>2.4865518984823745E-3</v>
      </c>
      <c r="W53" s="2"/>
      <c r="X53" s="2">
        <f t="shared" si="6"/>
        <v>4094.83</v>
      </c>
      <c r="Y53" s="2"/>
      <c r="Z53" s="5">
        <f t="shared" si="7"/>
        <v>1.7061791666666666</v>
      </c>
    </row>
    <row r="54" spans="1:26" s="70" customFormat="1" ht="15" hidden="1" customHeight="1" outlineLevel="2" x14ac:dyDescent="0.3">
      <c r="A54" s="21"/>
      <c r="B54" s="9" t="str">
        <f>CONCATENATE("          ","6351"," - ","EQUIPMENT RENTAL")</f>
        <v xml:space="preserve">          6351 - EQUIPMENT RENTAL</v>
      </c>
      <c r="C54" s="9"/>
      <c r="D54" s="6">
        <v>345.24</v>
      </c>
      <c r="E54" s="3"/>
      <c r="F54" s="7">
        <f t="shared" ref="F54:F86" si="8">IF(D$12=0,0,D54/D$12)</f>
        <v>0</v>
      </c>
      <c r="G54" s="3"/>
      <c r="H54" s="6">
        <v>200</v>
      </c>
      <c r="I54" s="3"/>
      <c r="J54" s="7">
        <f t="shared" ref="J54:J86" si="9">IF(H$12=0,0,H54/H$12)</f>
        <v>4.5807471198552486E-3</v>
      </c>
      <c r="K54" s="3"/>
      <c r="L54" s="6">
        <f t="shared" ref="L54:L86" si="10">+D54-H54</f>
        <v>145.24</v>
      </c>
      <c r="M54" s="3"/>
      <c r="N54" s="7">
        <f t="shared" ref="N54:N86" si="11">IF(H54=0,0,L54/H54)</f>
        <v>0.72620000000000007</v>
      </c>
      <c r="O54" s="9"/>
      <c r="P54" s="6">
        <v>6494.83</v>
      </c>
      <c r="Q54" s="3"/>
      <c r="R54" s="7">
        <f t="shared" ref="R54:R86" si="12">IF(P$12=0,0,P54/P$12)</f>
        <v>0</v>
      </c>
      <c r="S54" s="3"/>
      <c r="T54" s="6">
        <v>2400</v>
      </c>
      <c r="U54" s="3"/>
      <c r="V54" s="7">
        <f t="shared" ref="V54:V86" si="13">IF(T$12=0,0,T54/T$12)</f>
        <v>2.4865518984823745E-3</v>
      </c>
      <c r="W54" s="3"/>
      <c r="X54" s="6">
        <f t="shared" ref="X54:X86" si="14">+P54-T54</f>
        <v>4094.83</v>
      </c>
      <c r="Y54" s="3"/>
      <c r="Z54" s="7">
        <f t="shared" ref="Z54:Z86" si="15">IF(T54=0,0,X54/T54)</f>
        <v>1.7061791666666666</v>
      </c>
    </row>
    <row r="55" spans="1:26" s="69" customFormat="1" ht="15" customHeight="1" outlineLevel="1" collapsed="1" x14ac:dyDescent="0.3">
      <c r="A55" s="20"/>
      <c r="B55" s="11" t="str">
        <f>CONCATENATE("     ","General                                           ")</f>
        <v xml:space="preserve">     General                                           </v>
      </c>
      <c r="C55" s="11"/>
      <c r="D55" s="2">
        <f>SUM(OSRRefD22_7x_0)</f>
        <v>93.26</v>
      </c>
      <c r="E55" s="2"/>
      <c r="F55" s="5">
        <f t="shared" si="8"/>
        <v>0</v>
      </c>
      <c r="G55" s="2"/>
      <c r="H55" s="2">
        <f>SUM(OSRRefH22_7x_0)</f>
        <v>0</v>
      </c>
      <c r="I55" s="2"/>
      <c r="J55" s="5">
        <f t="shared" si="9"/>
        <v>0</v>
      </c>
      <c r="K55" s="2"/>
      <c r="L55" s="2">
        <f t="shared" si="10"/>
        <v>93.26</v>
      </c>
      <c r="M55" s="2"/>
      <c r="N55" s="5">
        <f t="shared" si="11"/>
        <v>0</v>
      </c>
      <c r="O55" s="11"/>
      <c r="P55" s="2">
        <f>SUM(OSRRefP22_7x_0)</f>
        <v>3167.81</v>
      </c>
      <c r="Q55" s="2"/>
      <c r="R55" s="5">
        <f t="shared" si="12"/>
        <v>0</v>
      </c>
      <c r="S55" s="2"/>
      <c r="T55" s="2">
        <f>SUM(OSRRefT22_7x_0)</f>
        <v>2400</v>
      </c>
      <c r="U55" s="2"/>
      <c r="V55" s="5">
        <f t="shared" si="13"/>
        <v>2.4865518984823745E-3</v>
      </c>
      <c r="W55" s="2"/>
      <c r="X55" s="2">
        <f t="shared" si="14"/>
        <v>767.81</v>
      </c>
      <c r="Y55" s="2"/>
      <c r="Z55" s="5">
        <f t="shared" si="15"/>
        <v>0.31992083333333332</v>
      </c>
    </row>
    <row r="56" spans="1:26" s="70" customFormat="1" ht="15" hidden="1" customHeight="1" outlineLevel="2" x14ac:dyDescent="0.3">
      <c r="A56" s="21"/>
      <c r="B56" s="9" t="str">
        <f>CONCATENATE("          ","6269"," - ","ENTERTAINMENT")</f>
        <v xml:space="preserve">          6269 - ENTERTAINMENT</v>
      </c>
      <c r="C56" s="9"/>
      <c r="D56" s="6"/>
      <c r="E56" s="3"/>
      <c r="F56" s="7">
        <f t="shared" si="8"/>
        <v>0</v>
      </c>
      <c r="G56" s="3"/>
      <c r="H56" s="6"/>
      <c r="I56" s="3"/>
      <c r="J56" s="7">
        <f t="shared" si="9"/>
        <v>0</v>
      </c>
      <c r="K56" s="3"/>
      <c r="L56" s="6">
        <f t="shared" si="10"/>
        <v>0</v>
      </c>
      <c r="M56" s="3"/>
      <c r="N56" s="7">
        <f t="shared" si="11"/>
        <v>0</v>
      </c>
      <c r="O56" s="9"/>
      <c r="P56" s="6"/>
      <c r="Q56" s="3"/>
      <c r="R56" s="7">
        <f t="shared" si="12"/>
        <v>0</v>
      </c>
      <c r="S56" s="3"/>
      <c r="T56" s="6">
        <v>500</v>
      </c>
      <c r="U56" s="3"/>
      <c r="V56" s="7">
        <f t="shared" si="13"/>
        <v>5.1803164551716139E-4</v>
      </c>
      <c r="W56" s="3"/>
      <c r="X56" s="6">
        <f t="shared" si="14"/>
        <v>-500</v>
      </c>
      <c r="Y56" s="3"/>
      <c r="Z56" s="7">
        <f t="shared" si="15"/>
        <v>-1</v>
      </c>
    </row>
    <row r="57" spans="1:26" s="70" customFormat="1" ht="15" hidden="1" customHeight="1" outlineLevel="2" x14ac:dyDescent="0.3">
      <c r="A57" s="21"/>
      <c r="B57" s="9" t="str">
        <f>CONCATENATE("          ","6279"," - ","GENERAL EXPENSE")</f>
        <v xml:space="preserve">          6279 - GENERAL EXPENSE</v>
      </c>
      <c r="C57" s="9"/>
      <c r="D57" s="6">
        <v>93.26</v>
      </c>
      <c r="E57" s="3"/>
      <c r="F57" s="7">
        <f t="shared" si="8"/>
        <v>0</v>
      </c>
      <c r="G57" s="3"/>
      <c r="H57" s="6"/>
      <c r="I57" s="3"/>
      <c r="J57" s="7">
        <f t="shared" si="9"/>
        <v>0</v>
      </c>
      <c r="K57" s="3"/>
      <c r="L57" s="6">
        <f t="shared" si="10"/>
        <v>93.26</v>
      </c>
      <c r="M57" s="3"/>
      <c r="N57" s="7">
        <f t="shared" si="11"/>
        <v>0</v>
      </c>
      <c r="O57" s="9"/>
      <c r="P57" s="6">
        <v>3167.81</v>
      </c>
      <c r="Q57" s="3"/>
      <c r="R57" s="7">
        <f t="shared" si="12"/>
        <v>0</v>
      </c>
      <c r="S57" s="3"/>
      <c r="T57" s="6">
        <v>1900</v>
      </c>
      <c r="U57" s="3"/>
      <c r="V57" s="7">
        <f t="shared" si="13"/>
        <v>1.9685202529652131E-3</v>
      </c>
      <c r="W57" s="3"/>
      <c r="X57" s="6">
        <f t="shared" si="14"/>
        <v>1267.81</v>
      </c>
      <c r="Y57" s="3"/>
      <c r="Z57" s="7">
        <f t="shared" si="15"/>
        <v>0.66726842105263151</v>
      </c>
    </row>
    <row r="58" spans="1:26" s="69" customFormat="1" ht="15" customHeight="1" outlineLevel="1" collapsed="1" x14ac:dyDescent="0.3">
      <c r="A58" s="20"/>
      <c r="B58" s="11" t="str">
        <f>CONCATENATE("     ","Repair and Maintenance                            ")</f>
        <v xml:space="preserve">     Repair and Maintenance                            </v>
      </c>
      <c r="C58" s="11"/>
      <c r="D58" s="2">
        <f>SUM(OSRRefD22_8x_0)</f>
        <v>2779.97</v>
      </c>
      <c r="E58" s="2"/>
      <c r="F58" s="5">
        <f t="shared" si="8"/>
        <v>0</v>
      </c>
      <c r="G58" s="2"/>
      <c r="H58" s="2">
        <f>SUM(OSRRefH22_8x_0)</f>
        <v>655</v>
      </c>
      <c r="I58" s="2"/>
      <c r="J58" s="5">
        <f t="shared" si="9"/>
        <v>1.5001946817525938E-2</v>
      </c>
      <c r="K58" s="2"/>
      <c r="L58" s="2">
        <f t="shared" si="10"/>
        <v>2124.9699999999998</v>
      </c>
      <c r="M58" s="2"/>
      <c r="N58" s="5">
        <f t="shared" si="11"/>
        <v>3.2442290076335873</v>
      </c>
      <c r="O58" s="11"/>
      <c r="P58" s="2">
        <f>SUM(OSRRefP22_8x_0)</f>
        <v>13166.93</v>
      </c>
      <c r="Q58" s="2"/>
      <c r="R58" s="5">
        <f t="shared" si="12"/>
        <v>0</v>
      </c>
      <c r="S58" s="2"/>
      <c r="T58" s="2">
        <f>SUM(OSRRefT22_8x_0)</f>
        <v>27536</v>
      </c>
      <c r="U58" s="2"/>
      <c r="V58" s="5">
        <f t="shared" si="13"/>
        <v>2.8529038781921111E-2</v>
      </c>
      <c r="W58" s="2"/>
      <c r="X58" s="2">
        <f t="shared" si="14"/>
        <v>-14369.07</v>
      </c>
      <c r="Y58" s="2"/>
      <c r="Z58" s="5">
        <f t="shared" si="15"/>
        <v>-0.52182851539802444</v>
      </c>
    </row>
    <row r="59" spans="1:26" s="70" customFormat="1" ht="15" hidden="1" customHeight="1" outlineLevel="2" x14ac:dyDescent="0.3">
      <c r="A59" s="21"/>
      <c r="B59" s="9" t="str">
        <f>CONCATENATE("          ","6373"," - ","MAINTENANCE CONTRACTS")</f>
        <v xml:space="preserve">          6373 - MAINTENANCE CONTRACTS</v>
      </c>
      <c r="C59" s="9"/>
      <c r="D59" s="6"/>
      <c r="E59" s="3"/>
      <c r="F59" s="7">
        <f t="shared" si="8"/>
        <v>0</v>
      </c>
      <c r="G59" s="3"/>
      <c r="H59" s="6"/>
      <c r="I59" s="3"/>
      <c r="J59" s="7">
        <f t="shared" si="9"/>
        <v>0</v>
      </c>
      <c r="K59" s="3"/>
      <c r="L59" s="6">
        <f t="shared" si="10"/>
        <v>0</v>
      </c>
      <c r="M59" s="3"/>
      <c r="N59" s="7">
        <f t="shared" si="11"/>
        <v>0</v>
      </c>
      <c r="O59" s="9"/>
      <c r="P59" s="6">
        <v>3567.59</v>
      </c>
      <c r="Q59" s="3"/>
      <c r="R59" s="7">
        <f t="shared" si="12"/>
        <v>0</v>
      </c>
      <c r="S59" s="3"/>
      <c r="T59" s="6">
        <v>2000</v>
      </c>
      <c r="U59" s="3"/>
      <c r="V59" s="7">
        <f t="shared" si="13"/>
        <v>2.0721265820686455E-3</v>
      </c>
      <c r="W59" s="3"/>
      <c r="X59" s="6">
        <f t="shared" si="14"/>
        <v>1567.5900000000001</v>
      </c>
      <c r="Y59" s="3"/>
      <c r="Z59" s="7">
        <f t="shared" si="15"/>
        <v>0.78379500000000002</v>
      </c>
    </row>
    <row r="60" spans="1:26" s="70" customFormat="1" ht="15" hidden="1" customHeight="1" outlineLevel="2" x14ac:dyDescent="0.3">
      <c r="A60" s="21"/>
      <c r="B60" s="9" t="str">
        <f>CONCATENATE("          ","6375"," - ","OUTSIDE REPAIRS &amp; MAINTENANCE")</f>
        <v xml:space="preserve">          6375 - OUTSIDE REPAIRS &amp; MAINTENANCE</v>
      </c>
      <c r="C60" s="9"/>
      <c r="D60" s="6">
        <v>2779.97</v>
      </c>
      <c r="E60" s="3"/>
      <c r="F60" s="7">
        <f t="shared" si="8"/>
        <v>0</v>
      </c>
      <c r="G60" s="3"/>
      <c r="H60" s="6">
        <v>655</v>
      </c>
      <c r="I60" s="3"/>
      <c r="J60" s="7">
        <f t="shared" si="9"/>
        <v>1.5001946817525938E-2</v>
      </c>
      <c r="K60" s="3"/>
      <c r="L60" s="6">
        <f t="shared" si="10"/>
        <v>2124.9699999999998</v>
      </c>
      <c r="M60" s="3"/>
      <c r="N60" s="7">
        <f t="shared" si="11"/>
        <v>3.2442290076335873</v>
      </c>
      <c r="O60" s="9"/>
      <c r="P60" s="6">
        <v>9599.34</v>
      </c>
      <c r="Q60" s="3"/>
      <c r="R60" s="7">
        <f t="shared" si="12"/>
        <v>0</v>
      </c>
      <c r="S60" s="3"/>
      <c r="T60" s="6">
        <v>25536</v>
      </c>
      <c r="U60" s="3"/>
      <c r="V60" s="7">
        <f t="shared" si="13"/>
        <v>2.6456912199852464E-2</v>
      </c>
      <c r="W60" s="3"/>
      <c r="X60" s="6">
        <f t="shared" si="14"/>
        <v>-15936.66</v>
      </c>
      <c r="Y60" s="3"/>
      <c r="Z60" s="7">
        <f t="shared" si="15"/>
        <v>-0.62408599624060146</v>
      </c>
    </row>
    <row r="61" spans="1:26" s="69" customFormat="1" ht="15" customHeight="1" outlineLevel="1" collapsed="1" x14ac:dyDescent="0.3">
      <c r="A61" s="20"/>
      <c r="B61" s="11" t="str">
        <f>CONCATENATE("     ","Services                                          ")</f>
        <v xml:space="preserve">     Services                                          </v>
      </c>
      <c r="C61" s="11"/>
      <c r="D61" s="2">
        <f>SUM(OSRRefD22_9x_0)</f>
        <v>0</v>
      </c>
      <c r="E61" s="2"/>
      <c r="F61" s="5">
        <f t="shared" si="8"/>
        <v>0</v>
      </c>
      <c r="G61" s="2"/>
      <c r="H61" s="2">
        <f>SUM(OSRRefH22_9x_0)</f>
        <v>3200</v>
      </c>
      <c r="I61" s="2"/>
      <c r="J61" s="5">
        <f t="shared" si="9"/>
        <v>7.3291953917683977E-2</v>
      </c>
      <c r="K61" s="2"/>
      <c r="L61" s="2">
        <f t="shared" si="10"/>
        <v>-3200</v>
      </c>
      <c r="M61" s="2"/>
      <c r="N61" s="5">
        <f t="shared" si="11"/>
        <v>-1</v>
      </c>
      <c r="O61" s="11"/>
      <c r="P61" s="2">
        <f>SUM(OSRRefP22_9x_0)</f>
        <v>260</v>
      </c>
      <c r="Q61" s="2"/>
      <c r="R61" s="5">
        <f t="shared" si="12"/>
        <v>0</v>
      </c>
      <c r="S61" s="2"/>
      <c r="T61" s="2">
        <f>SUM(OSRRefT22_9x_0)</f>
        <v>35750</v>
      </c>
      <c r="U61" s="2"/>
      <c r="V61" s="5">
        <f t="shared" si="13"/>
        <v>3.7039262654477038E-2</v>
      </c>
      <c r="W61" s="2"/>
      <c r="X61" s="2">
        <f t="shared" si="14"/>
        <v>-35490</v>
      </c>
      <c r="Y61" s="2"/>
      <c r="Z61" s="5">
        <f t="shared" si="15"/>
        <v>-0.99272727272727268</v>
      </c>
    </row>
    <row r="62" spans="1:26" s="70" customFormat="1" ht="15" hidden="1" customHeight="1" outlineLevel="2" x14ac:dyDescent="0.3">
      <c r="A62" s="21"/>
      <c r="B62" s="9" t="str">
        <f>CONCATENATE("          ","6283"," - ","PLANT SERVICE")</f>
        <v xml:space="preserve">          6283 - PLANT SERVICE</v>
      </c>
      <c r="C62" s="9"/>
      <c r="D62" s="6"/>
      <c r="E62" s="3"/>
      <c r="F62" s="7">
        <f t="shared" si="8"/>
        <v>0</v>
      </c>
      <c r="G62" s="3"/>
      <c r="H62" s="6">
        <v>100</v>
      </c>
      <c r="I62" s="3"/>
      <c r="J62" s="7">
        <f t="shared" si="9"/>
        <v>2.2903735599276243E-3</v>
      </c>
      <c r="K62" s="3"/>
      <c r="L62" s="6">
        <f t="shared" si="10"/>
        <v>-100</v>
      </c>
      <c r="M62" s="3"/>
      <c r="N62" s="7">
        <f t="shared" si="11"/>
        <v>-1</v>
      </c>
      <c r="O62" s="9"/>
      <c r="P62" s="6"/>
      <c r="Q62" s="3"/>
      <c r="R62" s="7">
        <f t="shared" si="12"/>
        <v>0</v>
      </c>
      <c r="S62" s="3"/>
      <c r="T62" s="6">
        <v>1200</v>
      </c>
      <c r="U62" s="3"/>
      <c r="V62" s="7">
        <f t="shared" si="13"/>
        <v>1.2432759492411872E-3</v>
      </c>
      <c r="W62" s="3"/>
      <c r="X62" s="6">
        <f t="shared" si="14"/>
        <v>-1200</v>
      </c>
      <c r="Y62" s="3"/>
      <c r="Z62" s="7">
        <f t="shared" si="15"/>
        <v>-1</v>
      </c>
    </row>
    <row r="63" spans="1:26" s="70" customFormat="1" ht="15" hidden="1" customHeight="1" outlineLevel="2" x14ac:dyDescent="0.3">
      <c r="A63" s="21"/>
      <c r="B63" s="9" t="str">
        <f>CONCATENATE("          ","6284"," - ","TRASH REMOVAL EXPENSE")</f>
        <v xml:space="preserve">          6284 - TRASH REMOVAL EXPENSE</v>
      </c>
      <c r="C63" s="9"/>
      <c r="D63" s="6"/>
      <c r="E63" s="3"/>
      <c r="F63" s="7">
        <f t="shared" si="8"/>
        <v>0</v>
      </c>
      <c r="G63" s="3"/>
      <c r="H63" s="6"/>
      <c r="I63" s="3"/>
      <c r="J63" s="7">
        <f t="shared" si="9"/>
        <v>0</v>
      </c>
      <c r="K63" s="3"/>
      <c r="L63" s="6">
        <f t="shared" si="10"/>
        <v>0</v>
      </c>
      <c r="M63" s="3"/>
      <c r="N63" s="7">
        <f t="shared" si="11"/>
        <v>0</v>
      </c>
      <c r="O63" s="9"/>
      <c r="P63" s="6"/>
      <c r="Q63" s="3"/>
      <c r="R63" s="7">
        <f t="shared" si="12"/>
        <v>0</v>
      </c>
      <c r="S63" s="3"/>
      <c r="T63" s="6">
        <v>0</v>
      </c>
      <c r="U63" s="3"/>
      <c r="V63" s="7">
        <f t="shared" si="13"/>
        <v>0</v>
      </c>
      <c r="W63" s="3"/>
      <c r="X63" s="6">
        <f t="shared" si="14"/>
        <v>0</v>
      </c>
      <c r="Y63" s="3"/>
      <c r="Z63" s="7">
        <f t="shared" si="15"/>
        <v>0</v>
      </c>
    </row>
    <row r="64" spans="1:26" s="70" customFormat="1" ht="15" hidden="1" customHeight="1" outlineLevel="2" x14ac:dyDescent="0.3">
      <c r="A64" s="21"/>
      <c r="B64" s="9" t="str">
        <f>CONCATENATE("          ","6285"," - ","JANITORIAL SERVICES")</f>
        <v xml:space="preserve">          6285 - JANITORIAL SERVICES</v>
      </c>
      <c r="C64" s="9"/>
      <c r="D64" s="6"/>
      <c r="E64" s="3"/>
      <c r="F64" s="7">
        <f t="shared" si="8"/>
        <v>0</v>
      </c>
      <c r="G64" s="3"/>
      <c r="H64" s="6">
        <v>3100</v>
      </c>
      <c r="I64" s="3"/>
      <c r="J64" s="7">
        <f t="shared" si="9"/>
        <v>7.1001580357756347E-2</v>
      </c>
      <c r="K64" s="3"/>
      <c r="L64" s="6">
        <f t="shared" si="10"/>
        <v>-3100</v>
      </c>
      <c r="M64" s="3"/>
      <c r="N64" s="7">
        <f t="shared" si="11"/>
        <v>-1</v>
      </c>
      <c r="O64" s="9"/>
      <c r="P64" s="6">
        <v>260</v>
      </c>
      <c r="Q64" s="3"/>
      <c r="R64" s="7">
        <f t="shared" si="12"/>
        <v>0</v>
      </c>
      <c r="S64" s="3"/>
      <c r="T64" s="6">
        <v>34100</v>
      </c>
      <c r="U64" s="3"/>
      <c r="V64" s="7">
        <f t="shared" si="13"/>
        <v>3.5329758224270404E-2</v>
      </c>
      <c r="W64" s="3"/>
      <c r="X64" s="6">
        <f t="shared" si="14"/>
        <v>-33840</v>
      </c>
      <c r="Y64" s="3"/>
      <c r="Z64" s="7">
        <f t="shared" si="15"/>
        <v>-0.99237536656891501</v>
      </c>
    </row>
    <row r="65" spans="1:26" s="70" customFormat="1" ht="15" hidden="1" customHeight="1" outlineLevel="2" x14ac:dyDescent="0.3">
      <c r="A65" s="21"/>
      <c r="B65" s="9" t="str">
        <f>CONCATENATE("          ","6286"," - ","LAUNDRY EXPENSE")</f>
        <v xml:space="preserve">          6286 - LAUNDRY EXPENSE</v>
      </c>
      <c r="C65" s="9"/>
      <c r="D65" s="6"/>
      <c r="E65" s="3"/>
      <c r="F65" s="7">
        <f t="shared" si="8"/>
        <v>0</v>
      </c>
      <c r="G65" s="3"/>
      <c r="H65" s="6"/>
      <c r="I65" s="3"/>
      <c r="J65" s="7">
        <f t="shared" si="9"/>
        <v>0</v>
      </c>
      <c r="K65" s="3"/>
      <c r="L65" s="6">
        <f t="shared" si="10"/>
        <v>0</v>
      </c>
      <c r="M65" s="3"/>
      <c r="N65" s="7">
        <f t="shared" si="11"/>
        <v>0</v>
      </c>
      <c r="O65" s="9"/>
      <c r="P65" s="6"/>
      <c r="Q65" s="3"/>
      <c r="R65" s="7">
        <f t="shared" si="12"/>
        <v>0</v>
      </c>
      <c r="S65" s="3"/>
      <c r="T65" s="6">
        <v>450</v>
      </c>
      <c r="U65" s="3"/>
      <c r="V65" s="7">
        <f t="shared" si="13"/>
        <v>4.6622848096544521E-4</v>
      </c>
      <c r="W65" s="3"/>
      <c r="X65" s="6">
        <f t="shared" si="14"/>
        <v>-450</v>
      </c>
      <c r="Y65" s="3"/>
      <c r="Z65" s="7">
        <f t="shared" si="15"/>
        <v>-1</v>
      </c>
    </row>
    <row r="66" spans="1:26" s="69" customFormat="1" ht="15" customHeight="1" outlineLevel="1" collapsed="1" x14ac:dyDescent="0.3">
      <c r="A66" s="20"/>
      <c r="B66" s="11" t="str">
        <f>CONCATENATE("     ","Subscriptions &amp; Dues                              ")</f>
        <v xml:space="preserve">     Subscriptions &amp; Dues                              </v>
      </c>
      <c r="C66" s="11"/>
      <c r="D66" s="2">
        <f>SUM(OSRRefD22_10x_0)</f>
        <v>214.91</v>
      </c>
      <c r="E66" s="2"/>
      <c r="F66" s="5">
        <f t="shared" si="8"/>
        <v>0</v>
      </c>
      <c r="G66" s="2"/>
      <c r="H66" s="2">
        <f>SUM(OSRRefH22_10x_0)</f>
        <v>200</v>
      </c>
      <c r="I66" s="2"/>
      <c r="J66" s="5">
        <f t="shared" si="9"/>
        <v>4.5807471198552486E-3</v>
      </c>
      <c r="K66" s="2"/>
      <c r="L66" s="2">
        <f t="shared" si="10"/>
        <v>14.909999999999997</v>
      </c>
      <c r="M66" s="2"/>
      <c r="N66" s="5">
        <f t="shared" si="11"/>
        <v>7.4549999999999977E-2</v>
      </c>
      <c r="O66" s="11"/>
      <c r="P66" s="2">
        <f>SUM(OSRRefP22_10x_0)</f>
        <v>2712.66</v>
      </c>
      <c r="Q66" s="2"/>
      <c r="R66" s="5">
        <f t="shared" si="12"/>
        <v>0</v>
      </c>
      <c r="S66" s="2"/>
      <c r="T66" s="2">
        <f>SUM(OSRRefT22_10x_0)</f>
        <v>2200</v>
      </c>
      <c r="U66" s="2"/>
      <c r="V66" s="5">
        <f t="shared" si="13"/>
        <v>2.27933924027551E-3</v>
      </c>
      <c r="W66" s="2"/>
      <c r="X66" s="2">
        <f t="shared" si="14"/>
        <v>512.65999999999985</v>
      </c>
      <c r="Y66" s="2"/>
      <c r="Z66" s="5">
        <f t="shared" si="15"/>
        <v>0.23302727272727267</v>
      </c>
    </row>
    <row r="67" spans="1:26" s="70" customFormat="1" ht="15" hidden="1" customHeight="1" outlineLevel="2" x14ac:dyDescent="0.3">
      <c r="A67" s="21"/>
      <c r="B67" s="9" t="str">
        <f>CONCATENATE("          ","6275"," - ","SUBSCRIPTIONS")</f>
        <v xml:space="preserve">          6275 - SUBSCRIPTIONS</v>
      </c>
      <c r="C67" s="9"/>
      <c r="D67" s="6">
        <v>214.91</v>
      </c>
      <c r="E67" s="3"/>
      <c r="F67" s="7">
        <f t="shared" si="8"/>
        <v>0</v>
      </c>
      <c r="G67" s="3"/>
      <c r="H67" s="6">
        <v>200</v>
      </c>
      <c r="I67" s="3"/>
      <c r="J67" s="7">
        <f t="shared" si="9"/>
        <v>4.5807471198552486E-3</v>
      </c>
      <c r="K67" s="3"/>
      <c r="L67" s="6">
        <f t="shared" si="10"/>
        <v>14.909999999999997</v>
      </c>
      <c r="M67" s="3"/>
      <c r="N67" s="7">
        <f t="shared" si="11"/>
        <v>7.4549999999999977E-2</v>
      </c>
      <c r="O67" s="9"/>
      <c r="P67" s="6">
        <v>2712.66</v>
      </c>
      <c r="Q67" s="3"/>
      <c r="R67" s="7">
        <f t="shared" si="12"/>
        <v>0</v>
      </c>
      <c r="S67" s="3"/>
      <c r="T67" s="6">
        <v>2200</v>
      </c>
      <c r="U67" s="3"/>
      <c r="V67" s="7">
        <f t="shared" si="13"/>
        <v>2.27933924027551E-3</v>
      </c>
      <c r="W67" s="3"/>
      <c r="X67" s="6">
        <f t="shared" si="14"/>
        <v>512.65999999999985</v>
      </c>
      <c r="Y67" s="3"/>
      <c r="Z67" s="7">
        <f t="shared" si="15"/>
        <v>0.23302727272727267</v>
      </c>
    </row>
    <row r="68" spans="1:26" s="69" customFormat="1" ht="15" customHeight="1" outlineLevel="1" collapsed="1" x14ac:dyDescent="0.3">
      <c r="A68" s="20"/>
      <c r="B68" s="11" t="str">
        <f>CONCATENATE("     ","Supplies                                          ")</f>
        <v xml:space="preserve">     Supplies                                          </v>
      </c>
      <c r="C68" s="11"/>
      <c r="D68" s="2">
        <f>SUM(OSRRefD22_11x_0)</f>
        <v>0</v>
      </c>
      <c r="E68" s="2"/>
      <c r="F68" s="5">
        <f t="shared" si="8"/>
        <v>0</v>
      </c>
      <c r="G68" s="2"/>
      <c r="H68" s="2">
        <f>SUM(OSRRefH22_11x_0)</f>
        <v>425</v>
      </c>
      <c r="I68" s="2"/>
      <c r="J68" s="5">
        <f t="shared" si="9"/>
        <v>9.734087629692403E-3</v>
      </c>
      <c r="K68" s="2"/>
      <c r="L68" s="2">
        <f t="shared" si="10"/>
        <v>-425</v>
      </c>
      <c r="M68" s="2"/>
      <c r="N68" s="5">
        <f t="shared" si="11"/>
        <v>-1</v>
      </c>
      <c r="O68" s="11"/>
      <c r="P68" s="2">
        <f>SUM(OSRRefP22_11x_0)</f>
        <v>2834.56</v>
      </c>
      <c r="Q68" s="2"/>
      <c r="R68" s="5">
        <f t="shared" si="12"/>
        <v>0</v>
      </c>
      <c r="S68" s="2"/>
      <c r="T68" s="2">
        <f>SUM(OSRRefT22_11x_0)</f>
        <v>12975</v>
      </c>
      <c r="U68" s="2"/>
      <c r="V68" s="5">
        <f t="shared" si="13"/>
        <v>1.3442921201170337E-2</v>
      </c>
      <c r="W68" s="2"/>
      <c r="X68" s="2">
        <f t="shared" si="14"/>
        <v>-10140.44</v>
      </c>
      <c r="Y68" s="2"/>
      <c r="Z68" s="5">
        <f t="shared" si="15"/>
        <v>-0.78153680154142591</v>
      </c>
    </row>
    <row r="69" spans="1:26" s="70" customFormat="1" ht="15" hidden="1" customHeight="1" outlineLevel="2" x14ac:dyDescent="0.3">
      <c r="A69" s="21"/>
      <c r="B69" s="9" t="str">
        <f>CONCATENATE("          ","6235"," - ","COVID-19 EXPENSES")</f>
        <v xml:space="preserve">          6235 - COVID-19 EXPENSES</v>
      </c>
      <c r="C69" s="9"/>
      <c r="D69" s="6"/>
      <c r="E69" s="3"/>
      <c r="F69" s="7">
        <f t="shared" si="8"/>
        <v>0</v>
      </c>
      <c r="G69" s="3"/>
      <c r="H69" s="6">
        <v>150</v>
      </c>
      <c r="I69" s="3"/>
      <c r="J69" s="7">
        <f t="shared" si="9"/>
        <v>3.4355603398914364E-3</v>
      </c>
      <c r="K69" s="3"/>
      <c r="L69" s="6">
        <f t="shared" si="10"/>
        <v>-150</v>
      </c>
      <c r="M69" s="3"/>
      <c r="N69" s="7">
        <f t="shared" si="11"/>
        <v>-1</v>
      </c>
      <c r="O69" s="9"/>
      <c r="P69" s="6">
        <v>35.72</v>
      </c>
      <c r="Q69" s="3"/>
      <c r="R69" s="7">
        <f t="shared" si="12"/>
        <v>0</v>
      </c>
      <c r="S69" s="3"/>
      <c r="T69" s="6">
        <v>2150</v>
      </c>
      <c r="U69" s="3"/>
      <c r="V69" s="7">
        <f t="shared" si="13"/>
        <v>2.227536075723794E-3</v>
      </c>
      <c r="W69" s="3"/>
      <c r="X69" s="6">
        <f t="shared" si="14"/>
        <v>-2114.2800000000002</v>
      </c>
      <c r="Y69" s="3"/>
      <c r="Z69" s="7">
        <f t="shared" si="15"/>
        <v>-0.98338604651162798</v>
      </c>
    </row>
    <row r="70" spans="1:26" s="70" customFormat="1" ht="15" hidden="1" customHeight="1" outlineLevel="2" x14ac:dyDescent="0.3">
      <c r="A70" s="21"/>
      <c r="B70" s="9" t="str">
        <f>CONCATENATE("          ","6237"," - ","JANITORIAL SUPPLIES")</f>
        <v xml:space="preserve">          6237 - JANITORIAL SUPPLIES</v>
      </c>
      <c r="C70" s="9"/>
      <c r="D70" s="6"/>
      <c r="E70" s="3"/>
      <c r="F70" s="7">
        <f t="shared" si="8"/>
        <v>0</v>
      </c>
      <c r="G70" s="3"/>
      <c r="H70" s="6">
        <v>75</v>
      </c>
      <c r="I70" s="3"/>
      <c r="J70" s="7">
        <f t="shared" si="9"/>
        <v>1.7177801699457182E-3</v>
      </c>
      <c r="K70" s="3"/>
      <c r="L70" s="6">
        <f t="shared" si="10"/>
        <v>-75</v>
      </c>
      <c r="M70" s="3"/>
      <c r="N70" s="7">
        <f t="shared" si="11"/>
        <v>-1</v>
      </c>
      <c r="O70" s="9"/>
      <c r="P70" s="6">
        <v>796.76</v>
      </c>
      <c r="Q70" s="3"/>
      <c r="R70" s="7">
        <f t="shared" si="12"/>
        <v>0</v>
      </c>
      <c r="S70" s="3"/>
      <c r="T70" s="6">
        <v>1075</v>
      </c>
      <c r="U70" s="3"/>
      <c r="V70" s="7">
        <f t="shared" si="13"/>
        <v>1.113768037861897E-3</v>
      </c>
      <c r="W70" s="3"/>
      <c r="X70" s="6">
        <f t="shared" si="14"/>
        <v>-278.24</v>
      </c>
      <c r="Y70" s="3"/>
      <c r="Z70" s="7">
        <f t="shared" si="15"/>
        <v>-0.25882790697674418</v>
      </c>
    </row>
    <row r="71" spans="1:26" s="70" customFormat="1" ht="15" hidden="1" customHeight="1" outlineLevel="2" x14ac:dyDescent="0.3">
      <c r="A71" s="21"/>
      <c r="B71" s="9" t="str">
        <f>CONCATENATE("          ","6239"," - ","KITCHEN SUPPLIES")</f>
        <v xml:space="preserve">          6239 - KITCHEN SUPPLIES</v>
      </c>
      <c r="C71" s="9"/>
      <c r="D71" s="6"/>
      <c r="E71" s="3"/>
      <c r="F71" s="7">
        <f t="shared" si="8"/>
        <v>0</v>
      </c>
      <c r="G71" s="3"/>
      <c r="H71" s="6"/>
      <c r="I71" s="3"/>
      <c r="J71" s="7">
        <f t="shared" si="9"/>
        <v>0</v>
      </c>
      <c r="K71" s="3"/>
      <c r="L71" s="6">
        <f t="shared" si="10"/>
        <v>0</v>
      </c>
      <c r="M71" s="3"/>
      <c r="N71" s="7">
        <f t="shared" si="11"/>
        <v>0</v>
      </c>
      <c r="O71" s="9"/>
      <c r="P71" s="6">
        <v>214.67</v>
      </c>
      <c r="Q71" s="3"/>
      <c r="R71" s="7">
        <f t="shared" si="12"/>
        <v>0</v>
      </c>
      <c r="S71" s="3"/>
      <c r="T71" s="6">
        <v>5000</v>
      </c>
      <c r="U71" s="3"/>
      <c r="V71" s="7">
        <f t="shared" si="13"/>
        <v>5.1803164551716139E-3</v>
      </c>
      <c r="W71" s="3"/>
      <c r="X71" s="6">
        <f t="shared" si="14"/>
        <v>-4785.33</v>
      </c>
      <c r="Y71" s="3"/>
      <c r="Z71" s="7">
        <f t="shared" si="15"/>
        <v>-0.95706599999999997</v>
      </c>
    </row>
    <row r="72" spans="1:26" s="70" customFormat="1" ht="15" hidden="1" customHeight="1" outlineLevel="2" x14ac:dyDescent="0.3">
      <c r="A72" s="21"/>
      <c r="B72" s="9" t="str">
        <f>CONCATENATE("          ","6241"," - ","OFFICE EXPENSE")</f>
        <v xml:space="preserve">          6241 - OFFICE EXPENSE</v>
      </c>
      <c r="C72" s="9"/>
      <c r="D72" s="6"/>
      <c r="E72" s="3"/>
      <c r="F72" s="7">
        <f t="shared" si="8"/>
        <v>0</v>
      </c>
      <c r="G72" s="3"/>
      <c r="H72" s="6"/>
      <c r="I72" s="3"/>
      <c r="J72" s="7">
        <f t="shared" si="9"/>
        <v>0</v>
      </c>
      <c r="K72" s="3"/>
      <c r="L72" s="6">
        <f t="shared" si="10"/>
        <v>0</v>
      </c>
      <c r="M72" s="3"/>
      <c r="N72" s="7">
        <f t="shared" si="11"/>
        <v>0</v>
      </c>
      <c r="O72" s="9"/>
      <c r="P72" s="6">
        <v>893.22</v>
      </c>
      <c r="Q72" s="3"/>
      <c r="R72" s="7">
        <f t="shared" si="12"/>
        <v>0</v>
      </c>
      <c r="S72" s="3"/>
      <c r="T72" s="6">
        <v>150</v>
      </c>
      <c r="U72" s="3"/>
      <c r="V72" s="7">
        <f t="shared" si="13"/>
        <v>1.554094936551484E-4</v>
      </c>
      <c r="W72" s="3"/>
      <c r="X72" s="6">
        <f t="shared" si="14"/>
        <v>743.22</v>
      </c>
      <c r="Y72" s="3"/>
      <c r="Z72" s="7">
        <f t="shared" si="15"/>
        <v>4.9548000000000005</v>
      </c>
    </row>
    <row r="73" spans="1:26" s="70" customFormat="1" ht="15" hidden="1" customHeight="1" outlineLevel="2" x14ac:dyDescent="0.3">
      <c r="A73" s="21"/>
      <c r="B73" s="9" t="str">
        <f>CONCATENATE("          ","6243"," - ","PAPER SUPPLIES")</f>
        <v xml:space="preserve">          6243 - PAPER SUPPLIES</v>
      </c>
      <c r="C73" s="9"/>
      <c r="D73" s="6"/>
      <c r="E73" s="3"/>
      <c r="F73" s="7">
        <f t="shared" si="8"/>
        <v>0</v>
      </c>
      <c r="G73" s="3"/>
      <c r="H73" s="6">
        <v>150</v>
      </c>
      <c r="I73" s="3"/>
      <c r="J73" s="7">
        <f t="shared" si="9"/>
        <v>3.4355603398914364E-3</v>
      </c>
      <c r="K73" s="3"/>
      <c r="L73" s="6">
        <f t="shared" si="10"/>
        <v>-150</v>
      </c>
      <c r="M73" s="3"/>
      <c r="N73" s="7">
        <f t="shared" si="11"/>
        <v>-1</v>
      </c>
      <c r="O73" s="9"/>
      <c r="P73" s="6">
        <v>138.19</v>
      </c>
      <c r="Q73" s="3"/>
      <c r="R73" s="7">
        <f t="shared" si="12"/>
        <v>0</v>
      </c>
      <c r="S73" s="3"/>
      <c r="T73" s="6">
        <v>2400</v>
      </c>
      <c r="U73" s="3"/>
      <c r="V73" s="7">
        <f t="shared" si="13"/>
        <v>2.4865518984823745E-3</v>
      </c>
      <c r="W73" s="3"/>
      <c r="X73" s="6">
        <f t="shared" si="14"/>
        <v>-2261.81</v>
      </c>
      <c r="Y73" s="3"/>
      <c r="Z73" s="7">
        <f t="shared" si="15"/>
        <v>-0.94242083333333326</v>
      </c>
    </row>
    <row r="74" spans="1:26" s="70" customFormat="1" ht="15" hidden="1" customHeight="1" outlineLevel="2" x14ac:dyDescent="0.3">
      <c r="A74" s="21"/>
      <c r="B74" s="9" t="str">
        <f>CONCATENATE("          ","6244"," - ","SAFETY SUPPLY EXPENSE")</f>
        <v xml:space="preserve">          6244 - SAFETY SUPPLY EXPENSE</v>
      </c>
      <c r="C74" s="9"/>
      <c r="D74" s="6"/>
      <c r="E74" s="3"/>
      <c r="F74" s="7">
        <f t="shared" si="8"/>
        <v>0</v>
      </c>
      <c r="G74" s="3"/>
      <c r="H74" s="6"/>
      <c r="I74" s="3"/>
      <c r="J74" s="7">
        <f t="shared" si="9"/>
        <v>0</v>
      </c>
      <c r="K74" s="3"/>
      <c r="L74" s="6">
        <f t="shared" si="10"/>
        <v>0</v>
      </c>
      <c r="M74" s="3"/>
      <c r="N74" s="7">
        <f t="shared" si="11"/>
        <v>0</v>
      </c>
      <c r="O74" s="9"/>
      <c r="P74" s="6"/>
      <c r="Q74" s="3"/>
      <c r="R74" s="7">
        <f t="shared" si="12"/>
        <v>0</v>
      </c>
      <c r="S74" s="3"/>
      <c r="T74" s="6">
        <v>150</v>
      </c>
      <c r="U74" s="3"/>
      <c r="V74" s="7">
        <f t="shared" si="13"/>
        <v>1.554094936551484E-4</v>
      </c>
      <c r="W74" s="3"/>
      <c r="X74" s="6">
        <f t="shared" si="14"/>
        <v>-150</v>
      </c>
      <c r="Y74" s="3"/>
      <c r="Z74" s="7">
        <f t="shared" si="15"/>
        <v>-1</v>
      </c>
    </row>
    <row r="75" spans="1:26" s="70" customFormat="1" ht="15" hidden="1" customHeight="1" outlineLevel="2" x14ac:dyDescent="0.3">
      <c r="A75" s="21"/>
      <c r="B75" s="9" t="str">
        <f>CONCATENATE("          ","6245"," - ","PRINTING")</f>
        <v xml:space="preserve">          6245 - PRINTING</v>
      </c>
      <c r="C75" s="9"/>
      <c r="D75" s="6"/>
      <c r="E75" s="3"/>
      <c r="F75" s="7">
        <f t="shared" si="8"/>
        <v>0</v>
      </c>
      <c r="G75" s="3"/>
      <c r="H75" s="6">
        <v>50</v>
      </c>
      <c r="I75" s="3"/>
      <c r="J75" s="7">
        <f t="shared" si="9"/>
        <v>1.1451867799638121E-3</v>
      </c>
      <c r="K75" s="3"/>
      <c r="L75" s="6">
        <f t="shared" si="10"/>
        <v>-50</v>
      </c>
      <c r="M75" s="3"/>
      <c r="N75" s="7">
        <f t="shared" si="11"/>
        <v>-1</v>
      </c>
      <c r="O75" s="9"/>
      <c r="P75" s="6">
        <v>338</v>
      </c>
      <c r="Q75" s="3"/>
      <c r="R75" s="7">
        <f t="shared" si="12"/>
        <v>0</v>
      </c>
      <c r="S75" s="3"/>
      <c r="T75" s="6">
        <v>1000</v>
      </c>
      <c r="U75" s="3"/>
      <c r="V75" s="7">
        <f t="shared" si="13"/>
        <v>1.0360632910343228E-3</v>
      </c>
      <c r="W75" s="3"/>
      <c r="X75" s="6">
        <f t="shared" si="14"/>
        <v>-662</v>
      </c>
      <c r="Y75" s="3"/>
      <c r="Z75" s="7">
        <f t="shared" si="15"/>
        <v>-0.66200000000000003</v>
      </c>
    </row>
    <row r="76" spans="1:26" s="70" customFormat="1" ht="15" hidden="1" customHeight="1" outlineLevel="2" x14ac:dyDescent="0.3">
      <c r="A76" s="21"/>
      <c r="B76" s="9" t="str">
        <f>CONCATENATE("          ","6247"," - ","STORE SUPPLIES")</f>
        <v xml:space="preserve">          6247 - STORE SUPPLIES</v>
      </c>
      <c r="C76" s="9"/>
      <c r="D76" s="6"/>
      <c r="E76" s="3"/>
      <c r="F76" s="7">
        <f t="shared" si="8"/>
        <v>0</v>
      </c>
      <c r="G76" s="3"/>
      <c r="H76" s="6"/>
      <c r="I76" s="3"/>
      <c r="J76" s="7">
        <f t="shared" si="9"/>
        <v>0</v>
      </c>
      <c r="K76" s="3"/>
      <c r="L76" s="6">
        <f t="shared" si="10"/>
        <v>0</v>
      </c>
      <c r="M76" s="3"/>
      <c r="N76" s="7">
        <f t="shared" si="11"/>
        <v>0</v>
      </c>
      <c r="O76" s="9"/>
      <c r="P76" s="6">
        <v>418</v>
      </c>
      <c r="Q76" s="3"/>
      <c r="R76" s="7">
        <f t="shared" si="12"/>
        <v>0</v>
      </c>
      <c r="S76" s="3"/>
      <c r="T76" s="6"/>
      <c r="U76" s="3"/>
      <c r="V76" s="7">
        <f t="shared" si="13"/>
        <v>0</v>
      </c>
      <c r="W76" s="3"/>
      <c r="X76" s="6">
        <f t="shared" si="14"/>
        <v>418</v>
      </c>
      <c r="Y76" s="3"/>
      <c r="Z76" s="7">
        <f t="shared" si="15"/>
        <v>0</v>
      </c>
    </row>
    <row r="77" spans="1:26" s="70" customFormat="1" ht="15" hidden="1" customHeight="1" outlineLevel="2" x14ac:dyDescent="0.3">
      <c r="A77" s="21"/>
      <c r="B77" s="9" t="str">
        <f>CONCATENATE("          ","6248"," - ","UNIFORMS")</f>
        <v xml:space="preserve">          6248 - UNIFORMS</v>
      </c>
      <c r="C77" s="9"/>
      <c r="D77" s="6"/>
      <c r="E77" s="3"/>
      <c r="F77" s="7">
        <f t="shared" si="8"/>
        <v>0</v>
      </c>
      <c r="G77" s="3"/>
      <c r="H77" s="6"/>
      <c r="I77" s="3"/>
      <c r="J77" s="7">
        <f t="shared" si="9"/>
        <v>0</v>
      </c>
      <c r="K77" s="3"/>
      <c r="L77" s="6">
        <f t="shared" si="10"/>
        <v>0</v>
      </c>
      <c r="M77" s="3"/>
      <c r="N77" s="7">
        <f t="shared" si="11"/>
        <v>0</v>
      </c>
      <c r="O77" s="9"/>
      <c r="P77" s="6"/>
      <c r="Q77" s="3"/>
      <c r="R77" s="7">
        <f t="shared" si="12"/>
        <v>0</v>
      </c>
      <c r="S77" s="3"/>
      <c r="T77" s="6">
        <v>1050</v>
      </c>
      <c r="U77" s="3"/>
      <c r="V77" s="7">
        <f t="shared" si="13"/>
        <v>1.0878664555860388E-3</v>
      </c>
      <c r="W77" s="3"/>
      <c r="X77" s="6">
        <f t="shared" si="14"/>
        <v>-1050</v>
      </c>
      <c r="Y77" s="3"/>
      <c r="Z77" s="7">
        <f t="shared" si="15"/>
        <v>-1</v>
      </c>
    </row>
    <row r="78" spans="1:26" s="69" customFormat="1" ht="15" customHeight="1" outlineLevel="1" collapsed="1" x14ac:dyDescent="0.3">
      <c r="A78" s="20"/>
      <c r="B78" s="11" t="str">
        <f>CONCATENATE("     ","Telephone/Data Lines                              ")</f>
        <v xml:space="preserve">     Telephone/Data Lines                              </v>
      </c>
      <c r="C78" s="11"/>
      <c r="D78" s="2">
        <f>SUM(OSRRefD22_12x_0)</f>
        <v>106.5</v>
      </c>
      <c r="E78" s="2"/>
      <c r="F78" s="5">
        <f t="shared" si="8"/>
        <v>0</v>
      </c>
      <c r="G78" s="2"/>
      <c r="H78" s="2">
        <f>SUM(OSRRefH22_12x_0)</f>
        <v>75</v>
      </c>
      <c r="I78" s="2"/>
      <c r="J78" s="5">
        <f t="shared" si="9"/>
        <v>1.7177801699457182E-3</v>
      </c>
      <c r="K78" s="2"/>
      <c r="L78" s="2">
        <f t="shared" si="10"/>
        <v>31.5</v>
      </c>
      <c r="M78" s="2"/>
      <c r="N78" s="5">
        <f t="shared" si="11"/>
        <v>0.42</v>
      </c>
      <c r="O78" s="11"/>
      <c r="P78" s="2">
        <f>SUM(OSRRefP22_12x_0)</f>
        <v>1164</v>
      </c>
      <c r="Q78" s="2"/>
      <c r="R78" s="5">
        <f t="shared" si="12"/>
        <v>0</v>
      </c>
      <c r="S78" s="2"/>
      <c r="T78" s="2">
        <f>SUM(OSRRefT22_12x_0)</f>
        <v>1500</v>
      </c>
      <c r="U78" s="2"/>
      <c r="V78" s="5">
        <f t="shared" si="13"/>
        <v>1.5540949365514842E-3</v>
      </c>
      <c r="W78" s="2"/>
      <c r="X78" s="2">
        <f t="shared" si="14"/>
        <v>-336</v>
      </c>
      <c r="Y78" s="2"/>
      <c r="Z78" s="5">
        <f t="shared" si="15"/>
        <v>-0.224</v>
      </c>
    </row>
    <row r="79" spans="1:26" s="70" customFormat="1" ht="15" hidden="1" customHeight="1" outlineLevel="2" x14ac:dyDescent="0.3">
      <c r="A79" s="21"/>
      <c r="B79" s="9" t="str">
        <f>CONCATENATE("          ","6303"," - ","DATA PHONE LINES")</f>
        <v xml:space="preserve">          6303 - DATA PHONE LINES</v>
      </c>
      <c r="C79" s="9"/>
      <c r="D79" s="6"/>
      <c r="E79" s="3"/>
      <c r="F79" s="7">
        <f t="shared" si="8"/>
        <v>0</v>
      </c>
      <c r="G79" s="3"/>
      <c r="H79" s="6">
        <v>75</v>
      </c>
      <c r="I79" s="3"/>
      <c r="J79" s="7">
        <f t="shared" si="9"/>
        <v>1.7177801699457182E-3</v>
      </c>
      <c r="K79" s="3"/>
      <c r="L79" s="6">
        <f t="shared" si="10"/>
        <v>-75</v>
      </c>
      <c r="M79" s="3"/>
      <c r="N79" s="7">
        <f t="shared" si="11"/>
        <v>-1</v>
      </c>
      <c r="O79" s="9"/>
      <c r="P79" s="6"/>
      <c r="Q79" s="3"/>
      <c r="R79" s="7">
        <f t="shared" si="12"/>
        <v>0</v>
      </c>
      <c r="S79" s="3"/>
      <c r="T79" s="6">
        <v>900</v>
      </c>
      <c r="U79" s="3"/>
      <c r="V79" s="7">
        <f t="shared" si="13"/>
        <v>9.3245696193089043E-4</v>
      </c>
      <c r="W79" s="3"/>
      <c r="X79" s="6">
        <f t="shared" si="14"/>
        <v>-900</v>
      </c>
      <c r="Y79" s="3"/>
      <c r="Z79" s="7">
        <f t="shared" si="15"/>
        <v>-1</v>
      </c>
    </row>
    <row r="80" spans="1:26" s="70" customFormat="1" ht="15" hidden="1" customHeight="1" outlineLevel="2" x14ac:dyDescent="0.3">
      <c r="A80" s="21"/>
      <c r="B80" s="9" t="str">
        <f>CONCATENATE("          ","6309"," - ","TELEPHONE")</f>
        <v xml:space="preserve">          6309 - TELEPHONE</v>
      </c>
      <c r="C80" s="9"/>
      <c r="D80" s="6">
        <v>106.5</v>
      </c>
      <c r="E80" s="3"/>
      <c r="F80" s="7">
        <f t="shared" si="8"/>
        <v>0</v>
      </c>
      <c r="G80" s="3"/>
      <c r="H80" s="6"/>
      <c r="I80" s="3"/>
      <c r="J80" s="7">
        <f t="shared" si="9"/>
        <v>0</v>
      </c>
      <c r="K80" s="3"/>
      <c r="L80" s="6">
        <f t="shared" si="10"/>
        <v>106.5</v>
      </c>
      <c r="M80" s="3"/>
      <c r="N80" s="7">
        <f t="shared" si="11"/>
        <v>0</v>
      </c>
      <c r="O80" s="9"/>
      <c r="P80" s="6">
        <v>1164</v>
      </c>
      <c r="Q80" s="3"/>
      <c r="R80" s="7">
        <f t="shared" si="12"/>
        <v>0</v>
      </c>
      <c r="S80" s="3"/>
      <c r="T80" s="6">
        <v>600</v>
      </c>
      <c r="U80" s="3"/>
      <c r="V80" s="7">
        <f t="shared" si="13"/>
        <v>6.2163797462059362E-4</v>
      </c>
      <c r="W80" s="3"/>
      <c r="X80" s="6">
        <f t="shared" si="14"/>
        <v>564</v>
      </c>
      <c r="Y80" s="3"/>
      <c r="Z80" s="7">
        <f t="shared" si="15"/>
        <v>0.94</v>
      </c>
    </row>
    <row r="81" spans="1:26" s="69" customFormat="1" ht="15" customHeight="1" outlineLevel="1" collapsed="1" x14ac:dyDescent="0.3">
      <c r="A81" s="20"/>
      <c r="B81" s="11" t="str">
        <f>CONCATENATE("     ","Training                                          ")</f>
        <v xml:space="preserve">     Training                                          </v>
      </c>
      <c r="C81" s="11"/>
      <c r="D81" s="2">
        <f>SUM(OSRRefD22_13x_0)</f>
        <v>0</v>
      </c>
      <c r="E81" s="2"/>
      <c r="F81" s="5">
        <f t="shared" si="8"/>
        <v>0</v>
      </c>
      <c r="G81" s="2"/>
      <c r="H81" s="2">
        <f>SUM(OSRRefH22_13x_0)</f>
        <v>0</v>
      </c>
      <c r="I81" s="2"/>
      <c r="J81" s="5">
        <f t="shared" si="9"/>
        <v>0</v>
      </c>
      <c r="K81" s="2"/>
      <c r="L81" s="2">
        <f t="shared" si="10"/>
        <v>0</v>
      </c>
      <c r="M81" s="2"/>
      <c r="N81" s="5">
        <f t="shared" si="11"/>
        <v>0</v>
      </c>
      <c r="O81" s="11"/>
      <c r="P81" s="2">
        <f>SUM(OSRRefP22_13x_0)</f>
        <v>120</v>
      </c>
      <c r="Q81" s="2"/>
      <c r="R81" s="5">
        <f t="shared" si="12"/>
        <v>0</v>
      </c>
      <c r="S81" s="2"/>
      <c r="T81" s="2">
        <f>SUM(OSRRefT22_13x_0)</f>
        <v>400</v>
      </c>
      <c r="U81" s="2"/>
      <c r="V81" s="5">
        <f t="shared" si="13"/>
        <v>4.144253164137291E-4</v>
      </c>
      <c r="W81" s="2"/>
      <c r="X81" s="2">
        <f t="shared" si="14"/>
        <v>-280</v>
      </c>
      <c r="Y81" s="2"/>
      <c r="Z81" s="5">
        <f t="shared" si="15"/>
        <v>-0.7</v>
      </c>
    </row>
    <row r="82" spans="1:26" s="70" customFormat="1" ht="15" hidden="1" customHeight="1" outlineLevel="2" x14ac:dyDescent="0.3">
      <c r="A82" s="21"/>
      <c r="B82" s="9" t="str">
        <f>CONCATENATE("          ","6376"," - ","TRAINING")</f>
        <v xml:space="preserve">          6376 - TRAINING</v>
      </c>
      <c r="C82" s="9"/>
      <c r="D82" s="6"/>
      <c r="E82" s="3"/>
      <c r="F82" s="7">
        <f t="shared" si="8"/>
        <v>0</v>
      </c>
      <c r="G82" s="3"/>
      <c r="H82" s="6"/>
      <c r="I82" s="3"/>
      <c r="J82" s="7">
        <f t="shared" si="9"/>
        <v>0</v>
      </c>
      <c r="K82" s="3"/>
      <c r="L82" s="6">
        <f t="shared" si="10"/>
        <v>0</v>
      </c>
      <c r="M82" s="3"/>
      <c r="N82" s="7">
        <f t="shared" si="11"/>
        <v>0</v>
      </c>
      <c r="O82" s="9"/>
      <c r="P82" s="6">
        <v>120</v>
      </c>
      <c r="Q82" s="3"/>
      <c r="R82" s="7">
        <f t="shared" si="12"/>
        <v>0</v>
      </c>
      <c r="S82" s="3"/>
      <c r="T82" s="6">
        <v>400</v>
      </c>
      <c r="U82" s="3"/>
      <c r="V82" s="7">
        <f t="shared" si="13"/>
        <v>4.144253164137291E-4</v>
      </c>
      <c r="W82" s="3"/>
      <c r="X82" s="6">
        <f t="shared" si="14"/>
        <v>-280</v>
      </c>
      <c r="Y82" s="3"/>
      <c r="Z82" s="7">
        <f t="shared" si="15"/>
        <v>-0.7</v>
      </c>
    </row>
    <row r="83" spans="1:26" s="69" customFormat="1" ht="15" customHeight="1" outlineLevel="1" collapsed="1" x14ac:dyDescent="0.3">
      <c r="A83" s="20"/>
      <c r="B83" s="11" t="str">
        <f>CONCATENATE("     ","Travel                                            ")</f>
        <v xml:space="preserve">     Travel                                            </v>
      </c>
      <c r="C83" s="11"/>
      <c r="D83" s="2">
        <f>SUM(OSRRefD22_14x_0)</f>
        <v>0</v>
      </c>
      <c r="E83" s="2"/>
      <c r="F83" s="5">
        <f t="shared" si="8"/>
        <v>0</v>
      </c>
      <c r="G83" s="2"/>
      <c r="H83" s="2">
        <f>SUM(OSRRefH22_14x_0)</f>
        <v>0</v>
      </c>
      <c r="I83" s="2"/>
      <c r="J83" s="5">
        <f t="shared" si="9"/>
        <v>0</v>
      </c>
      <c r="K83" s="2"/>
      <c r="L83" s="2">
        <f t="shared" si="10"/>
        <v>0</v>
      </c>
      <c r="M83" s="2"/>
      <c r="N83" s="5">
        <f t="shared" si="11"/>
        <v>0</v>
      </c>
      <c r="O83" s="11"/>
      <c r="P83" s="2">
        <f>SUM(OSRRefP22_14x_0)</f>
        <v>0</v>
      </c>
      <c r="Q83" s="2"/>
      <c r="R83" s="5">
        <f t="shared" si="12"/>
        <v>0</v>
      </c>
      <c r="S83" s="2"/>
      <c r="T83" s="2">
        <f>SUM(OSRRefT22_14x_0)</f>
        <v>600</v>
      </c>
      <c r="U83" s="2"/>
      <c r="V83" s="5">
        <f t="shared" si="13"/>
        <v>6.2163797462059362E-4</v>
      </c>
      <c r="W83" s="2"/>
      <c r="X83" s="2">
        <f t="shared" si="14"/>
        <v>-600</v>
      </c>
      <c r="Y83" s="2"/>
      <c r="Z83" s="5">
        <f t="shared" si="15"/>
        <v>-1</v>
      </c>
    </row>
    <row r="84" spans="1:26" s="70" customFormat="1" ht="15" hidden="1" customHeight="1" outlineLevel="2" x14ac:dyDescent="0.3">
      <c r="A84" s="21"/>
      <c r="B84" s="9" t="str">
        <f>CONCATENATE("          ","6292"," - ","TRAVEL/CONFERENCE")</f>
        <v xml:space="preserve">          6292 - TRAVEL/CONFERENCE</v>
      </c>
      <c r="C84" s="9"/>
      <c r="D84" s="6"/>
      <c r="E84" s="3"/>
      <c r="F84" s="7">
        <f t="shared" si="8"/>
        <v>0</v>
      </c>
      <c r="G84" s="3"/>
      <c r="H84" s="6"/>
      <c r="I84" s="3"/>
      <c r="J84" s="7">
        <f t="shared" si="9"/>
        <v>0</v>
      </c>
      <c r="K84" s="3"/>
      <c r="L84" s="6">
        <f t="shared" si="10"/>
        <v>0</v>
      </c>
      <c r="M84" s="3"/>
      <c r="N84" s="7">
        <f t="shared" si="11"/>
        <v>0</v>
      </c>
      <c r="O84" s="9"/>
      <c r="P84" s="6"/>
      <c r="Q84" s="3"/>
      <c r="R84" s="7">
        <f t="shared" si="12"/>
        <v>0</v>
      </c>
      <c r="S84" s="3"/>
      <c r="T84" s="6">
        <v>600</v>
      </c>
      <c r="U84" s="3"/>
      <c r="V84" s="7">
        <f t="shared" si="13"/>
        <v>6.2163797462059362E-4</v>
      </c>
      <c r="W84" s="3"/>
      <c r="X84" s="6">
        <f t="shared" si="14"/>
        <v>-600</v>
      </c>
      <c r="Y84" s="3"/>
      <c r="Z84" s="7">
        <f t="shared" si="15"/>
        <v>-1</v>
      </c>
    </row>
    <row r="85" spans="1:26" s="69" customFormat="1" ht="15" customHeight="1" outlineLevel="1" collapsed="1" x14ac:dyDescent="0.3">
      <c r="A85" s="20"/>
      <c r="B85" s="11" t="str">
        <f>CONCATENATE("     ","Utilities                                         ")</f>
        <v xml:space="preserve">     Utilities                                         </v>
      </c>
      <c r="C85" s="11"/>
      <c r="D85" s="2">
        <f>SUM(OSRRefD22_15x_0)</f>
        <v>0</v>
      </c>
      <c r="E85" s="2"/>
      <c r="F85" s="5">
        <f t="shared" si="8"/>
        <v>0</v>
      </c>
      <c r="G85" s="2"/>
      <c r="H85" s="2">
        <f>SUM(OSRRefH22_15x_0)</f>
        <v>500</v>
      </c>
      <c r="I85" s="2"/>
      <c r="J85" s="5">
        <f t="shared" si="9"/>
        <v>1.1451867799638121E-2</v>
      </c>
      <c r="K85" s="2"/>
      <c r="L85" s="2">
        <f t="shared" si="10"/>
        <v>-500</v>
      </c>
      <c r="M85" s="2"/>
      <c r="N85" s="5">
        <f t="shared" si="11"/>
        <v>-1</v>
      </c>
      <c r="O85" s="11"/>
      <c r="P85" s="2">
        <f>SUM(OSRRefP22_15x_0)</f>
        <v>0</v>
      </c>
      <c r="Q85" s="2"/>
      <c r="R85" s="5">
        <f t="shared" si="12"/>
        <v>0</v>
      </c>
      <c r="S85" s="2"/>
      <c r="T85" s="2">
        <f>SUM(OSRRefT22_15x_0)</f>
        <v>6000</v>
      </c>
      <c r="U85" s="2"/>
      <c r="V85" s="5">
        <f t="shared" si="13"/>
        <v>6.2163797462059366E-3</v>
      </c>
      <c r="W85" s="2"/>
      <c r="X85" s="2">
        <f t="shared" si="14"/>
        <v>-6000</v>
      </c>
      <c r="Y85" s="2"/>
      <c r="Z85" s="5">
        <f t="shared" si="15"/>
        <v>-1</v>
      </c>
    </row>
    <row r="86" spans="1:26" s="70" customFormat="1" ht="15" hidden="1" customHeight="1" outlineLevel="2" x14ac:dyDescent="0.3">
      <c r="A86" s="21"/>
      <c r="B86" s="9" t="str">
        <f>CONCATENATE("          ","6274"," - ","UTILITIES")</f>
        <v xml:space="preserve">          6274 - UTILITIES</v>
      </c>
      <c r="C86" s="9"/>
      <c r="D86" s="6"/>
      <c r="E86" s="3"/>
      <c r="F86" s="7">
        <f t="shared" si="8"/>
        <v>0</v>
      </c>
      <c r="G86" s="3"/>
      <c r="H86" s="6">
        <v>500</v>
      </c>
      <c r="I86" s="3"/>
      <c r="J86" s="7">
        <f t="shared" si="9"/>
        <v>1.1451867799638121E-2</v>
      </c>
      <c r="K86" s="3"/>
      <c r="L86" s="6">
        <f t="shared" si="10"/>
        <v>-500</v>
      </c>
      <c r="M86" s="3"/>
      <c r="N86" s="7">
        <f t="shared" si="11"/>
        <v>-1</v>
      </c>
      <c r="O86" s="9"/>
      <c r="P86" s="6"/>
      <c r="Q86" s="3"/>
      <c r="R86" s="7">
        <f t="shared" si="12"/>
        <v>0</v>
      </c>
      <c r="S86" s="3"/>
      <c r="T86" s="6">
        <v>6000</v>
      </c>
      <c r="U86" s="3"/>
      <c r="V86" s="7">
        <f t="shared" si="13"/>
        <v>6.2163797462059366E-3</v>
      </c>
      <c r="W86" s="3"/>
      <c r="X86" s="6">
        <f t="shared" si="14"/>
        <v>-6000</v>
      </c>
      <c r="Y86" s="3"/>
      <c r="Z86" s="7">
        <f t="shared" si="15"/>
        <v>-1</v>
      </c>
    </row>
    <row r="87" spans="1:26" s="65" customFormat="1" ht="15" customHeight="1" x14ac:dyDescent="0.3">
      <c r="A87" s="36"/>
      <c r="B87" s="36"/>
      <c r="C87" s="36"/>
      <c r="D87" s="2"/>
      <c r="E87" s="2"/>
      <c r="F87" s="5"/>
      <c r="G87" s="2"/>
      <c r="H87" s="2"/>
      <c r="I87" s="2"/>
      <c r="J87" s="5"/>
      <c r="K87" s="2"/>
      <c r="L87" s="2"/>
      <c r="M87" s="2"/>
      <c r="N87" s="5"/>
      <c r="O87" s="36"/>
      <c r="P87" s="2"/>
      <c r="Q87" s="2"/>
      <c r="R87" s="5"/>
      <c r="S87" s="2"/>
      <c r="T87" s="2"/>
      <c r="U87" s="2"/>
      <c r="V87" s="5"/>
      <c r="W87" s="2"/>
      <c r="X87" s="2"/>
      <c r="Y87" s="2"/>
      <c r="Z87" s="5"/>
    </row>
    <row r="88" spans="1:26" s="63" customFormat="1" ht="15" customHeight="1" collapsed="1" x14ac:dyDescent="0.3">
      <c r="A88" s="13"/>
      <c r="B88" s="28" t="s">
        <v>291</v>
      </c>
      <c r="C88" s="13"/>
      <c r="D88" s="8">
        <f>SUM(OSRRefD25x_0)</f>
        <v>0</v>
      </c>
      <c r="E88" s="8"/>
      <c r="F88" s="14">
        <f>IF(D$12=0,0,D88/D$12)</f>
        <v>0</v>
      </c>
      <c r="G88" s="8"/>
      <c r="H88" s="8">
        <f>SUM(OSRRefH25x_0)</f>
        <v>0</v>
      </c>
      <c r="I88" s="8"/>
      <c r="J88" s="14">
        <f>IF(H$12=0,0,H88/H$12)</f>
        <v>0</v>
      </c>
      <c r="K88" s="8"/>
      <c r="L88" s="8">
        <f>+D88-H88</f>
        <v>0</v>
      </c>
      <c r="M88" s="8"/>
      <c r="N88" s="14">
        <f>IF(H88=0,0,L88/H88)</f>
        <v>0</v>
      </c>
      <c r="O88" s="13"/>
      <c r="P88" s="8">
        <f>SUM(OSRRefP25x_0)</f>
        <v>694.3</v>
      </c>
      <c r="Q88" s="8"/>
      <c r="R88" s="14">
        <f>IF(P$12=0,0,P88/P$12)</f>
        <v>0</v>
      </c>
      <c r="S88" s="8"/>
      <c r="T88" s="8">
        <f>SUM(OSRRefT25x_0)</f>
        <v>0</v>
      </c>
      <c r="U88" s="8"/>
      <c r="V88" s="14">
        <f>IF(T$12=0,0,T88/T$12)</f>
        <v>0</v>
      </c>
      <c r="W88" s="8"/>
      <c r="X88" s="8">
        <f>+P88-T88</f>
        <v>694.3</v>
      </c>
      <c r="Y88" s="8"/>
      <c r="Z88" s="14">
        <f>IF(T88=0,0,X88/T88)</f>
        <v>0</v>
      </c>
    </row>
    <row r="89" spans="1:26" s="70" customFormat="1" ht="15" hidden="1" customHeight="1" outlineLevel="1" x14ac:dyDescent="0.3">
      <c r="A89" s="48"/>
      <c r="B89" s="9" t="str">
        <f>CONCATENATE("          ","9150"," - ","MISC. INCOME")</f>
        <v xml:space="preserve">          9150 - MISC. INCOME</v>
      </c>
      <c r="C89" s="9"/>
      <c r="D89" s="3">
        <f>0</f>
        <v>0</v>
      </c>
      <c r="E89" s="3"/>
      <c r="F89" s="26">
        <f>IF(D$12=0,0,D89/D$12)</f>
        <v>0</v>
      </c>
      <c r="G89" s="3"/>
      <c r="H89" s="3"/>
      <c r="I89" s="3"/>
      <c r="J89" s="26">
        <f>IF(H$12=0,0,H89/H$12)</f>
        <v>0</v>
      </c>
      <c r="K89" s="3"/>
      <c r="L89" s="3">
        <f>+D89-H89</f>
        <v>0</v>
      </c>
      <c r="M89" s="3"/>
      <c r="N89" s="26">
        <f>IF(H89=0,0,L89/H89)</f>
        <v>0</v>
      </c>
      <c r="O89" s="9"/>
      <c r="P89" s="3">
        <f>--694.3</f>
        <v>694.3</v>
      </c>
      <c r="Q89" s="3"/>
      <c r="R89" s="26">
        <f>IF(P$12=0,0,P89/P$12)</f>
        <v>0</v>
      </c>
      <c r="S89" s="3"/>
      <c r="T89" s="3"/>
      <c r="U89" s="3"/>
      <c r="V89" s="26">
        <f>IF(T$12=0,0,T89/T$12)</f>
        <v>0</v>
      </c>
      <c r="W89" s="3"/>
      <c r="X89" s="3">
        <f>+P89-T89</f>
        <v>694.3</v>
      </c>
      <c r="Y89" s="3"/>
      <c r="Z89" s="26">
        <f>IF(T89=0,0,X89/T89)</f>
        <v>0</v>
      </c>
    </row>
    <row r="90" spans="1:26" ht="15" customHeight="1" x14ac:dyDescent="0.3">
      <c r="A90" s="12"/>
      <c r="B90" s="13"/>
      <c r="C90" s="13"/>
      <c r="D90" s="4"/>
      <c r="E90" s="4"/>
      <c r="F90" s="10"/>
      <c r="G90" s="4"/>
      <c r="H90" s="4"/>
      <c r="I90" s="4"/>
      <c r="J90" s="10"/>
      <c r="K90" s="4"/>
      <c r="L90" s="4"/>
      <c r="M90" s="4"/>
      <c r="N90" s="10"/>
      <c r="O90" s="13"/>
      <c r="P90" s="4"/>
      <c r="Q90" s="4"/>
      <c r="R90" s="10"/>
      <c r="S90" s="4"/>
      <c r="T90" s="4"/>
      <c r="U90" s="4"/>
      <c r="V90" s="10"/>
      <c r="W90" s="4"/>
      <c r="X90" s="4"/>
      <c r="Y90" s="4"/>
      <c r="Z90" s="10"/>
    </row>
    <row r="91" spans="1:26" s="63" customFormat="1" ht="15" customHeight="1" x14ac:dyDescent="0.3">
      <c r="A91" s="13"/>
      <c r="B91" s="27" t="s">
        <v>292</v>
      </c>
      <c r="C91" s="27"/>
      <c r="D91" s="23">
        <f>+D20-D22+D88</f>
        <v>-13666.539999999999</v>
      </c>
      <c r="E91" s="15"/>
      <c r="F91" s="22">
        <f>IF(D$12=0,0,D91/D$12)</f>
        <v>0</v>
      </c>
      <c r="G91" s="15"/>
      <c r="H91" s="23">
        <f>+H20-H22+H88</f>
        <v>-16113.69979997538</v>
      </c>
      <c r="I91" s="15"/>
      <c r="J91" s="22">
        <f>IF(H$12=0,0,H91/H$12)</f>
        <v>-0.36906391974474656</v>
      </c>
      <c r="K91" s="17"/>
      <c r="L91" s="23">
        <f>+D91-H91</f>
        <v>2447.1597999753812</v>
      </c>
      <c r="M91" s="17"/>
      <c r="N91" s="22">
        <f>IF(H91=0,0,L91/H91)</f>
        <v>-0.15186827546452866</v>
      </c>
      <c r="O91" s="28"/>
      <c r="P91" s="23">
        <f>+P20-P22+P88</f>
        <v>-205324.80000000002</v>
      </c>
      <c r="Q91" s="15"/>
      <c r="R91" s="22">
        <f>IF(P$12=0,0,P91/P$12)</f>
        <v>0</v>
      </c>
      <c r="S91" s="15"/>
      <c r="T91" s="23">
        <f>+T20-T22+T88</f>
        <v>63388.200594486087</v>
      </c>
      <c r="U91" s="15"/>
      <c r="V91" s="22">
        <f>IF(T$12=0,0,T91/T$12)</f>
        <v>6.5674187720667063E-2</v>
      </c>
      <c r="W91" s="17"/>
      <c r="X91" s="23">
        <f>+P91-T91</f>
        <v>-268713.00059448613</v>
      </c>
      <c r="Y91" s="17"/>
      <c r="Z91" s="22">
        <f>IF(T91=0,0,X91/T91)</f>
        <v>-4.239164356684082</v>
      </c>
    </row>
    <row r="92" spans="1:26" ht="15" customHeight="1" x14ac:dyDescent="0.3">
      <c r="A92" s="12"/>
      <c r="B92" s="13"/>
      <c r="C92" s="12"/>
      <c r="D92" s="4"/>
      <c r="E92" s="4"/>
      <c r="F92" s="10"/>
      <c r="G92" s="4"/>
      <c r="H92" s="4"/>
      <c r="I92" s="4"/>
      <c r="J92" s="10"/>
      <c r="K92" s="4"/>
      <c r="L92" s="4"/>
      <c r="M92" s="4"/>
      <c r="N92" s="10"/>
      <c r="P92" s="4"/>
      <c r="Q92" s="4"/>
      <c r="R92" s="10"/>
      <c r="S92" s="4"/>
      <c r="T92" s="4"/>
      <c r="U92" s="4"/>
      <c r="V92" s="10"/>
      <c r="W92" s="4"/>
      <c r="X92" s="4"/>
      <c r="Y92" s="4"/>
      <c r="Z92" s="10"/>
    </row>
    <row r="93" spans="1:26" s="63" customFormat="1" ht="15" customHeight="1" x14ac:dyDescent="0.3">
      <c r="A93" s="49"/>
      <c r="B93" s="13" t="s">
        <v>293</v>
      </c>
      <c r="C93" s="13"/>
      <c r="D93" s="8"/>
      <c r="E93" s="8"/>
      <c r="F93" s="14">
        <f>IF(D$12=0,0,D93/D$12)</f>
        <v>0</v>
      </c>
      <c r="G93" s="8"/>
      <c r="H93" s="8">
        <v>-4788</v>
      </c>
      <c r="I93" s="8"/>
      <c r="J93" s="14">
        <f>IF(H$12=0,0,H93/H$12)</f>
        <v>-0.10966308604933464</v>
      </c>
      <c r="K93" s="8"/>
      <c r="L93" s="8">
        <f>+D93-H93</f>
        <v>4788</v>
      </c>
      <c r="M93" s="8"/>
      <c r="N93" s="14">
        <f>IF(H93=0,0,L93/H93)</f>
        <v>-1</v>
      </c>
      <c r="O93" s="13"/>
      <c r="P93" s="8"/>
      <c r="Q93" s="8"/>
      <c r="R93" s="14">
        <f>IF(P$12=0,0,P93/P$12)</f>
        <v>0</v>
      </c>
      <c r="S93" s="8"/>
      <c r="T93" s="8">
        <v>109445</v>
      </c>
      <c r="U93" s="8"/>
      <c r="V93" s="14">
        <f>IF(T$12=0,0,T93/T$12)</f>
        <v>0.11339194688725145</v>
      </c>
      <c r="W93" s="8"/>
      <c r="X93" s="8">
        <f>+P93-T93</f>
        <v>-109445</v>
      </c>
      <c r="Y93" s="8"/>
      <c r="Z93" s="14">
        <f>IF(T93=0,0,X93/T93)</f>
        <v>-1</v>
      </c>
    </row>
    <row r="94" spans="1:26" ht="15" customHeight="1" x14ac:dyDescent="0.3">
      <c r="A94" s="12"/>
      <c r="B94" s="13"/>
      <c r="C94" s="13"/>
      <c r="D94" s="4"/>
      <c r="E94" s="4"/>
      <c r="F94" s="10"/>
      <c r="G94" s="4"/>
      <c r="H94" s="4"/>
      <c r="I94" s="4"/>
      <c r="J94" s="10"/>
      <c r="K94" s="4"/>
      <c r="L94" s="4"/>
      <c r="M94" s="4"/>
      <c r="N94" s="10"/>
      <c r="O94" s="13"/>
      <c r="P94" s="4"/>
      <c r="Q94" s="4"/>
      <c r="R94" s="10"/>
      <c r="S94" s="4"/>
      <c r="T94" s="4"/>
      <c r="U94" s="4"/>
      <c r="V94" s="10"/>
      <c r="W94" s="4"/>
      <c r="X94" s="4"/>
      <c r="Y94" s="4"/>
      <c r="Z94" s="10"/>
    </row>
    <row r="95" spans="1:26" s="63" customFormat="1" ht="15" customHeight="1" x14ac:dyDescent="0.3">
      <c r="A95" s="13"/>
      <c r="B95" s="27" t="s">
        <v>294</v>
      </c>
      <c r="C95" s="27"/>
      <c r="D95" s="30">
        <f>+D91-D93</f>
        <v>-13666.539999999999</v>
      </c>
      <c r="E95" s="15"/>
      <c r="F95" s="35">
        <f>IF(D$12=0,0,D95/D$12)</f>
        <v>0</v>
      </c>
      <c r="G95" s="15"/>
      <c r="H95" s="30">
        <f>+H91-H93</f>
        <v>-11325.69979997538</v>
      </c>
      <c r="I95" s="15"/>
      <c r="J95" s="35">
        <f>IF(H$12=0,0,H95/H$12)</f>
        <v>-0.25940083369541195</v>
      </c>
      <c r="K95" s="17"/>
      <c r="L95" s="30">
        <f>D95-H95</f>
        <v>-2340.8402000246188</v>
      </c>
      <c r="M95" s="17"/>
      <c r="N95" s="35">
        <f>IF(H95=0,0,L95/H95)</f>
        <v>0.20668393488848322</v>
      </c>
      <c r="O95" s="28"/>
      <c r="P95" s="30">
        <f>+P91-P93</f>
        <v>-205324.80000000002</v>
      </c>
      <c r="Q95" s="15"/>
      <c r="R95" s="35">
        <f>IF(P$12=0,0,P95/P$12)</f>
        <v>0</v>
      </c>
      <c r="S95" s="15"/>
      <c r="T95" s="30">
        <f>+T91-T93</f>
        <v>-46056.799405513913</v>
      </c>
      <c r="U95" s="15"/>
      <c r="V95" s="35">
        <f>IF(T$12=0,0,T95/T$12)</f>
        <v>-4.7717759166584384E-2</v>
      </c>
      <c r="W95" s="17"/>
      <c r="X95" s="30">
        <f>P95-T95</f>
        <v>-159268.0005944861</v>
      </c>
      <c r="Y95" s="17"/>
      <c r="Z95" s="35">
        <f>IF(T95=0,0,X95/T95)</f>
        <v>3.4580779092395759</v>
      </c>
    </row>
    <row r="96" spans="1:26" ht="15" customHeight="1" x14ac:dyDescent="0.3">
      <c r="A96" s="12"/>
      <c r="B96" s="12"/>
      <c r="C96" s="12"/>
      <c r="D96" s="4"/>
      <c r="E96" s="4"/>
      <c r="F96" s="10"/>
      <c r="G96" s="4"/>
      <c r="H96" s="4"/>
      <c r="I96" s="4"/>
      <c r="J96" s="10"/>
      <c r="K96" s="4"/>
      <c r="L96" s="4"/>
      <c r="M96" s="4"/>
      <c r="N96" s="10"/>
      <c r="P96" s="4"/>
      <c r="Q96" s="4"/>
      <c r="R96" s="10"/>
      <c r="S96" s="4"/>
      <c r="T96" s="4"/>
      <c r="U96" s="4"/>
      <c r="V96" s="10"/>
      <c r="W96" s="4"/>
      <c r="X96" s="4"/>
      <c r="Y96" s="4"/>
      <c r="Z96" s="10"/>
    </row>
    <row r="97" spans="1:26" ht="15" customHeight="1" x14ac:dyDescent="0.3">
      <c r="A97" s="12"/>
      <c r="B97" s="12"/>
      <c r="C97" s="12"/>
      <c r="D97" s="4"/>
      <c r="E97" s="4"/>
      <c r="F97" s="10"/>
      <c r="G97" s="4"/>
      <c r="H97" s="4"/>
      <c r="I97" s="4"/>
      <c r="J97" s="10"/>
      <c r="K97" s="4"/>
      <c r="L97" s="4"/>
      <c r="M97" s="4"/>
      <c r="N97" s="10"/>
      <c r="P97" s="4"/>
      <c r="Q97" s="4"/>
      <c r="R97" s="10"/>
      <c r="S97" s="4"/>
      <c r="T97" s="4"/>
      <c r="U97" s="4"/>
      <c r="V97" s="10"/>
      <c r="W97" s="4"/>
      <c r="X97" s="4"/>
      <c r="Y97" s="4"/>
      <c r="Z97" s="10"/>
    </row>
    <row r="98" spans="1:26" s="63" customFormat="1" ht="15" customHeight="1" x14ac:dyDescent="0.3">
      <c r="A98" s="13"/>
      <c r="B98" s="27" t="s">
        <v>297</v>
      </c>
      <c r="C98" s="27"/>
      <c r="D98" s="33">
        <f>SUM(D95:D97)</f>
        <v>-13666.539999999999</v>
      </c>
      <c r="E98" s="15"/>
      <c r="F98" s="31">
        <f>IF(D$12=0,0,D98/D$12)</f>
        <v>0</v>
      </c>
      <c r="G98" s="15"/>
      <c r="H98" s="33">
        <f>SUM(H95:H97)</f>
        <v>-11325.69979997538</v>
      </c>
      <c r="I98" s="15"/>
      <c r="J98" s="31">
        <f>IF(H$12=0,0,H98/H$12)</f>
        <v>-0.25940083369541195</v>
      </c>
      <c r="K98" s="17"/>
      <c r="L98" s="33">
        <f>+D98-H98</f>
        <v>-2340.8402000246188</v>
      </c>
      <c r="M98" s="17"/>
      <c r="N98" s="31">
        <f>IF(H98=0,0,L98/H98)</f>
        <v>0.20668393488848322</v>
      </c>
      <c r="O98" s="28"/>
      <c r="P98" s="33">
        <f>SUM(P95:P97)</f>
        <v>-205324.80000000002</v>
      </c>
      <c r="Q98" s="15"/>
      <c r="R98" s="31">
        <f>IF(P$12=0,0,P98/P$12)</f>
        <v>0</v>
      </c>
      <c r="S98" s="15"/>
      <c r="T98" s="33">
        <f>SUM(T95:T97)</f>
        <v>-46056.799405513913</v>
      </c>
      <c r="U98" s="15"/>
      <c r="V98" s="31">
        <f>IF(T$12=0,0,T98/T$12)</f>
        <v>-4.7717759166584384E-2</v>
      </c>
      <c r="W98" s="17"/>
      <c r="X98" s="33">
        <f>+P98-T98</f>
        <v>-159268.0005944861</v>
      </c>
      <c r="Y98" s="17"/>
      <c r="Z98" s="31">
        <f>IF(T98=0,0,X98/T98)</f>
        <v>3.4580779092395759</v>
      </c>
    </row>
    <row r="99" spans="1:26" ht="15" customHeight="1" x14ac:dyDescent="0.3">
      <c r="A99" s="12"/>
      <c r="C99" s="12"/>
      <c r="D99" s="19"/>
      <c r="E99" s="19"/>
      <c r="G99" s="19"/>
      <c r="H99" s="19"/>
      <c r="I99" s="19"/>
      <c r="J99" s="41"/>
      <c r="K99" s="19"/>
      <c r="L99" s="19"/>
      <c r="M99" s="19"/>
      <c r="P99" s="19"/>
      <c r="Q99" s="19"/>
      <c r="R99" s="41"/>
      <c r="S99" s="19"/>
      <c r="T99" s="19"/>
      <c r="U99" s="19"/>
      <c r="V99" s="41"/>
      <c r="W99" s="19"/>
      <c r="X99" s="19"/>
    </row>
    <row r="100" spans="1:26" ht="15" customHeight="1" x14ac:dyDescent="0.3">
      <c r="A100" s="12"/>
      <c r="B100" s="50">
        <v>44767.799547766204</v>
      </c>
      <c r="D100" s="19"/>
      <c r="E100" s="19"/>
      <c r="G100" s="19"/>
      <c r="H100" s="19"/>
      <c r="I100" s="19"/>
      <c r="J100" s="41"/>
      <c r="K100" s="19"/>
      <c r="L100" s="19"/>
      <c r="M100" s="19"/>
      <c r="P100" s="19"/>
      <c r="Q100" s="19"/>
      <c r="R100" s="41"/>
      <c r="S100" s="19"/>
      <c r="T100" s="19"/>
      <c r="U100" s="19"/>
      <c r="V100" s="41"/>
      <c r="W100" s="19"/>
      <c r="X100" s="19"/>
    </row>
    <row r="101" spans="1:26" ht="15" customHeight="1" x14ac:dyDescent="0.3">
      <c r="A101" s="12"/>
      <c r="B101" s="57" t="s">
        <v>298</v>
      </c>
      <c r="D101" s="19"/>
      <c r="E101" s="19"/>
      <c r="G101" s="19"/>
      <c r="H101" s="19"/>
      <c r="I101" s="19"/>
      <c r="J101" s="41"/>
      <c r="K101" s="19"/>
      <c r="L101" s="19"/>
      <c r="M101" s="19"/>
      <c r="P101" s="19"/>
      <c r="Q101" s="19"/>
      <c r="R101" s="41"/>
      <c r="S101" s="19"/>
      <c r="T101" s="19"/>
      <c r="U101" s="19"/>
      <c r="V101" s="41"/>
      <c r="W101" s="19"/>
      <c r="X101" s="19"/>
    </row>
    <row r="102" spans="1:26" ht="15" customHeight="1" x14ac:dyDescent="0.3">
      <c r="A102" s="12"/>
      <c r="B102" s="51"/>
      <c r="D102" s="19"/>
      <c r="E102" s="19"/>
      <c r="G102" s="19"/>
      <c r="H102" s="19"/>
      <c r="I102" s="19"/>
      <c r="J102" s="41"/>
      <c r="K102" s="19"/>
      <c r="L102" s="19"/>
      <c r="M102" s="19"/>
      <c r="P102" s="19"/>
      <c r="Q102" s="19"/>
      <c r="R102" s="41"/>
      <c r="S102" s="19"/>
      <c r="T102" s="19"/>
      <c r="U102" s="19"/>
      <c r="V102" s="41"/>
      <c r="W102" s="19"/>
      <c r="X102" s="19"/>
    </row>
    <row r="103" spans="1:26" ht="15" customHeight="1" x14ac:dyDescent="0.3">
      <c r="D103" s="19"/>
      <c r="E103" s="19"/>
      <c r="G103" s="19"/>
      <c r="H103" s="19"/>
      <c r="I103" s="19"/>
      <c r="J103" s="41"/>
      <c r="K103" s="19"/>
      <c r="L103" s="19"/>
      <c r="M103" s="19"/>
      <c r="P103" s="19"/>
      <c r="Q103" s="19"/>
      <c r="R103" s="41"/>
      <c r="S103" s="19"/>
      <c r="T103" s="19"/>
      <c r="U103" s="19"/>
      <c r="V103" s="41"/>
      <c r="W103" s="19"/>
      <c r="X103" s="19"/>
    </row>
  </sheetData>
  <pageMargins left="0.25" right="0.25" top="0.75" bottom="0.75" header="0.3" footer="0.3"/>
  <pageSetup scale="55" orientation="landscape" r:id="rId1"/>
  <headerFooter>
    <oddHeader>&amp;RPre-Audit</oddHeader>
    <oddFooter>&amp;L&amp;C&amp;R</oddFooter>
    <evenHeader>&amp;L&amp;C&amp;R</evenHeader>
    <evenFooter>&amp;L&amp;C&amp;R</evenFoot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E0D274-0B1A-CB15-D6FF-69DF81ED860D}">
  <sheetPr>
    <tabColor rgb="FF92D050"/>
    <outlinePr summaryBelow="0" summaryRight="0"/>
  </sheetPr>
  <dimension ref="A2:Z65"/>
  <sheetViews>
    <sheetView showGridLines="0" defaultGridColor="0" colorId="8" zoomScale="80" workbookViewId="0">
      <pane xSplit="3" ySplit="10" topLeftCell="D11" activePane="bottomRight" state="frozen"/>
      <selection activeCell="D78" sqref="D78"/>
      <selection pane="topRight" activeCell="D78" sqref="D78"/>
      <selection pane="bottomLeft" activeCell="D78" sqref="D78"/>
      <selection pane="bottomRight" activeCell="D78" sqref="D78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3" t="s">
        <v>276</v>
      </c>
    </row>
    <row r="3" spans="1:26" ht="15" customHeight="1" x14ac:dyDescent="0.3">
      <c r="D3" s="53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3" t="str">
        <f>CONCATENATE("Period ",RIGHT(202212,2),", ",2022)</f>
        <v>Period 12,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5"/>
      <c r="D5" s="60">
        <v>44742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5"/>
      <c r="B6" s="47"/>
      <c r="C6" s="47"/>
      <c r="D6" s="25" t="str">
        <f>CONCATENATE("Department ","423"," - ","Contract/Vending Revenue")</f>
        <v>Department 423 - Contract/Vending Revenue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4"/>
    </row>
    <row r="8" spans="1:26" ht="15" customHeight="1" x14ac:dyDescent="0.3">
      <c r="B8" s="54"/>
    </row>
    <row r="9" spans="1:26" ht="15" customHeight="1" x14ac:dyDescent="0.3">
      <c r="B9" s="12"/>
      <c r="C9" s="12"/>
      <c r="D9" s="16" t="s">
        <v>279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280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ht="15" customHeight="1" x14ac:dyDescent="0.3">
      <c r="A10" s="13"/>
      <c r="B10" s="52"/>
      <c r="C10" s="13"/>
      <c r="D10" s="40" t="s">
        <v>281</v>
      </c>
      <c r="E10" s="32"/>
      <c r="F10" s="39" t="s">
        <v>282</v>
      </c>
      <c r="G10" s="32"/>
      <c r="H10" s="45" t="s">
        <v>283</v>
      </c>
      <c r="I10" s="32"/>
      <c r="J10" s="42" t="s">
        <v>284</v>
      </c>
      <c r="K10" s="13"/>
      <c r="L10" s="40" t="s">
        <v>285</v>
      </c>
      <c r="M10" s="13"/>
      <c r="N10" s="39" t="s">
        <v>286</v>
      </c>
      <c r="O10" s="13"/>
      <c r="P10" s="55" t="s">
        <v>281</v>
      </c>
      <c r="Q10" s="32"/>
      <c r="R10" s="39" t="s">
        <v>282</v>
      </c>
      <c r="S10" s="32"/>
      <c r="T10" s="45" t="s">
        <v>283</v>
      </c>
      <c r="U10" s="32"/>
      <c r="V10" s="42" t="s">
        <v>284</v>
      </c>
      <c r="W10" s="13"/>
      <c r="X10" s="40" t="s">
        <v>285</v>
      </c>
      <c r="Y10" s="13"/>
      <c r="Z10" s="39" t="s">
        <v>286</v>
      </c>
    </row>
    <row r="11" spans="1:26" ht="16.5" customHeight="1" x14ac:dyDescent="0.3">
      <c r="A11" s="12"/>
      <c r="B11" s="58"/>
      <c r="C11" s="12"/>
      <c r="D11" s="12"/>
      <c r="E11" s="12"/>
      <c r="F11" s="10"/>
      <c r="G11" s="12"/>
      <c r="H11" s="12"/>
      <c r="I11" s="12"/>
      <c r="J11" s="43"/>
      <c r="K11" s="12"/>
      <c r="L11" s="12"/>
      <c r="M11" s="12"/>
      <c r="N11" s="10"/>
      <c r="P11" s="12"/>
      <c r="Q11" s="12"/>
      <c r="R11" s="10"/>
      <c r="S11" s="12"/>
      <c r="T11" s="12"/>
      <c r="U11" s="12"/>
      <c r="V11" s="43"/>
      <c r="W11" s="12"/>
      <c r="X11" s="12"/>
      <c r="Y11" s="12"/>
      <c r="Z11" s="10"/>
    </row>
    <row r="12" spans="1:26" s="63" customFormat="1" ht="15" customHeight="1" x14ac:dyDescent="0.3">
      <c r="A12" s="13"/>
      <c r="B12" s="28" t="s">
        <v>287</v>
      </c>
      <c r="C12" s="13"/>
      <c r="D12" s="8">
        <f>SUM(0)</f>
        <v>0</v>
      </c>
      <c r="E12" s="8"/>
      <c r="F12" s="14"/>
      <c r="G12" s="8"/>
      <c r="H12" s="8">
        <f>SUM(0)</f>
        <v>0</v>
      </c>
      <c r="I12" s="8"/>
      <c r="J12" s="14"/>
      <c r="K12" s="8"/>
      <c r="L12" s="8">
        <f>+D12-H12</f>
        <v>0</v>
      </c>
      <c r="M12" s="8"/>
      <c r="N12" s="14">
        <f>IF(H12=0,0,L12/H12)</f>
        <v>0</v>
      </c>
      <c r="O12" s="13"/>
      <c r="P12" s="8">
        <f>SUM(0)</f>
        <v>0</v>
      </c>
      <c r="Q12" s="8"/>
      <c r="R12" s="14"/>
      <c r="S12" s="8"/>
      <c r="T12" s="8">
        <f>SUM(0)</f>
        <v>0</v>
      </c>
      <c r="U12" s="8"/>
      <c r="V12" s="14"/>
      <c r="W12" s="8"/>
      <c r="X12" s="8">
        <f>+P12-T12</f>
        <v>0</v>
      </c>
      <c r="Y12" s="8"/>
      <c r="Z12" s="14">
        <f>IF(T12=0,0,X12/T12)</f>
        <v>0</v>
      </c>
    </row>
    <row r="13" spans="1:26" ht="15" customHeight="1" x14ac:dyDescent="0.3">
      <c r="A13" s="12"/>
      <c r="B13" s="13"/>
      <c r="C13" s="12"/>
      <c r="D13" s="4"/>
      <c r="E13" s="4"/>
      <c r="F13" s="10"/>
      <c r="G13" s="4"/>
      <c r="H13" s="4"/>
      <c r="I13" s="4"/>
      <c r="J13" s="10"/>
      <c r="K13" s="4"/>
      <c r="L13" s="4"/>
      <c r="M13" s="4"/>
      <c r="N13" s="10"/>
      <c r="P13" s="4"/>
      <c r="Q13" s="4"/>
      <c r="R13" s="10"/>
      <c r="S13" s="4"/>
      <c r="T13" s="4"/>
      <c r="U13" s="4"/>
      <c r="V13" s="10"/>
      <c r="W13" s="4"/>
      <c r="X13" s="4"/>
      <c r="Y13" s="4"/>
      <c r="Z13" s="10"/>
    </row>
    <row r="14" spans="1:26" s="63" customFormat="1" ht="15" customHeight="1" x14ac:dyDescent="0.3">
      <c r="A14" s="13"/>
      <c r="B14" s="28" t="s">
        <v>288</v>
      </c>
      <c r="C14" s="13"/>
      <c r="D14" s="8">
        <f>SUM(0)</f>
        <v>0</v>
      </c>
      <c r="E14" s="8"/>
      <c r="F14" s="14">
        <f>IF(D$12=0,0,D14/D$12)</f>
        <v>0</v>
      </c>
      <c r="G14" s="8"/>
      <c r="H14" s="8">
        <f>SUM(0)</f>
        <v>0</v>
      </c>
      <c r="I14" s="8"/>
      <c r="J14" s="14">
        <f>IF(H$12=0,0,H14/H$12)</f>
        <v>0</v>
      </c>
      <c r="K14" s="8"/>
      <c r="L14" s="8">
        <f>+D14-H14</f>
        <v>0</v>
      </c>
      <c r="M14" s="8"/>
      <c r="N14" s="14">
        <f>IF(H14=0,0,L14/H14)</f>
        <v>0</v>
      </c>
      <c r="O14" s="13"/>
      <c r="P14" s="8">
        <f>SUM(0)</f>
        <v>0</v>
      </c>
      <c r="Q14" s="8"/>
      <c r="R14" s="14">
        <f>IF(P$12=0,0,P14/P$12)</f>
        <v>0</v>
      </c>
      <c r="S14" s="8"/>
      <c r="T14" s="8">
        <f>SUM(0)</f>
        <v>0</v>
      </c>
      <c r="U14" s="8"/>
      <c r="V14" s="14">
        <f>IF(T$12=0,0,T14/T$12)</f>
        <v>0</v>
      </c>
      <c r="W14" s="8"/>
      <c r="X14" s="8">
        <f>+P14-T14</f>
        <v>0</v>
      </c>
      <c r="Y14" s="8"/>
      <c r="Z14" s="14">
        <f>IF(T14=0,0,X14/T14)</f>
        <v>0</v>
      </c>
    </row>
    <row r="15" spans="1:26" ht="15" customHeight="1" x14ac:dyDescent="0.3">
      <c r="A15" s="12"/>
      <c r="B15" s="13"/>
      <c r="C15" s="13"/>
      <c r="D15" s="4"/>
      <c r="E15" s="4"/>
      <c r="F15" s="10"/>
      <c r="G15" s="4"/>
      <c r="H15" s="4"/>
      <c r="I15" s="4"/>
      <c r="J15" s="10"/>
      <c r="K15" s="4"/>
      <c r="L15" s="4"/>
      <c r="M15" s="4"/>
      <c r="N15" s="10"/>
      <c r="O15" s="13"/>
      <c r="P15" s="4"/>
      <c r="Q15" s="4"/>
      <c r="R15" s="10"/>
      <c r="S15" s="4"/>
      <c r="T15" s="4"/>
      <c r="U15" s="4"/>
      <c r="V15" s="10"/>
      <c r="W15" s="4"/>
      <c r="X15" s="4"/>
      <c r="Y15" s="4"/>
      <c r="Z15" s="10"/>
    </row>
    <row r="16" spans="1:26" s="63" customFormat="1" ht="15" customHeight="1" x14ac:dyDescent="0.3">
      <c r="A16" s="13"/>
      <c r="B16" s="27" t="s">
        <v>289</v>
      </c>
      <c r="C16" s="27"/>
      <c r="D16" s="23">
        <f>D12-D14</f>
        <v>0</v>
      </c>
      <c r="E16" s="15"/>
      <c r="F16" s="22">
        <f>IF(D$12=0,0,D16/D$12)</f>
        <v>0</v>
      </c>
      <c r="G16" s="15"/>
      <c r="H16" s="23">
        <f>H12-H14</f>
        <v>0</v>
      </c>
      <c r="I16" s="15"/>
      <c r="J16" s="22">
        <f>IF(H$12=0,0,H16/H$12)</f>
        <v>0</v>
      </c>
      <c r="K16" s="17"/>
      <c r="L16" s="23">
        <f>+D16-H16</f>
        <v>0</v>
      </c>
      <c r="M16" s="17"/>
      <c r="N16" s="22">
        <f>IF(H16=0,0,L16/H16)</f>
        <v>0</v>
      </c>
      <c r="O16" s="28"/>
      <c r="P16" s="23">
        <f>P12-P14</f>
        <v>0</v>
      </c>
      <c r="Q16" s="15"/>
      <c r="R16" s="22">
        <f>IF(P$12=0,0,P16/P$12)</f>
        <v>0</v>
      </c>
      <c r="S16" s="15"/>
      <c r="T16" s="23">
        <f>T12-T14</f>
        <v>0</v>
      </c>
      <c r="U16" s="15"/>
      <c r="V16" s="22">
        <f>IF(T$12=0,0,T16/T$12)</f>
        <v>0</v>
      </c>
      <c r="W16" s="17"/>
      <c r="X16" s="23">
        <f>+P16-T16</f>
        <v>0</v>
      </c>
      <c r="Y16" s="17"/>
      <c r="Z16" s="22">
        <f>IF(T16=0,0,X16/T16)</f>
        <v>0</v>
      </c>
    </row>
    <row r="17" spans="1:26" ht="15" customHeight="1" x14ac:dyDescent="0.3">
      <c r="A17" s="12"/>
      <c r="B17" s="13"/>
      <c r="C17" s="12"/>
      <c r="D17" s="2"/>
      <c r="E17" s="2"/>
      <c r="F17" s="5"/>
      <c r="G17" s="2"/>
      <c r="H17" s="2"/>
      <c r="I17" s="2"/>
      <c r="J17" s="5"/>
      <c r="K17" s="2"/>
      <c r="L17" s="2"/>
      <c r="M17" s="2"/>
      <c r="N17" s="5"/>
      <c r="O17" s="36"/>
      <c r="P17" s="2"/>
      <c r="Q17" s="2"/>
      <c r="R17" s="5"/>
      <c r="S17" s="2"/>
      <c r="T17" s="2"/>
      <c r="U17" s="2"/>
      <c r="V17" s="5"/>
      <c r="W17" s="2"/>
      <c r="X17" s="2"/>
      <c r="Y17" s="2"/>
      <c r="Z17" s="5"/>
    </row>
    <row r="18" spans="1:26" s="63" customFormat="1" ht="15" customHeight="1" x14ac:dyDescent="0.3">
      <c r="A18" s="13"/>
      <c r="B18" s="28" t="s">
        <v>290</v>
      </c>
      <c r="C18" s="13"/>
      <c r="D18" s="24" cm="1">
        <f t="array" ref="D18">SUM(OSRRefD22x_0)</f>
        <v>4443.29</v>
      </c>
      <c r="E18" s="24"/>
      <c r="F18" s="34">
        <f t="shared" ref="F18:F46" si="0">IF(D$12=0,0,D18/D$12)</f>
        <v>0</v>
      </c>
      <c r="G18" s="24"/>
      <c r="H18" s="24" cm="1">
        <f t="array" ref="H18">SUM(OSRRefH22x_0)</f>
        <v>0</v>
      </c>
      <c r="I18" s="24"/>
      <c r="J18" s="34">
        <f t="shared" ref="J18:J46" si="1">IF(H$12=0,0,H18/H$12)</f>
        <v>0</v>
      </c>
      <c r="K18" s="8"/>
      <c r="L18" s="24">
        <f t="shared" ref="L18:L46" si="2">+D18-H18</f>
        <v>4443.29</v>
      </c>
      <c r="M18" s="8"/>
      <c r="N18" s="34">
        <f t="shared" ref="N18:N46" si="3">IF(H18=0,0,L18/H18)</f>
        <v>0</v>
      </c>
      <c r="O18" s="13"/>
      <c r="P18" s="24" cm="1">
        <f t="array" ref="P18">SUM(OSRRefP22x_0)</f>
        <v>40050.020000000004</v>
      </c>
      <c r="Q18" s="24"/>
      <c r="R18" s="34">
        <f t="shared" ref="R18:R46" si="4">IF(P$12=0,0,P18/P$12)</f>
        <v>0</v>
      </c>
      <c r="S18" s="24"/>
      <c r="T18" s="24" cm="1">
        <f t="array" ref="T18">SUM(OSRRefT22x_0)</f>
        <v>0</v>
      </c>
      <c r="U18" s="24"/>
      <c r="V18" s="34">
        <f t="shared" ref="V18:V46" si="5">IF(T$12=0,0,T18/T$12)</f>
        <v>0</v>
      </c>
      <c r="W18" s="8"/>
      <c r="X18" s="24">
        <f t="shared" ref="X18:X46" si="6">+P18-T18</f>
        <v>40050.020000000004</v>
      </c>
      <c r="Y18" s="8"/>
      <c r="Z18" s="34">
        <f t="shared" ref="Z18:Z46" si="7">IF(T18=0,0,X18/T18)</f>
        <v>0</v>
      </c>
    </row>
    <row r="19" spans="1:26" s="69" customFormat="1" ht="15" customHeight="1" outlineLevel="1" collapsed="1" x14ac:dyDescent="0.3">
      <c r="A19" s="20"/>
      <c r="B19" s="11" t="str">
        <f>CONCATENATE("     ","*Benefits                                         ")</f>
        <v xml:space="preserve">     *Benefits                                         </v>
      </c>
      <c r="C19" s="11"/>
      <c r="D19" s="2">
        <f>SUM(OSRRefD22_0x_0)</f>
        <v>0</v>
      </c>
      <c r="E19" s="2"/>
      <c r="F19" s="5">
        <f t="shared" si="0"/>
        <v>0</v>
      </c>
      <c r="G19" s="2"/>
      <c r="H19" s="2">
        <f>SUM(OSRRefH22_0x_0)</f>
        <v>0</v>
      </c>
      <c r="I19" s="2"/>
      <c r="J19" s="5">
        <f t="shared" si="1"/>
        <v>0</v>
      </c>
      <c r="K19" s="2"/>
      <c r="L19" s="2">
        <f t="shared" si="2"/>
        <v>0</v>
      </c>
      <c r="M19" s="2"/>
      <c r="N19" s="5">
        <f t="shared" si="3"/>
        <v>0</v>
      </c>
      <c r="O19" s="11"/>
      <c r="P19" s="2">
        <f>SUM(OSRRefP22_0x_0)</f>
        <v>0</v>
      </c>
      <c r="Q19" s="2"/>
      <c r="R19" s="5">
        <f t="shared" si="4"/>
        <v>0</v>
      </c>
      <c r="S19" s="2"/>
      <c r="T19" s="2">
        <f>SUM(OSRRefT22_0x_0)</f>
        <v>0</v>
      </c>
      <c r="U19" s="2"/>
      <c r="V19" s="5">
        <f t="shared" si="5"/>
        <v>0</v>
      </c>
      <c r="W19" s="2"/>
      <c r="X19" s="2">
        <f t="shared" si="6"/>
        <v>0</v>
      </c>
      <c r="Y19" s="2"/>
      <c r="Z19" s="5">
        <f t="shared" si="7"/>
        <v>0</v>
      </c>
    </row>
    <row r="20" spans="1:26" s="70" customFormat="1" ht="15" hidden="1" customHeight="1" outlineLevel="2" x14ac:dyDescent="0.3">
      <c r="A20" s="21"/>
      <c r="B20" s="9" t="str">
        <f>CONCATENATE("          ","6111"," - ","F.I.C.A.")</f>
        <v xml:space="preserve">          6111 - F.I.C.A.</v>
      </c>
      <c r="C20" s="9"/>
      <c r="D20" s="6"/>
      <c r="E20" s="3"/>
      <c r="F20" s="7">
        <f t="shared" si="0"/>
        <v>0</v>
      </c>
      <c r="G20" s="3"/>
      <c r="H20" s="6">
        <v>0</v>
      </c>
      <c r="I20" s="3"/>
      <c r="J20" s="7">
        <f t="shared" si="1"/>
        <v>0</v>
      </c>
      <c r="K20" s="3"/>
      <c r="L20" s="6">
        <f t="shared" si="2"/>
        <v>0</v>
      </c>
      <c r="M20" s="3"/>
      <c r="N20" s="7">
        <f t="shared" si="3"/>
        <v>0</v>
      </c>
      <c r="O20" s="9"/>
      <c r="P20" s="6"/>
      <c r="Q20" s="3"/>
      <c r="R20" s="7">
        <f t="shared" si="4"/>
        <v>0</v>
      </c>
      <c r="S20" s="3"/>
      <c r="T20" s="6">
        <v>0</v>
      </c>
      <c r="U20" s="3"/>
      <c r="V20" s="7">
        <f t="shared" si="5"/>
        <v>0</v>
      </c>
      <c r="W20" s="3"/>
      <c r="X20" s="6">
        <f t="shared" si="6"/>
        <v>0</v>
      </c>
      <c r="Y20" s="3"/>
      <c r="Z20" s="7">
        <f t="shared" si="7"/>
        <v>0</v>
      </c>
    </row>
    <row r="21" spans="1:26" s="70" customFormat="1" ht="15" hidden="1" customHeight="1" outlineLevel="2" x14ac:dyDescent="0.3">
      <c r="A21" s="21"/>
      <c r="B21" s="9" t="str">
        <f>CONCATENATE("          ","6112"," - ","COMPENSATION INSURANCE")</f>
        <v xml:space="preserve">          6112 - COMPENSATION INSURANCE</v>
      </c>
      <c r="C21" s="9"/>
      <c r="D21" s="6"/>
      <c r="E21" s="3"/>
      <c r="F21" s="7">
        <f t="shared" si="0"/>
        <v>0</v>
      </c>
      <c r="G21" s="3"/>
      <c r="H21" s="6">
        <v>0</v>
      </c>
      <c r="I21" s="3"/>
      <c r="J21" s="7">
        <f t="shared" si="1"/>
        <v>0</v>
      </c>
      <c r="K21" s="3"/>
      <c r="L21" s="6">
        <f t="shared" si="2"/>
        <v>0</v>
      </c>
      <c r="M21" s="3"/>
      <c r="N21" s="7">
        <f t="shared" si="3"/>
        <v>0</v>
      </c>
      <c r="O21" s="9"/>
      <c r="P21" s="6"/>
      <c r="Q21" s="3"/>
      <c r="R21" s="7">
        <f t="shared" si="4"/>
        <v>0</v>
      </c>
      <c r="S21" s="3"/>
      <c r="T21" s="6">
        <v>0</v>
      </c>
      <c r="U21" s="3"/>
      <c r="V21" s="7">
        <f t="shared" si="5"/>
        <v>0</v>
      </c>
      <c r="W21" s="3"/>
      <c r="X21" s="6">
        <f t="shared" si="6"/>
        <v>0</v>
      </c>
      <c r="Y21" s="3"/>
      <c r="Z21" s="7">
        <f t="shared" si="7"/>
        <v>0</v>
      </c>
    </row>
    <row r="22" spans="1:26" s="70" customFormat="1" ht="15" hidden="1" customHeight="1" outlineLevel="2" x14ac:dyDescent="0.3">
      <c r="A22" s="21"/>
      <c r="B22" s="9" t="str">
        <f>CONCATENATE("          ","6113"," - ","GROUP INSURANCE")</f>
        <v xml:space="preserve">          6113 - GROUP INSURANCE</v>
      </c>
      <c r="C22" s="9"/>
      <c r="D22" s="6"/>
      <c r="E22" s="3"/>
      <c r="F22" s="7">
        <f t="shared" si="0"/>
        <v>0</v>
      </c>
      <c r="G22" s="3"/>
      <c r="H22" s="6">
        <v>0</v>
      </c>
      <c r="I22" s="3"/>
      <c r="J22" s="7">
        <f t="shared" si="1"/>
        <v>0</v>
      </c>
      <c r="K22" s="3"/>
      <c r="L22" s="6">
        <f t="shared" si="2"/>
        <v>0</v>
      </c>
      <c r="M22" s="3"/>
      <c r="N22" s="7">
        <f t="shared" si="3"/>
        <v>0</v>
      </c>
      <c r="O22" s="9"/>
      <c r="P22" s="6"/>
      <c r="Q22" s="3"/>
      <c r="R22" s="7">
        <f t="shared" si="4"/>
        <v>0</v>
      </c>
      <c r="S22" s="3"/>
      <c r="T22" s="6">
        <v>0</v>
      </c>
      <c r="U22" s="3"/>
      <c r="V22" s="7">
        <f t="shared" si="5"/>
        <v>0</v>
      </c>
      <c r="W22" s="3"/>
      <c r="X22" s="6">
        <f t="shared" si="6"/>
        <v>0</v>
      </c>
      <c r="Y22" s="3"/>
      <c r="Z22" s="7">
        <f t="shared" si="7"/>
        <v>0</v>
      </c>
    </row>
    <row r="23" spans="1:26" s="70" customFormat="1" ht="15" hidden="1" customHeight="1" outlineLevel="2" x14ac:dyDescent="0.3">
      <c r="A23" s="21"/>
      <c r="B23" s="9" t="str">
        <f>CONCATENATE("          ","6114"," - ","STATE UNEMPLOYMENT INSURANCE")</f>
        <v xml:space="preserve">          6114 - STATE UNEMPLOYMENT INSURANCE</v>
      </c>
      <c r="C23" s="9"/>
      <c r="D23" s="6"/>
      <c r="E23" s="3"/>
      <c r="F23" s="7">
        <f t="shared" si="0"/>
        <v>0</v>
      </c>
      <c r="G23" s="3"/>
      <c r="H23" s="6">
        <v>0</v>
      </c>
      <c r="I23" s="3"/>
      <c r="J23" s="7">
        <f t="shared" si="1"/>
        <v>0</v>
      </c>
      <c r="K23" s="3"/>
      <c r="L23" s="6">
        <f t="shared" si="2"/>
        <v>0</v>
      </c>
      <c r="M23" s="3"/>
      <c r="N23" s="7">
        <f t="shared" si="3"/>
        <v>0</v>
      </c>
      <c r="O23" s="9"/>
      <c r="P23" s="6"/>
      <c r="Q23" s="3"/>
      <c r="R23" s="7">
        <f t="shared" si="4"/>
        <v>0</v>
      </c>
      <c r="S23" s="3"/>
      <c r="T23" s="6">
        <v>0</v>
      </c>
      <c r="U23" s="3"/>
      <c r="V23" s="7">
        <f t="shared" si="5"/>
        <v>0</v>
      </c>
      <c r="W23" s="3"/>
      <c r="X23" s="6">
        <f t="shared" si="6"/>
        <v>0</v>
      </c>
      <c r="Y23" s="3"/>
      <c r="Z23" s="7">
        <f t="shared" si="7"/>
        <v>0</v>
      </c>
    </row>
    <row r="24" spans="1:26" s="70" customFormat="1" ht="15" hidden="1" customHeight="1" outlineLevel="2" x14ac:dyDescent="0.3">
      <c r="A24" s="21"/>
      <c r="B24" s="9" t="str">
        <f>CONCATENATE("          ","6115"," - ","P.E.R.S.")</f>
        <v xml:space="preserve">          6115 - P.E.R.S.</v>
      </c>
      <c r="C24" s="9"/>
      <c r="D24" s="6"/>
      <c r="E24" s="3"/>
      <c r="F24" s="7">
        <f t="shared" si="0"/>
        <v>0</v>
      </c>
      <c r="G24" s="3"/>
      <c r="H24" s="6">
        <v>0</v>
      </c>
      <c r="I24" s="3"/>
      <c r="J24" s="7">
        <f t="shared" si="1"/>
        <v>0</v>
      </c>
      <c r="K24" s="3"/>
      <c r="L24" s="6">
        <f t="shared" si="2"/>
        <v>0</v>
      </c>
      <c r="M24" s="3"/>
      <c r="N24" s="7">
        <f t="shared" si="3"/>
        <v>0</v>
      </c>
      <c r="O24" s="9"/>
      <c r="P24" s="6"/>
      <c r="Q24" s="3"/>
      <c r="R24" s="7">
        <f t="shared" si="4"/>
        <v>0</v>
      </c>
      <c r="S24" s="3"/>
      <c r="T24" s="6">
        <v>0</v>
      </c>
      <c r="U24" s="3"/>
      <c r="V24" s="7">
        <f t="shared" si="5"/>
        <v>0</v>
      </c>
      <c r="W24" s="3"/>
      <c r="X24" s="6">
        <f t="shared" si="6"/>
        <v>0</v>
      </c>
      <c r="Y24" s="3"/>
      <c r="Z24" s="7">
        <f t="shared" si="7"/>
        <v>0</v>
      </c>
    </row>
    <row r="25" spans="1:26" s="70" customFormat="1" ht="15" hidden="1" customHeight="1" outlineLevel="2" x14ac:dyDescent="0.3">
      <c r="A25" s="21"/>
      <c r="B25" s="9" t="str">
        <f>CONCATENATE("          ","6116"," - ","EDUCATIONAL BENEFITS")</f>
        <v xml:space="preserve">          6116 - EDUCATIONAL BENEFITS</v>
      </c>
      <c r="C25" s="9"/>
      <c r="D25" s="6"/>
      <c r="E25" s="3"/>
      <c r="F25" s="7">
        <f t="shared" si="0"/>
        <v>0</v>
      </c>
      <c r="G25" s="3"/>
      <c r="H25" s="6">
        <v>0</v>
      </c>
      <c r="I25" s="3"/>
      <c r="J25" s="7">
        <f t="shared" si="1"/>
        <v>0</v>
      </c>
      <c r="K25" s="3"/>
      <c r="L25" s="6">
        <f t="shared" si="2"/>
        <v>0</v>
      </c>
      <c r="M25" s="3"/>
      <c r="N25" s="7">
        <f t="shared" si="3"/>
        <v>0</v>
      </c>
      <c r="O25" s="9"/>
      <c r="P25" s="6"/>
      <c r="Q25" s="3"/>
      <c r="R25" s="7">
        <f t="shared" si="4"/>
        <v>0</v>
      </c>
      <c r="S25" s="3"/>
      <c r="T25" s="6">
        <v>0</v>
      </c>
      <c r="U25" s="3"/>
      <c r="V25" s="7">
        <f t="shared" si="5"/>
        <v>0</v>
      </c>
      <c r="W25" s="3"/>
      <c r="X25" s="6">
        <f t="shared" si="6"/>
        <v>0</v>
      </c>
      <c r="Y25" s="3"/>
      <c r="Z25" s="7">
        <f t="shared" si="7"/>
        <v>0</v>
      </c>
    </row>
    <row r="26" spans="1:26" s="70" customFormat="1" ht="15" hidden="1" customHeight="1" outlineLevel="2" x14ac:dyDescent="0.3">
      <c r="A26" s="21"/>
      <c r="B26" s="9" t="str">
        <f>CONCATENATE("          ","6118"," - ","VACATION")</f>
        <v xml:space="preserve">          6118 - VACATION</v>
      </c>
      <c r="C26" s="9"/>
      <c r="D26" s="6"/>
      <c r="E26" s="3"/>
      <c r="F26" s="7">
        <f t="shared" si="0"/>
        <v>0</v>
      </c>
      <c r="G26" s="3"/>
      <c r="H26" s="6">
        <v>0</v>
      </c>
      <c r="I26" s="3"/>
      <c r="J26" s="7">
        <f t="shared" si="1"/>
        <v>0</v>
      </c>
      <c r="K26" s="3"/>
      <c r="L26" s="6">
        <f t="shared" si="2"/>
        <v>0</v>
      </c>
      <c r="M26" s="3"/>
      <c r="N26" s="7">
        <f t="shared" si="3"/>
        <v>0</v>
      </c>
      <c r="O26" s="9"/>
      <c r="P26" s="6"/>
      <c r="Q26" s="3"/>
      <c r="R26" s="7">
        <f t="shared" si="4"/>
        <v>0</v>
      </c>
      <c r="S26" s="3"/>
      <c r="T26" s="6">
        <v>0</v>
      </c>
      <c r="U26" s="3"/>
      <c r="V26" s="7">
        <f t="shared" si="5"/>
        <v>0</v>
      </c>
      <c r="W26" s="3"/>
      <c r="X26" s="6">
        <f t="shared" si="6"/>
        <v>0</v>
      </c>
      <c r="Y26" s="3"/>
      <c r="Z26" s="7">
        <f t="shared" si="7"/>
        <v>0</v>
      </c>
    </row>
    <row r="27" spans="1:26" s="70" customFormat="1" ht="15" hidden="1" customHeight="1" outlineLevel="2" x14ac:dyDescent="0.3">
      <c r="A27" s="21"/>
      <c r="B27" s="9" t="str">
        <f>CONCATENATE("          ","6119"," - ","SICK LEAVE")</f>
        <v xml:space="preserve">          6119 - SICK LEAVE</v>
      </c>
      <c r="C27" s="9"/>
      <c r="D27" s="6"/>
      <c r="E27" s="3"/>
      <c r="F27" s="7">
        <f t="shared" si="0"/>
        <v>0</v>
      </c>
      <c r="G27" s="3"/>
      <c r="H27" s="6">
        <v>0</v>
      </c>
      <c r="I27" s="3"/>
      <c r="J27" s="7">
        <f t="shared" si="1"/>
        <v>0</v>
      </c>
      <c r="K27" s="3"/>
      <c r="L27" s="6">
        <f t="shared" si="2"/>
        <v>0</v>
      </c>
      <c r="M27" s="3"/>
      <c r="N27" s="7">
        <f t="shared" si="3"/>
        <v>0</v>
      </c>
      <c r="O27" s="9"/>
      <c r="P27" s="6"/>
      <c r="Q27" s="3"/>
      <c r="R27" s="7">
        <f t="shared" si="4"/>
        <v>0</v>
      </c>
      <c r="S27" s="3"/>
      <c r="T27" s="6">
        <v>0</v>
      </c>
      <c r="U27" s="3"/>
      <c r="V27" s="7">
        <f t="shared" si="5"/>
        <v>0</v>
      </c>
      <c r="W27" s="3"/>
      <c r="X27" s="6">
        <f t="shared" si="6"/>
        <v>0</v>
      </c>
      <c r="Y27" s="3"/>
      <c r="Z27" s="7">
        <f t="shared" si="7"/>
        <v>0</v>
      </c>
    </row>
    <row r="28" spans="1:26" s="69" customFormat="1" ht="15" customHeight="1" outlineLevel="1" collapsed="1" x14ac:dyDescent="0.3">
      <c r="A28" s="20"/>
      <c r="B28" s="11" t="str">
        <f>CONCATENATE("     ","*Payroll                                          ")</f>
        <v xml:space="preserve">     *Payroll                                          </v>
      </c>
      <c r="C28" s="11"/>
      <c r="D28" s="2">
        <f>SUM(OSRRefD22_1x_0)</f>
        <v>0</v>
      </c>
      <c r="E28" s="2"/>
      <c r="F28" s="5">
        <f t="shared" si="0"/>
        <v>0</v>
      </c>
      <c r="G28" s="2"/>
      <c r="H28" s="2">
        <f>SUM(OSRRefH22_1x_0)</f>
        <v>0</v>
      </c>
      <c r="I28" s="2"/>
      <c r="J28" s="5">
        <f t="shared" si="1"/>
        <v>0</v>
      </c>
      <c r="K28" s="2"/>
      <c r="L28" s="2">
        <f t="shared" si="2"/>
        <v>0</v>
      </c>
      <c r="M28" s="2"/>
      <c r="N28" s="5">
        <f t="shared" si="3"/>
        <v>0</v>
      </c>
      <c r="O28" s="11"/>
      <c r="P28" s="2">
        <f>SUM(OSRRefP22_1x_0)</f>
        <v>0</v>
      </c>
      <c r="Q28" s="2"/>
      <c r="R28" s="5">
        <f t="shared" si="4"/>
        <v>0</v>
      </c>
      <c r="S28" s="2"/>
      <c r="T28" s="2">
        <f>SUM(OSRRefT22_1x_0)</f>
        <v>0</v>
      </c>
      <c r="U28" s="2"/>
      <c r="V28" s="5">
        <f t="shared" si="5"/>
        <v>0</v>
      </c>
      <c r="W28" s="2"/>
      <c r="X28" s="2">
        <f t="shared" si="6"/>
        <v>0</v>
      </c>
      <c r="Y28" s="2"/>
      <c r="Z28" s="5">
        <f t="shared" si="7"/>
        <v>0</v>
      </c>
    </row>
    <row r="29" spans="1:26" s="70" customFormat="1" ht="15" hidden="1" customHeight="1" outlineLevel="2" x14ac:dyDescent="0.3">
      <c r="A29" s="21"/>
      <c r="B29" s="9" t="str">
        <f>CONCATENATE("          ","6001"," - ","ADMINISTRATIVE SALARIES")</f>
        <v xml:space="preserve">          6001 - ADMINISTRATIVE SALARIES</v>
      </c>
      <c r="C29" s="9"/>
      <c r="D29" s="6"/>
      <c r="E29" s="3"/>
      <c r="F29" s="7">
        <f t="shared" si="0"/>
        <v>0</v>
      </c>
      <c r="G29" s="3"/>
      <c r="H29" s="6">
        <v>0</v>
      </c>
      <c r="I29" s="3"/>
      <c r="J29" s="7">
        <f t="shared" si="1"/>
        <v>0</v>
      </c>
      <c r="K29" s="3"/>
      <c r="L29" s="6">
        <f t="shared" si="2"/>
        <v>0</v>
      </c>
      <c r="M29" s="3"/>
      <c r="N29" s="7">
        <f t="shared" si="3"/>
        <v>0</v>
      </c>
      <c r="O29" s="9"/>
      <c r="P29" s="6"/>
      <c r="Q29" s="3"/>
      <c r="R29" s="7">
        <f t="shared" si="4"/>
        <v>0</v>
      </c>
      <c r="S29" s="3"/>
      <c r="T29" s="6">
        <v>0</v>
      </c>
      <c r="U29" s="3"/>
      <c r="V29" s="7">
        <f t="shared" si="5"/>
        <v>0</v>
      </c>
      <c r="W29" s="3"/>
      <c r="X29" s="6">
        <f t="shared" si="6"/>
        <v>0</v>
      </c>
      <c r="Y29" s="3"/>
      <c r="Z29" s="7">
        <f t="shared" si="7"/>
        <v>0</v>
      </c>
    </row>
    <row r="30" spans="1:26" s="70" customFormat="1" ht="15" hidden="1" customHeight="1" outlineLevel="2" x14ac:dyDescent="0.3">
      <c r="A30" s="21"/>
      <c r="B30" s="9" t="str">
        <f>CONCATENATE("          ","6002"," - ","STAFF SALARIES")</f>
        <v xml:space="preserve">          6002 - STAFF SALARIES</v>
      </c>
      <c r="C30" s="9"/>
      <c r="D30" s="6"/>
      <c r="E30" s="3"/>
      <c r="F30" s="7">
        <f t="shared" si="0"/>
        <v>0</v>
      </c>
      <c r="G30" s="3"/>
      <c r="H30" s="6">
        <v>0</v>
      </c>
      <c r="I30" s="3"/>
      <c r="J30" s="7">
        <f t="shared" si="1"/>
        <v>0</v>
      </c>
      <c r="K30" s="3"/>
      <c r="L30" s="6">
        <f t="shared" si="2"/>
        <v>0</v>
      </c>
      <c r="M30" s="3"/>
      <c r="N30" s="7">
        <f t="shared" si="3"/>
        <v>0</v>
      </c>
      <c r="O30" s="9"/>
      <c r="P30" s="6"/>
      <c r="Q30" s="3"/>
      <c r="R30" s="7">
        <f t="shared" si="4"/>
        <v>0</v>
      </c>
      <c r="S30" s="3"/>
      <c r="T30" s="6">
        <v>0</v>
      </c>
      <c r="U30" s="3"/>
      <c r="V30" s="7">
        <f t="shared" si="5"/>
        <v>0</v>
      </c>
      <c r="W30" s="3"/>
      <c r="X30" s="6">
        <f t="shared" si="6"/>
        <v>0</v>
      </c>
      <c r="Y30" s="3"/>
      <c r="Z30" s="7">
        <f t="shared" si="7"/>
        <v>0</v>
      </c>
    </row>
    <row r="31" spans="1:26" s="70" customFormat="1" ht="15" hidden="1" customHeight="1" outlineLevel="2" x14ac:dyDescent="0.3">
      <c r="A31" s="21"/>
      <c r="B31" s="9" t="str">
        <f>CONCATENATE("          ","6003"," - ","STAFF HOURLY-9 MONTH")</f>
        <v xml:space="preserve">          6003 - STAFF HOURLY-9 MONTH</v>
      </c>
      <c r="C31" s="9"/>
      <c r="D31" s="6"/>
      <c r="E31" s="3"/>
      <c r="F31" s="7">
        <f t="shared" si="0"/>
        <v>0</v>
      </c>
      <c r="G31" s="3"/>
      <c r="H31" s="6">
        <v>0</v>
      </c>
      <c r="I31" s="3"/>
      <c r="J31" s="7">
        <f t="shared" si="1"/>
        <v>0</v>
      </c>
      <c r="K31" s="3"/>
      <c r="L31" s="6">
        <f t="shared" si="2"/>
        <v>0</v>
      </c>
      <c r="M31" s="3"/>
      <c r="N31" s="7">
        <f t="shared" si="3"/>
        <v>0</v>
      </c>
      <c r="O31" s="9"/>
      <c r="P31" s="6"/>
      <c r="Q31" s="3"/>
      <c r="R31" s="7">
        <f t="shared" si="4"/>
        <v>0</v>
      </c>
      <c r="S31" s="3"/>
      <c r="T31" s="6">
        <v>0</v>
      </c>
      <c r="U31" s="3"/>
      <c r="V31" s="7">
        <f t="shared" si="5"/>
        <v>0</v>
      </c>
      <c r="W31" s="3"/>
      <c r="X31" s="6">
        <f t="shared" si="6"/>
        <v>0</v>
      </c>
      <c r="Y31" s="3"/>
      <c r="Z31" s="7">
        <f t="shared" si="7"/>
        <v>0</v>
      </c>
    </row>
    <row r="32" spans="1:26" s="70" customFormat="1" ht="15" hidden="1" customHeight="1" outlineLevel="2" x14ac:dyDescent="0.3">
      <c r="A32" s="21"/>
      <c r="B32" s="9" t="str">
        <f>CONCATENATE("          ","6004"," - ","STAFF HOURLY")</f>
        <v xml:space="preserve">          6004 - STAFF HOURLY</v>
      </c>
      <c r="C32" s="9"/>
      <c r="D32" s="6"/>
      <c r="E32" s="3"/>
      <c r="F32" s="7">
        <f t="shared" si="0"/>
        <v>0</v>
      </c>
      <c r="G32" s="3"/>
      <c r="H32" s="6">
        <v>0</v>
      </c>
      <c r="I32" s="3"/>
      <c r="J32" s="7">
        <f t="shared" si="1"/>
        <v>0</v>
      </c>
      <c r="K32" s="3"/>
      <c r="L32" s="6">
        <f t="shared" si="2"/>
        <v>0</v>
      </c>
      <c r="M32" s="3"/>
      <c r="N32" s="7">
        <f t="shared" si="3"/>
        <v>0</v>
      </c>
      <c r="O32" s="9"/>
      <c r="P32" s="6"/>
      <c r="Q32" s="3"/>
      <c r="R32" s="7">
        <f t="shared" si="4"/>
        <v>0</v>
      </c>
      <c r="S32" s="3"/>
      <c r="T32" s="6">
        <v>0</v>
      </c>
      <c r="U32" s="3"/>
      <c r="V32" s="7">
        <f t="shared" si="5"/>
        <v>0</v>
      </c>
      <c r="W32" s="3"/>
      <c r="X32" s="6">
        <f t="shared" si="6"/>
        <v>0</v>
      </c>
      <c r="Y32" s="3"/>
      <c r="Z32" s="7">
        <f t="shared" si="7"/>
        <v>0</v>
      </c>
    </row>
    <row r="33" spans="1:26" s="70" customFormat="1" ht="15" hidden="1" customHeight="1" outlineLevel="2" x14ac:dyDescent="0.3">
      <c r="A33" s="21"/>
      <c r="B33" s="9" t="str">
        <f>CONCATENATE("          ","6005"," - ","TEMPORARY WAGES-HOURLY")</f>
        <v xml:space="preserve">          6005 - TEMPORARY WAGES-HOURLY</v>
      </c>
      <c r="C33" s="9"/>
      <c r="D33" s="6"/>
      <c r="E33" s="3"/>
      <c r="F33" s="7">
        <f t="shared" si="0"/>
        <v>0</v>
      </c>
      <c r="G33" s="3"/>
      <c r="H33" s="6">
        <v>0</v>
      </c>
      <c r="I33" s="3"/>
      <c r="J33" s="7">
        <f t="shared" si="1"/>
        <v>0</v>
      </c>
      <c r="K33" s="3"/>
      <c r="L33" s="6">
        <f t="shared" si="2"/>
        <v>0</v>
      </c>
      <c r="M33" s="3"/>
      <c r="N33" s="7">
        <f t="shared" si="3"/>
        <v>0</v>
      </c>
      <c r="O33" s="9"/>
      <c r="P33" s="6"/>
      <c r="Q33" s="3"/>
      <c r="R33" s="7">
        <f t="shared" si="4"/>
        <v>0</v>
      </c>
      <c r="S33" s="3"/>
      <c r="T33" s="6">
        <v>0</v>
      </c>
      <c r="U33" s="3"/>
      <c r="V33" s="7">
        <f t="shared" si="5"/>
        <v>0</v>
      </c>
      <c r="W33" s="3"/>
      <c r="X33" s="6">
        <f t="shared" si="6"/>
        <v>0</v>
      </c>
      <c r="Y33" s="3"/>
      <c r="Z33" s="7">
        <f t="shared" si="7"/>
        <v>0</v>
      </c>
    </row>
    <row r="34" spans="1:26" s="70" customFormat="1" ht="15" hidden="1" customHeight="1" outlineLevel="2" x14ac:dyDescent="0.3">
      <c r="A34" s="21"/>
      <c r="B34" s="9" t="str">
        <f>CONCATENATE("          ","6006"," - ","TEMPORARY PART TIME")</f>
        <v xml:space="preserve">          6006 - TEMPORARY PART TIME</v>
      </c>
      <c r="C34" s="9"/>
      <c r="D34" s="6"/>
      <c r="E34" s="3"/>
      <c r="F34" s="7">
        <f t="shared" si="0"/>
        <v>0</v>
      </c>
      <c r="G34" s="3"/>
      <c r="H34" s="6">
        <v>0</v>
      </c>
      <c r="I34" s="3"/>
      <c r="J34" s="7">
        <f t="shared" si="1"/>
        <v>0</v>
      </c>
      <c r="K34" s="3"/>
      <c r="L34" s="6">
        <f t="shared" si="2"/>
        <v>0</v>
      </c>
      <c r="M34" s="3"/>
      <c r="N34" s="7">
        <f t="shared" si="3"/>
        <v>0</v>
      </c>
      <c r="O34" s="9"/>
      <c r="P34" s="6"/>
      <c r="Q34" s="3"/>
      <c r="R34" s="7">
        <f t="shared" si="4"/>
        <v>0</v>
      </c>
      <c r="S34" s="3"/>
      <c r="T34" s="6">
        <v>0</v>
      </c>
      <c r="U34" s="3"/>
      <c r="V34" s="7">
        <f t="shared" si="5"/>
        <v>0</v>
      </c>
      <c r="W34" s="3"/>
      <c r="X34" s="6">
        <f t="shared" si="6"/>
        <v>0</v>
      </c>
      <c r="Y34" s="3"/>
      <c r="Z34" s="7">
        <f t="shared" si="7"/>
        <v>0</v>
      </c>
    </row>
    <row r="35" spans="1:26" s="70" customFormat="1" ht="15" hidden="1" customHeight="1" outlineLevel="2" x14ac:dyDescent="0.3">
      <c r="A35" s="21"/>
      <c r="B35" s="9" t="str">
        <f>CONCATENATE("          ","6007"," - ","STUDENT HOURLY")</f>
        <v xml:space="preserve">          6007 - STUDENT HOURLY</v>
      </c>
      <c r="C35" s="9"/>
      <c r="D35" s="6"/>
      <c r="E35" s="3"/>
      <c r="F35" s="7">
        <f t="shared" si="0"/>
        <v>0</v>
      </c>
      <c r="G35" s="3"/>
      <c r="H35" s="6">
        <v>0</v>
      </c>
      <c r="I35" s="3"/>
      <c r="J35" s="7">
        <f t="shared" si="1"/>
        <v>0</v>
      </c>
      <c r="K35" s="3"/>
      <c r="L35" s="6">
        <f t="shared" si="2"/>
        <v>0</v>
      </c>
      <c r="M35" s="3"/>
      <c r="N35" s="7">
        <f t="shared" si="3"/>
        <v>0</v>
      </c>
      <c r="O35" s="9"/>
      <c r="P35" s="6"/>
      <c r="Q35" s="3"/>
      <c r="R35" s="7">
        <f t="shared" si="4"/>
        <v>0</v>
      </c>
      <c r="S35" s="3"/>
      <c r="T35" s="6">
        <v>0</v>
      </c>
      <c r="U35" s="3"/>
      <c r="V35" s="7">
        <f t="shared" si="5"/>
        <v>0</v>
      </c>
      <c r="W35" s="3"/>
      <c r="X35" s="6">
        <f t="shared" si="6"/>
        <v>0</v>
      </c>
      <c r="Y35" s="3"/>
      <c r="Z35" s="7">
        <f t="shared" si="7"/>
        <v>0</v>
      </c>
    </row>
    <row r="36" spans="1:26" s="70" customFormat="1" ht="15" hidden="1" customHeight="1" outlineLevel="2" x14ac:dyDescent="0.3">
      <c r="A36" s="21"/>
      <c r="B36" s="9" t="str">
        <f>CONCATENATE("          ","6008"," - ","STUDENT HOURLY-FICA EXEMPT")</f>
        <v xml:space="preserve">          6008 - STUDENT HOURLY-FICA EXEMPT</v>
      </c>
      <c r="C36" s="9"/>
      <c r="D36" s="6"/>
      <c r="E36" s="3"/>
      <c r="F36" s="7">
        <f t="shared" si="0"/>
        <v>0</v>
      </c>
      <c r="G36" s="3"/>
      <c r="H36" s="6">
        <v>0</v>
      </c>
      <c r="I36" s="3"/>
      <c r="J36" s="7">
        <f t="shared" si="1"/>
        <v>0</v>
      </c>
      <c r="K36" s="3"/>
      <c r="L36" s="6">
        <f t="shared" si="2"/>
        <v>0</v>
      </c>
      <c r="M36" s="3"/>
      <c r="N36" s="7">
        <f t="shared" si="3"/>
        <v>0</v>
      </c>
      <c r="O36" s="9"/>
      <c r="P36" s="6"/>
      <c r="Q36" s="3"/>
      <c r="R36" s="7">
        <f t="shared" si="4"/>
        <v>0</v>
      </c>
      <c r="S36" s="3"/>
      <c r="T36" s="6">
        <v>0</v>
      </c>
      <c r="U36" s="3"/>
      <c r="V36" s="7">
        <f t="shared" si="5"/>
        <v>0</v>
      </c>
      <c r="W36" s="3"/>
      <c r="X36" s="6">
        <f t="shared" si="6"/>
        <v>0</v>
      </c>
      <c r="Y36" s="3"/>
      <c r="Z36" s="7">
        <f t="shared" si="7"/>
        <v>0</v>
      </c>
    </row>
    <row r="37" spans="1:26" s="70" customFormat="1" ht="15" hidden="1" customHeight="1" outlineLevel="2" x14ac:dyDescent="0.3">
      <c r="A37" s="21"/>
      <c r="B37" s="9" t="str">
        <f>CONCATENATE("          ","6009"," - ","TEMPORARY-SEASONAL")</f>
        <v xml:space="preserve">          6009 - TEMPORARY-SEASONAL</v>
      </c>
      <c r="C37" s="9"/>
      <c r="D37" s="6"/>
      <c r="E37" s="3"/>
      <c r="F37" s="7">
        <f t="shared" si="0"/>
        <v>0</v>
      </c>
      <c r="G37" s="3"/>
      <c r="H37" s="6">
        <v>0</v>
      </c>
      <c r="I37" s="3"/>
      <c r="J37" s="7">
        <f t="shared" si="1"/>
        <v>0</v>
      </c>
      <c r="K37" s="3"/>
      <c r="L37" s="6">
        <f t="shared" si="2"/>
        <v>0</v>
      </c>
      <c r="M37" s="3"/>
      <c r="N37" s="7">
        <f t="shared" si="3"/>
        <v>0</v>
      </c>
      <c r="O37" s="9"/>
      <c r="P37" s="6"/>
      <c r="Q37" s="3"/>
      <c r="R37" s="7">
        <f t="shared" si="4"/>
        <v>0</v>
      </c>
      <c r="S37" s="3"/>
      <c r="T37" s="6">
        <v>0</v>
      </c>
      <c r="U37" s="3"/>
      <c r="V37" s="7">
        <f t="shared" si="5"/>
        <v>0</v>
      </c>
      <c r="W37" s="3"/>
      <c r="X37" s="6">
        <f t="shared" si="6"/>
        <v>0</v>
      </c>
      <c r="Y37" s="3"/>
      <c r="Z37" s="7">
        <f t="shared" si="7"/>
        <v>0</v>
      </c>
    </row>
    <row r="38" spans="1:26" s="70" customFormat="1" ht="15" hidden="1" customHeight="1" outlineLevel="2" x14ac:dyDescent="0.3">
      <c r="A38" s="21"/>
      <c r="B38" s="9" t="str">
        <f>CONCATENATE("          ","6010"," - ","GRATUITY")</f>
        <v xml:space="preserve">          6010 - GRATUITY</v>
      </c>
      <c r="C38" s="9"/>
      <c r="D38" s="6"/>
      <c r="E38" s="3"/>
      <c r="F38" s="7">
        <f t="shared" si="0"/>
        <v>0</v>
      </c>
      <c r="G38" s="3"/>
      <c r="H38" s="6">
        <v>0</v>
      </c>
      <c r="I38" s="3"/>
      <c r="J38" s="7">
        <f t="shared" si="1"/>
        <v>0</v>
      </c>
      <c r="K38" s="3"/>
      <c r="L38" s="6">
        <f t="shared" si="2"/>
        <v>0</v>
      </c>
      <c r="M38" s="3"/>
      <c r="N38" s="7">
        <f t="shared" si="3"/>
        <v>0</v>
      </c>
      <c r="O38" s="9"/>
      <c r="P38" s="6"/>
      <c r="Q38" s="3"/>
      <c r="R38" s="7">
        <f t="shared" si="4"/>
        <v>0</v>
      </c>
      <c r="S38" s="3"/>
      <c r="T38" s="6">
        <v>0</v>
      </c>
      <c r="U38" s="3"/>
      <c r="V38" s="7">
        <f t="shared" si="5"/>
        <v>0</v>
      </c>
      <c r="W38" s="3"/>
      <c r="X38" s="6">
        <f t="shared" si="6"/>
        <v>0</v>
      </c>
      <c r="Y38" s="3"/>
      <c r="Z38" s="7">
        <f t="shared" si="7"/>
        <v>0</v>
      </c>
    </row>
    <row r="39" spans="1:26" s="69" customFormat="1" ht="15" customHeight="1" outlineLevel="1" collapsed="1" x14ac:dyDescent="0.3">
      <c r="A39" s="20"/>
      <c r="B39" s="11" t="str">
        <f>CONCATENATE("     ","General                                           ")</f>
        <v xml:space="preserve">     General                                           </v>
      </c>
      <c r="C39" s="11"/>
      <c r="D39" s="2">
        <f>SUM(OSRRefD22_2x_0)</f>
        <v>4394.2</v>
      </c>
      <c r="E39" s="2"/>
      <c r="F39" s="5">
        <f t="shared" si="0"/>
        <v>0</v>
      </c>
      <c r="G39" s="2"/>
      <c r="H39" s="2">
        <f>SUM(OSRRefH22_2x_0)</f>
        <v>0</v>
      </c>
      <c r="I39" s="2"/>
      <c r="J39" s="5">
        <f t="shared" si="1"/>
        <v>0</v>
      </c>
      <c r="K39" s="2"/>
      <c r="L39" s="2">
        <f t="shared" si="2"/>
        <v>4394.2</v>
      </c>
      <c r="M39" s="2"/>
      <c r="N39" s="5">
        <f t="shared" si="3"/>
        <v>0</v>
      </c>
      <c r="O39" s="11"/>
      <c r="P39" s="2">
        <f>SUM(OSRRefP22_2x_0)</f>
        <v>38883.4</v>
      </c>
      <c r="Q39" s="2"/>
      <c r="R39" s="5">
        <f t="shared" si="4"/>
        <v>0</v>
      </c>
      <c r="S39" s="2"/>
      <c r="T39" s="2">
        <f>SUM(OSRRefT22_2x_0)</f>
        <v>0</v>
      </c>
      <c r="U39" s="2"/>
      <c r="V39" s="5">
        <f t="shared" si="5"/>
        <v>0</v>
      </c>
      <c r="W39" s="2"/>
      <c r="X39" s="2">
        <f t="shared" si="6"/>
        <v>38883.4</v>
      </c>
      <c r="Y39" s="2"/>
      <c r="Z39" s="5">
        <f t="shared" si="7"/>
        <v>0</v>
      </c>
    </row>
    <row r="40" spans="1:26" s="70" customFormat="1" ht="15" hidden="1" customHeight="1" outlineLevel="2" x14ac:dyDescent="0.3">
      <c r="A40" s="21"/>
      <c r="B40" s="9" t="str">
        <f>CONCATENATE("          ","6279"," - ","GENERAL EXPENSE")</f>
        <v xml:space="preserve">          6279 - GENERAL EXPENSE</v>
      </c>
      <c r="C40" s="9"/>
      <c r="D40" s="6">
        <v>4394.2</v>
      </c>
      <c r="E40" s="3"/>
      <c r="F40" s="7">
        <f t="shared" si="0"/>
        <v>0</v>
      </c>
      <c r="G40" s="3"/>
      <c r="H40" s="6"/>
      <c r="I40" s="3"/>
      <c r="J40" s="7">
        <f t="shared" si="1"/>
        <v>0</v>
      </c>
      <c r="K40" s="3"/>
      <c r="L40" s="6">
        <f t="shared" si="2"/>
        <v>4394.2</v>
      </c>
      <c r="M40" s="3"/>
      <c r="N40" s="7">
        <f t="shared" si="3"/>
        <v>0</v>
      </c>
      <c r="O40" s="9"/>
      <c r="P40" s="6">
        <v>38883.4</v>
      </c>
      <c r="Q40" s="3"/>
      <c r="R40" s="7">
        <f t="shared" si="4"/>
        <v>0</v>
      </c>
      <c r="S40" s="3"/>
      <c r="T40" s="6"/>
      <c r="U40" s="3"/>
      <c r="V40" s="7">
        <f t="shared" si="5"/>
        <v>0</v>
      </c>
      <c r="W40" s="3"/>
      <c r="X40" s="6">
        <f t="shared" si="6"/>
        <v>38883.4</v>
      </c>
      <c r="Y40" s="3"/>
      <c r="Z40" s="7">
        <f t="shared" si="7"/>
        <v>0</v>
      </c>
    </row>
    <row r="41" spans="1:26" s="69" customFormat="1" ht="15" customHeight="1" outlineLevel="1" collapsed="1" x14ac:dyDescent="0.3">
      <c r="A41" s="20"/>
      <c r="B41" s="11" t="str">
        <f>CONCATENATE("     ","Services                                          ")</f>
        <v xml:space="preserve">     Services                                          </v>
      </c>
      <c r="C41" s="11"/>
      <c r="D41" s="2">
        <f>SUM(OSRRefD22_3x_0)</f>
        <v>0</v>
      </c>
      <c r="E41" s="2"/>
      <c r="F41" s="5">
        <f t="shared" si="0"/>
        <v>0</v>
      </c>
      <c r="G41" s="2"/>
      <c r="H41" s="2">
        <f>SUM(OSRRefH22_3x_0)</f>
        <v>0</v>
      </c>
      <c r="I41" s="2"/>
      <c r="J41" s="5">
        <f t="shared" si="1"/>
        <v>0</v>
      </c>
      <c r="K41" s="2"/>
      <c r="L41" s="2">
        <f t="shared" si="2"/>
        <v>0</v>
      </c>
      <c r="M41" s="2"/>
      <c r="N41" s="5">
        <f t="shared" si="3"/>
        <v>0</v>
      </c>
      <c r="O41" s="11"/>
      <c r="P41" s="2">
        <f>SUM(OSRRefP22_3x_0)</f>
        <v>0</v>
      </c>
      <c r="Q41" s="2"/>
      <c r="R41" s="5">
        <f t="shared" si="4"/>
        <v>0</v>
      </c>
      <c r="S41" s="2"/>
      <c r="T41" s="2">
        <f>SUM(OSRRefT22_3x_0)</f>
        <v>0</v>
      </c>
      <c r="U41" s="2"/>
      <c r="V41" s="5">
        <f t="shared" si="5"/>
        <v>0</v>
      </c>
      <c r="W41" s="2"/>
      <c r="X41" s="2">
        <f t="shared" si="6"/>
        <v>0</v>
      </c>
      <c r="Y41" s="2"/>
      <c r="Z41" s="5">
        <f t="shared" si="7"/>
        <v>0</v>
      </c>
    </row>
    <row r="42" spans="1:26" s="70" customFormat="1" ht="15" hidden="1" customHeight="1" outlineLevel="2" x14ac:dyDescent="0.3">
      <c r="A42" s="21"/>
      <c r="B42" s="9" t="str">
        <f>CONCATENATE("          ","6284"," - ","TRASH REMOVAL EXPENSE")</f>
        <v xml:space="preserve">          6284 - TRASH REMOVAL EXPENSE</v>
      </c>
      <c r="C42" s="9"/>
      <c r="D42" s="6"/>
      <c r="E42" s="3"/>
      <c r="F42" s="7">
        <f t="shared" si="0"/>
        <v>0</v>
      </c>
      <c r="G42" s="3"/>
      <c r="H42" s="6"/>
      <c r="I42" s="3"/>
      <c r="J42" s="7">
        <f t="shared" si="1"/>
        <v>0</v>
      </c>
      <c r="K42" s="3"/>
      <c r="L42" s="6">
        <f t="shared" si="2"/>
        <v>0</v>
      </c>
      <c r="M42" s="3"/>
      <c r="N42" s="7">
        <f t="shared" si="3"/>
        <v>0</v>
      </c>
      <c r="O42" s="9"/>
      <c r="P42" s="6"/>
      <c r="Q42" s="3"/>
      <c r="R42" s="7">
        <f t="shared" si="4"/>
        <v>0</v>
      </c>
      <c r="S42" s="3"/>
      <c r="T42" s="6">
        <v>0</v>
      </c>
      <c r="U42" s="3"/>
      <c r="V42" s="7">
        <f t="shared" si="5"/>
        <v>0</v>
      </c>
      <c r="W42" s="3"/>
      <c r="X42" s="6">
        <f t="shared" si="6"/>
        <v>0</v>
      </c>
      <c r="Y42" s="3"/>
      <c r="Z42" s="7">
        <f t="shared" si="7"/>
        <v>0</v>
      </c>
    </row>
    <row r="43" spans="1:26" s="69" customFormat="1" ht="15" customHeight="1" outlineLevel="1" collapsed="1" x14ac:dyDescent="0.3">
      <c r="A43" s="20"/>
      <c r="B43" s="11" t="str">
        <f>CONCATENATE("     ","Supplies                                          ")</f>
        <v xml:space="preserve">     Supplies                                          </v>
      </c>
      <c r="C43" s="11"/>
      <c r="D43" s="2">
        <f>SUM(OSRRefD22_4x_0)</f>
        <v>13.09</v>
      </c>
      <c r="E43" s="2"/>
      <c r="F43" s="5">
        <f t="shared" si="0"/>
        <v>0</v>
      </c>
      <c r="G43" s="2"/>
      <c r="H43" s="2">
        <f>SUM(OSRRefH22_4x_0)</f>
        <v>0</v>
      </c>
      <c r="I43" s="2"/>
      <c r="J43" s="5">
        <f t="shared" si="1"/>
        <v>0</v>
      </c>
      <c r="K43" s="2"/>
      <c r="L43" s="2">
        <f t="shared" si="2"/>
        <v>13.09</v>
      </c>
      <c r="M43" s="2"/>
      <c r="N43" s="5">
        <f t="shared" si="3"/>
        <v>0</v>
      </c>
      <c r="O43" s="11"/>
      <c r="P43" s="2">
        <f>SUM(OSRRefP22_4x_0)</f>
        <v>577.12</v>
      </c>
      <c r="Q43" s="2"/>
      <c r="R43" s="5">
        <f t="shared" si="4"/>
        <v>0</v>
      </c>
      <c r="S43" s="2"/>
      <c r="T43" s="2">
        <f>SUM(OSRRefT22_4x_0)</f>
        <v>0</v>
      </c>
      <c r="U43" s="2"/>
      <c r="V43" s="5">
        <f t="shared" si="5"/>
        <v>0</v>
      </c>
      <c r="W43" s="2"/>
      <c r="X43" s="2">
        <f t="shared" si="6"/>
        <v>577.12</v>
      </c>
      <c r="Y43" s="2"/>
      <c r="Z43" s="5">
        <f t="shared" si="7"/>
        <v>0</v>
      </c>
    </row>
    <row r="44" spans="1:26" s="70" customFormat="1" ht="15" hidden="1" customHeight="1" outlineLevel="2" x14ac:dyDescent="0.3">
      <c r="A44" s="21"/>
      <c r="B44" s="9" t="str">
        <f>CONCATENATE("          ","6241"," - ","OFFICE EXPENSE")</f>
        <v xml:space="preserve">          6241 - OFFICE EXPENSE</v>
      </c>
      <c r="C44" s="9"/>
      <c r="D44" s="6">
        <v>13.09</v>
      </c>
      <c r="E44" s="3"/>
      <c r="F44" s="7">
        <f t="shared" si="0"/>
        <v>0</v>
      </c>
      <c r="G44" s="3"/>
      <c r="H44" s="6"/>
      <c r="I44" s="3"/>
      <c r="J44" s="7">
        <f t="shared" si="1"/>
        <v>0</v>
      </c>
      <c r="K44" s="3"/>
      <c r="L44" s="6">
        <f t="shared" si="2"/>
        <v>13.09</v>
      </c>
      <c r="M44" s="3"/>
      <c r="N44" s="7">
        <f t="shared" si="3"/>
        <v>0</v>
      </c>
      <c r="O44" s="9"/>
      <c r="P44" s="6">
        <v>577.12</v>
      </c>
      <c r="Q44" s="3"/>
      <c r="R44" s="7">
        <f t="shared" si="4"/>
        <v>0</v>
      </c>
      <c r="S44" s="3"/>
      <c r="T44" s="6"/>
      <c r="U44" s="3"/>
      <c r="V44" s="7">
        <f t="shared" si="5"/>
        <v>0</v>
      </c>
      <c r="W44" s="3"/>
      <c r="X44" s="6">
        <f t="shared" si="6"/>
        <v>577.12</v>
      </c>
      <c r="Y44" s="3"/>
      <c r="Z44" s="7">
        <f t="shared" si="7"/>
        <v>0</v>
      </c>
    </row>
    <row r="45" spans="1:26" s="69" customFormat="1" ht="15" customHeight="1" outlineLevel="1" collapsed="1" x14ac:dyDescent="0.3">
      <c r="A45" s="20"/>
      <c r="B45" s="11" t="str">
        <f>CONCATENATE("     ","Telephone/Data Lines                              ")</f>
        <v xml:space="preserve">     Telephone/Data Lines                              </v>
      </c>
      <c r="C45" s="11"/>
      <c r="D45" s="2">
        <f>SUM(OSRRefD22_5x_0)</f>
        <v>36</v>
      </c>
      <c r="E45" s="2"/>
      <c r="F45" s="5">
        <f t="shared" si="0"/>
        <v>0</v>
      </c>
      <c r="G45" s="2"/>
      <c r="H45" s="2">
        <f>SUM(OSRRefH22_5x_0)</f>
        <v>0</v>
      </c>
      <c r="I45" s="2"/>
      <c r="J45" s="5">
        <f t="shared" si="1"/>
        <v>0</v>
      </c>
      <c r="K45" s="2"/>
      <c r="L45" s="2">
        <f t="shared" si="2"/>
        <v>36</v>
      </c>
      <c r="M45" s="2"/>
      <c r="N45" s="5">
        <f t="shared" si="3"/>
        <v>0</v>
      </c>
      <c r="O45" s="11"/>
      <c r="P45" s="2">
        <f>SUM(OSRRefP22_5x_0)</f>
        <v>589.5</v>
      </c>
      <c r="Q45" s="2"/>
      <c r="R45" s="5">
        <f t="shared" si="4"/>
        <v>0</v>
      </c>
      <c r="S45" s="2"/>
      <c r="T45" s="2">
        <f>SUM(OSRRefT22_5x_0)</f>
        <v>0</v>
      </c>
      <c r="U45" s="2"/>
      <c r="V45" s="5">
        <f t="shared" si="5"/>
        <v>0</v>
      </c>
      <c r="W45" s="2"/>
      <c r="X45" s="2">
        <f t="shared" si="6"/>
        <v>589.5</v>
      </c>
      <c r="Y45" s="2"/>
      <c r="Z45" s="5">
        <f t="shared" si="7"/>
        <v>0</v>
      </c>
    </row>
    <row r="46" spans="1:26" s="70" customFormat="1" ht="15" hidden="1" customHeight="1" outlineLevel="2" x14ac:dyDescent="0.3">
      <c r="A46" s="21"/>
      <c r="B46" s="9" t="str">
        <f>CONCATENATE("          ","6309"," - ","TELEPHONE")</f>
        <v xml:space="preserve">          6309 - TELEPHONE</v>
      </c>
      <c r="C46" s="9"/>
      <c r="D46" s="6">
        <v>36</v>
      </c>
      <c r="E46" s="3"/>
      <c r="F46" s="7">
        <f t="shared" si="0"/>
        <v>0</v>
      </c>
      <c r="G46" s="3"/>
      <c r="H46" s="6"/>
      <c r="I46" s="3"/>
      <c r="J46" s="7">
        <f t="shared" si="1"/>
        <v>0</v>
      </c>
      <c r="K46" s="3"/>
      <c r="L46" s="6">
        <f t="shared" si="2"/>
        <v>36</v>
      </c>
      <c r="M46" s="3"/>
      <c r="N46" s="7">
        <f t="shared" si="3"/>
        <v>0</v>
      </c>
      <c r="O46" s="9"/>
      <c r="P46" s="6">
        <v>589.5</v>
      </c>
      <c r="Q46" s="3"/>
      <c r="R46" s="7">
        <f t="shared" si="4"/>
        <v>0</v>
      </c>
      <c r="S46" s="3"/>
      <c r="T46" s="6"/>
      <c r="U46" s="3"/>
      <c r="V46" s="7">
        <f t="shared" si="5"/>
        <v>0</v>
      </c>
      <c r="W46" s="3"/>
      <c r="X46" s="6">
        <f t="shared" si="6"/>
        <v>589.5</v>
      </c>
      <c r="Y46" s="3"/>
      <c r="Z46" s="7">
        <f t="shared" si="7"/>
        <v>0</v>
      </c>
    </row>
    <row r="47" spans="1:26" s="65" customFormat="1" ht="15" customHeight="1" x14ac:dyDescent="0.3">
      <c r="A47" s="36"/>
      <c r="B47" s="36"/>
      <c r="C47" s="36"/>
      <c r="D47" s="2"/>
      <c r="E47" s="2"/>
      <c r="F47" s="5"/>
      <c r="G47" s="2"/>
      <c r="H47" s="2"/>
      <c r="I47" s="2"/>
      <c r="J47" s="5"/>
      <c r="K47" s="2"/>
      <c r="L47" s="2"/>
      <c r="M47" s="2"/>
      <c r="N47" s="5"/>
      <c r="O47" s="36"/>
      <c r="P47" s="2"/>
      <c r="Q47" s="2"/>
      <c r="R47" s="5"/>
      <c r="S47" s="2"/>
      <c r="T47" s="2"/>
      <c r="U47" s="2"/>
      <c r="V47" s="5"/>
      <c r="W47" s="2"/>
      <c r="X47" s="2"/>
      <c r="Y47" s="2"/>
      <c r="Z47" s="5"/>
    </row>
    <row r="48" spans="1:26" s="63" customFormat="1" ht="15" customHeight="1" collapsed="1" x14ac:dyDescent="0.3">
      <c r="A48" s="13"/>
      <c r="B48" s="28" t="s">
        <v>291</v>
      </c>
      <c r="C48" s="13"/>
      <c r="D48" s="8">
        <f>SUM(OSRRefD25x_0)</f>
        <v>13192.37</v>
      </c>
      <c r="E48" s="8"/>
      <c r="F48" s="14">
        <f>IF(D$12=0,0,D48/D$12)</f>
        <v>0</v>
      </c>
      <c r="G48" s="8"/>
      <c r="H48" s="8">
        <f>SUM(OSRRefH25x_0)</f>
        <v>12000</v>
      </c>
      <c r="I48" s="8"/>
      <c r="J48" s="14">
        <f>IF(H$12=0,0,H48/H$12)</f>
        <v>0</v>
      </c>
      <c r="K48" s="8"/>
      <c r="L48" s="8">
        <f>+D48-H48</f>
        <v>1192.3700000000008</v>
      </c>
      <c r="M48" s="8"/>
      <c r="N48" s="14">
        <f>IF(H48=0,0,L48/H48)</f>
        <v>9.9364166666666739E-2</v>
      </c>
      <c r="O48" s="13"/>
      <c r="P48" s="8">
        <f>SUM(OSRRefP25x_0)</f>
        <v>174077.81</v>
      </c>
      <c r="Q48" s="8"/>
      <c r="R48" s="14">
        <f>IF(P$12=0,0,P48/P$12)</f>
        <v>0</v>
      </c>
      <c r="S48" s="8"/>
      <c r="T48" s="8">
        <f>SUM(OSRRefT25x_0)</f>
        <v>175853.02000000002</v>
      </c>
      <c r="U48" s="8"/>
      <c r="V48" s="14">
        <f>IF(T$12=0,0,T48/T$12)</f>
        <v>0</v>
      </c>
      <c r="W48" s="8"/>
      <c r="X48" s="8">
        <f>+P48-T48</f>
        <v>-1775.210000000021</v>
      </c>
      <c r="Y48" s="8"/>
      <c r="Z48" s="14">
        <f>IF(T48=0,0,X48/T48)</f>
        <v>-1.009485080210747E-2</v>
      </c>
    </row>
    <row r="49" spans="1:26" s="70" customFormat="1" ht="15" hidden="1" customHeight="1" outlineLevel="1" x14ac:dyDescent="0.3">
      <c r="A49" s="48"/>
      <c r="B49" s="9" t="str">
        <f>CONCATENATE("          ","9150"," - ","MISC. INCOME")</f>
        <v xml:space="preserve">          9150 - MISC. INCOME</v>
      </c>
      <c r="C49" s="9"/>
      <c r="D49" s="3">
        <f>--13192.37</f>
        <v>13192.37</v>
      </c>
      <c r="E49" s="3"/>
      <c r="F49" s="26">
        <f>IF(D$12=0,0,D49/D$12)</f>
        <v>0</v>
      </c>
      <c r="G49" s="3"/>
      <c r="H49" s="3"/>
      <c r="I49" s="3"/>
      <c r="J49" s="26">
        <f>IF(H$12=0,0,H49/H$12)</f>
        <v>0</v>
      </c>
      <c r="K49" s="3"/>
      <c r="L49" s="3">
        <f>+D49-H49</f>
        <v>13192.37</v>
      </c>
      <c r="M49" s="3"/>
      <c r="N49" s="26">
        <f>IF(H49=0,0,L49/H49)</f>
        <v>0</v>
      </c>
      <c r="O49" s="9"/>
      <c r="P49" s="3">
        <f>--174077.81</f>
        <v>174077.81</v>
      </c>
      <c r="Q49" s="3"/>
      <c r="R49" s="26">
        <f>IF(P$12=0,0,P49/P$12)</f>
        <v>0</v>
      </c>
      <c r="S49" s="3"/>
      <c r="T49" s="3">
        <v>1000</v>
      </c>
      <c r="U49" s="3"/>
      <c r="V49" s="26">
        <f>IF(T$12=0,0,T49/T$12)</f>
        <v>0</v>
      </c>
      <c r="W49" s="3"/>
      <c r="X49" s="3">
        <f>+P49-T49</f>
        <v>173077.81</v>
      </c>
      <c r="Y49" s="3"/>
      <c r="Z49" s="26">
        <f>IF(T49=0,0,X49/T49)</f>
        <v>173.07781</v>
      </c>
    </row>
    <row r="50" spans="1:26" s="70" customFormat="1" ht="15" hidden="1" customHeight="1" outlineLevel="1" x14ac:dyDescent="0.3">
      <c r="A50" s="48"/>
      <c r="B50" s="9" t="str">
        <f>CONCATENATE("          ","9151"," - ","MISC. INCOME")</f>
        <v xml:space="preserve">          9151 - MISC. INCOME</v>
      </c>
      <c r="C50" s="9"/>
      <c r="D50" s="3">
        <f>0</f>
        <v>0</v>
      </c>
      <c r="E50" s="3"/>
      <c r="F50" s="26">
        <f>IF(D$12=0,0,D50/D$12)</f>
        <v>0</v>
      </c>
      <c r="G50" s="3"/>
      <c r="H50" s="3">
        <v>12000</v>
      </c>
      <c r="I50" s="3"/>
      <c r="J50" s="26">
        <f>IF(H$12=0,0,H50/H$12)</f>
        <v>0</v>
      </c>
      <c r="K50" s="3"/>
      <c r="L50" s="3">
        <f>+D50-H50</f>
        <v>-12000</v>
      </c>
      <c r="M50" s="3"/>
      <c r="N50" s="26">
        <f>IF(H50=0,0,L50/H50)</f>
        <v>-1</v>
      </c>
      <c r="O50" s="9"/>
      <c r="P50" s="3">
        <f>0</f>
        <v>0</v>
      </c>
      <c r="Q50" s="3"/>
      <c r="R50" s="26">
        <f>IF(P$12=0,0,P50/P$12)</f>
        <v>0</v>
      </c>
      <c r="S50" s="3"/>
      <c r="T50" s="3">
        <v>83840.89</v>
      </c>
      <c r="U50" s="3"/>
      <c r="V50" s="26">
        <f>IF(T$12=0,0,T50/T$12)</f>
        <v>0</v>
      </c>
      <c r="W50" s="3"/>
      <c r="X50" s="3">
        <f>+P50-T50</f>
        <v>-83840.89</v>
      </c>
      <c r="Y50" s="3"/>
      <c r="Z50" s="26">
        <f>IF(T50=0,0,X50/T50)</f>
        <v>-1</v>
      </c>
    </row>
    <row r="51" spans="1:26" s="70" customFormat="1" ht="15" hidden="1" customHeight="1" outlineLevel="1" x14ac:dyDescent="0.3">
      <c r="A51" s="48"/>
      <c r="B51" s="9" t="str">
        <f>CONCATENATE("          ","9160"," - ","MISC. INCOME")</f>
        <v xml:space="preserve">          9160 - MISC. INCOME</v>
      </c>
      <c r="C51" s="9"/>
      <c r="D51" s="3">
        <f>0</f>
        <v>0</v>
      </c>
      <c r="E51" s="3"/>
      <c r="F51" s="26">
        <f>IF(D$12=0,0,D51/D$12)</f>
        <v>0</v>
      </c>
      <c r="G51" s="3"/>
      <c r="H51" s="3"/>
      <c r="I51" s="3"/>
      <c r="J51" s="26">
        <f>IF(H$12=0,0,H51/H$12)</f>
        <v>0</v>
      </c>
      <c r="K51" s="3"/>
      <c r="L51" s="3">
        <f>+D51-H51</f>
        <v>0</v>
      </c>
      <c r="M51" s="3"/>
      <c r="N51" s="26">
        <f>IF(H51=0,0,L51/H51)</f>
        <v>0</v>
      </c>
      <c r="O51" s="9"/>
      <c r="P51" s="3">
        <f>0</f>
        <v>0</v>
      </c>
      <c r="Q51" s="3"/>
      <c r="R51" s="26">
        <f>IF(P$12=0,0,P51/P$12)</f>
        <v>0</v>
      </c>
      <c r="S51" s="3"/>
      <c r="T51" s="3">
        <v>91012.13</v>
      </c>
      <c r="U51" s="3"/>
      <c r="V51" s="26">
        <f>IF(T$12=0,0,T51/T$12)</f>
        <v>0</v>
      </c>
      <c r="W51" s="3"/>
      <c r="X51" s="3">
        <f>+P51-T51</f>
        <v>-91012.13</v>
      </c>
      <c r="Y51" s="3"/>
      <c r="Z51" s="26">
        <f>IF(T51=0,0,X51/T51)</f>
        <v>-1</v>
      </c>
    </row>
    <row r="52" spans="1:26" ht="15" customHeight="1" x14ac:dyDescent="0.3">
      <c r="A52" s="12"/>
      <c r="B52" s="13"/>
      <c r="C52" s="13"/>
      <c r="D52" s="4"/>
      <c r="E52" s="4"/>
      <c r="F52" s="10"/>
      <c r="G52" s="4"/>
      <c r="H52" s="4"/>
      <c r="I52" s="4"/>
      <c r="J52" s="10"/>
      <c r="K52" s="4"/>
      <c r="L52" s="4"/>
      <c r="M52" s="4"/>
      <c r="N52" s="10"/>
      <c r="O52" s="13"/>
      <c r="P52" s="4"/>
      <c r="Q52" s="4"/>
      <c r="R52" s="10"/>
      <c r="S52" s="4"/>
      <c r="T52" s="4"/>
      <c r="U52" s="4"/>
      <c r="V52" s="10"/>
      <c r="W52" s="4"/>
      <c r="X52" s="4"/>
      <c r="Y52" s="4"/>
      <c r="Z52" s="10"/>
    </row>
    <row r="53" spans="1:26" s="63" customFormat="1" ht="15" customHeight="1" x14ac:dyDescent="0.3">
      <c r="A53" s="13"/>
      <c r="B53" s="27" t="s">
        <v>292</v>
      </c>
      <c r="C53" s="27"/>
      <c r="D53" s="23">
        <f>+D16-D18+D48</f>
        <v>8749.0800000000017</v>
      </c>
      <c r="E53" s="15"/>
      <c r="F53" s="22">
        <f>IF(D$12=0,0,D53/D$12)</f>
        <v>0</v>
      </c>
      <c r="G53" s="15"/>
      <c r="H53" s="23">
        <f>+H16-H18+H48</f>
        <v>12000</v>
      </c>
      <c r="I53" s="15"/>
      <c r="J53" s="22">
        <f>IF(H$12=0,0,H53/H$12)</f>
        <v>0</v>
      </c>
      <c r="K53" s="17"/>
      <c r="L53" s="23">
        <f>+D53-H53</f>
        <v>-3250.9199999999983</v>
      </c>
      <c r="M53" s="17"/>
      <c r="N53" s="22">
        <f>IF(H53=0,0,L53/H53)</f>
        <v>-0.27090999999999987</v>
      </c>
      <c r="O53" s="28"/>
      <c r="P53" s="23">
        <f>+P16-P18+P48</f>
        <v>134027.78999999998</v>
      </c>
      <c r="Q53" s="15"/>
      <c r="R53" s="22">
        <f>IF(P$12=0,0,P53/P$12)</f>
        <v>0</v>
      </c>
      <c r="S53" s="15"/>
      <c r="T53" s="23">
        <f>+T16-T18+T48</f>
        <v>175853.02000000002</v>
      </c>
      <c r="U53" s="15"/>
      <c r="V53" s="22">
        <f>IF(T$12=0,0,T53/T$12)</f>
        <v>0</v>
      </c>
      <c r="W53" s="17"/>
      <c r="X53" s="23">
        <f>+P53-T53</f>
        <v>-41825.23000000004</v>
      </c>
      <c r="Y53" s="17"/>
      <c r="Z53" s="22">
        <f>IF(T53=0,0,X53/T53)</f>
        <v>-0.23784197735131324</v>
      </c>
    </row>
    <row r="54" spans="1:26" ht="15" customHeight="1" x14ac:dyDescent="0.3">
      <c r="A54" s="12"/>
      <c r="B54" s="13"/>
      <c r="C54" s="12"/>
      <c r="D54" s="4"/>
      <c r="E54" s="4"/>
      <c r="F54" s="10"/>
      <c r="G54" s="4"/>
      <c r="H54" s="4"/>
      <c r="I54" s="4"/>
      <c r="J54" s="10"/>
      <c r="K54" s="4"/>
      <c r="L54" s="4"/>
      <c r="M54" s="4"/>
      <c r="N54" s="10"/>
      <c r="P54" s="4"/>
      <c r="Q54" s="4"/>
      <c r="R54" s="10"/>
      <c r="S54" s="4"/>
      <c r="T54" s="4"/>
      <c r="U54" s="4"/>
      <c r="V54" s="10"/>
      <c r="W54" s="4"/>
      <c r="X54" s="4"/>
      <c r="Y54" s="4"/>
      <c r="Z54" s="10"/>
    </row>
    <row r="55" spans="1:26" s="63" customFormat="1" ht="15" customHeight="1" x14ac:dyDescent="0.3">
      <c r="A55" s="49"/>
      <c r="B55" s="13" t="s">
        <v>293</v>
      </c>
      <c r="C55" s="13"/>
      <c r="D55" s="8"/>
      <c r="E55" s="8"/>
      <c r="F55" s="14">
        <f>IF(D$12=0,0,D55/D$12)</f>
        <v>0</v>
      </c>
      <c r="G55" s="8"/>
      <c r="H55" s="8"/>
      <c r="I55" s="8"/>
      <c r="J55" s="14">
        <f>IF(H$12=0,0,H55/H$12)</f>
        <v>0</v>
      </c>
      <c r="K55" s="8"/>
      <c r="L55" s="8">
        <f>+D55-H55</f>
        <v>0</v>
      </c>
      <c r="M55" s="8"/>
      <c r="N55" s="14">
        <f>IF(H55=0,0,L55/H55)</f>
        <v>0</v>
      </c>
      <c r="O55" s="13"/>
      <c r="P55" s="8"/>
      <c r="Q55" s="8"/>
      <c r="R55" s="14">
        <f>IF(P$12=0,0,P55/P$12)</f>
        <v>0</v>
      </c>
      <c r="S55" s="8"/>
      <c r="T55" s="8"/>
      <c r="U55" s="8"/>
      <c r="V55" s="14">
        <f>IF(T$12=0,0,T55/T$12)</f>
        <v>0</v>
      </c>
      <c r="W55" s="8"/>
      <c r="X55" s="8">
        <f>+P55-T55</f>
        <v>0</v>
      </c>
      <c r="Y55" s="8"/>
      <c r="Z55" s="14">
        <f>IF(T55=0,0,X55/T55)</f>
        <v>0</v>
      </c>
    </row>
    <row r="56" spans="1:26" ht="15" customHeight="1" x14ac:dyDescent="0.3">
      <c r="A56" s="12"/>
      <c r="B56" s="13"/>
      <c r="C56" s="13"/>
      <c r="D56" s="4"/>
      <c r="E56" s="4"/>
      <c r="F56" s="10"/>
      <c r="G56" s="4"/>
      <c r="H56" s="4"/>
      <c r="I56" s="4"/>
      <c r="J56" s="10"/>
      <c r="K56" s="4"/>
      <c r="L56" s="4"/>
      <c r="M56" s="4"/>
      <c r="N56" s="10"/>
      <c r="O56" s="13"/>
      <c r="P56" s="4"/>
      <c r="Q56" s="4"/>
      <c r="R56" s="10"/>
      <c r="S56" s="4"/>
      <c r="T56" s="4"/>
      <c r="U56" s="4"/>
      <c r="V56" s="10"/>
      <c r="W56" s="4"/>
      <c r="X56" s="4"/>
      <c r="Y56" s="4"/>
      <c r="Z56" s="10"/>
    </row>
    <row r="57" spans="1:26" s="63" customFormat="1" ht="15" customHeight="1" x14ac:dyDescent="0.3">
      <c r="A57" s="13"/>
      <c r="B57" s="27" t="s">
        <v>294</v>
      </c>
      <c r="C57" s="27"/>
      <c r="D57" s="30">
        <f>+D53-D55</f>
        <v>8749.0800000000017</v>
      </c>
      <c r="E57" s="15"/>
      <c r="F57" s="35">
        <f>IF(D$12=0,0,D57/D$12)</f>
        <v>0</v>
      </c>
      <c r="G57" s="15"/>
      <c r="H57" s="30">
        <f>+H53-H55</f>
        <v>12000</v>
      </c>
      <c r="I57" s="15"/>
      <c r="J57" s="35">
        <f>IF(H$12=0,0,H57/H$12)</f>
        <v>0</v>
      </c>
      <c r="K57" s="17"/>
      <c r="L57" s="30">
        <f>D57-H57</f>
        <v>-3250.9199999999983</v>
      </c>
      <c r="M57" s="17"/>
      <c r="N57" s="35">
        <f>IF(H57=0,0,L57/H57)</f>
        <v>-0.27090999999999987</v>
      </c>
      <c r="O57" s="28"/>
      <c r="P57" s="30">
        <f>+P53-P55</f>
        <v>134027.78999999998</v>
      </c>
      <c r="Q57" s="15"/>
      <c r="R57" s="35">
        <f>IF(P$12=0,0,P57/P$12)</f>
        <v>0</v>
      </c>
      <c r="S57" s="15"/>
      <c r="T57" s="30">
        <f>+T53-T55</f>
        <v>175853.02000000002</v>
      </c>
      <c r="U57" s="15"/>
      <c r="V57" s="35">
        <f>IF(T$12=0,0,T57/T$12)</f>
        <v>0</v>
      </c>
      <c r="W57" s="17"/>
      <c r="X57" s="30">
        <f>P57-T57</f>
        <v>-41825.23000000004</v>
      </c>
      <c r="Y57" s="17"/>
      <c r="Z57" s="35">
        <f>IF(T57=0,0,X57/T57)</f>
        <v>-0.23784197735131324</v>
      </c>
    </row>
    <row r="58" spans="1:26" ht="15" customHeight="1" x14ac:dyDescent="0.3">
      <c r="A58" s="12"/>
      <c r="B58" s="12"/>
      <c r="C58" s="12"/>
      <c r="D58" s="4"/>
      <c r="E58" s="4"/>
      <c r="F58" s="10"/>
      <c r="G58" s="4"/>
      <c r="H58" s="4"/>
      <c r="I58" s="4"/>
      <c r="J58" s="10"/>
      <c r="K58" s="4"/>
      <c r="L58" s="4"/>
      <c r="M58" s="4"/>
      <c r="N58" s="10"/>
      <c r="P58" s="4"/>
      <c r="Q58" s="4"/>
      <c r="R58" s="10"/>
      <c r="S58" s="4"/>
      <c r="T58" s="4"/>
      <c r="U58" s="4"/>
      <c r="V58" s="10"/>
      <c r="W58" s="4"/>
      <c r="X58" s="4"/>
      <c r="Y58" s="4"/>
      <c r="Z58" s="10"/>
    </row>
    <row r="59" spans="1:26" ht="15" customHeight="1" x14ac:dyDescent="0.3">
      <c r="A59" s="12"/>
      <c r="B59" s="12"/>
      <c r="C59" s="12"/>
      <c r="D59" s="4"/>
      <c r="E59" s="4"/>
      <c r="F59" s="10"/>
      <c r="G59" s="4"/>
      <c r="H59" s="4"/>
      <c r="I59" s="4"/>
      <c r="J59" s="10"/>
      <c r="K59" s="4"/>
      <c r="L59" s="4"/>
      <c r="M59" s="4"/>
      <c r="N59" s="10"/>
      <c r="P59" s="4"/>
      <c r="Q59" s="4"/>
      <c r="R59" s="10"/>
      <c r="S59" s="4"/>
      <c r="T59" s="4"/>
      <c r="U59" s="4"/>
      <c r="V59" s="10"/>
      <c r="W59" s="4"/>
      <c r="X59" s="4"/>
      <c r="Y59" s="4"/>
      <c r="Z59" s="10"/>
    </row>
    <row r="60" spans="1:26" s="63" customFormat="1" ht="15" customHeight="1" x14ac:dyDescent="0.3">
      <c r="A60" s="13"/>
      <c r="B60" s="27" t="s">
        <v>297</v>
      </c>
      <c r="C60" s="27"/>
      <c r="D60" s="33">
        <f>SUM(D57:D59)</f>
        <v>8749.0800000000017</v>
      </c>
      <c r="E60" s="15"/>
      <c r="F60" s="31">
        <f>IF(D$12=0,0,D60/D$12)</f>
        <v>0</v>
      </c>
      <c r="G60" s="15"/>
      <c r="H60" s="33">
        <f>SUM(H57:H59)</f>
        <v>12000</v>
      </c>
      <c r="I60" s="15"/>
      <c r="J60" s="31">
        <f>IF(H$12=0,0,H60/H$12)</f>
        <v>0</v>
      </c>
      <c r="K60" s="17"/>
      <c r="L60" s="33">
        <f>+D60-H60</f>
        <v>-3250.9199999999983</v>
      </c>
      <c r="M60" s="17"/>
      <c r="N60" s="31">
        <f>IF(H60=0,0,L60/H60)</f>
        <v>-0.27090999999999987</v>
      </c>
      <c r="O60" s="28"/>
      <c r="P60" s="33">
        <f>SUM(P57:P59)</f>
        <v>134027.78999999998</v>
      </c>
      <c r="Q60" s="15"/>
      <c r="R60" s="31">
        <f>IF(P$12=0,0,P60/P$12)</f>
        <v>0</v>
      </c>
      <c r="S60" s="15"/>
      <c r="T60" s="33">
        <f>SUM(T57:T59)</f>
        <v>175853.02000000002</v>
      </c>
      <c r="U60" s="15"/>
      <c r="V60" s="31">
        <f>IF(T$12=0,0,T60/T$12)</f>
        <v>0</v>
      </c>
      <c r="W60" s="17"/>
      <c r="X60" s="33">
        <f>+P60-T60</f>
        <v>-41825.23000000004</v>
      </c>
      <c r="Y60" s="17"/>
      <c r="Z60" s="31">
        <f>IF(T60=0,0,X60/T60)</f>
        <v>-0.23784197735131324</v>
      </c>
    </row>
    <row r="61" spans="1:26" ht="15" customHeight="1" x14ac:dyDescent="0.3">
      <c r="A61" s="12"/>
      <c r="C61" s="12"/>
      <c r="D61" s="19"/>
      <c r="E61" s="19"/>
      <c r="G61" s="19"/>
      <c r="H61" s="19"/>
      <c r="I61" s="19"/>
      <c r="J61" s="41"/>
      <c r="K61" s="19"/>
      <c r="L61" s="19"/>
      <c r="M61" s="19"/>
      <c r="P61" s="19"/>
      <c r="Q61" s="19"/>
      <c r="R61" s="41"/>
      <c r="S61" s="19"/>
      <c r="T61" s="19"/>
      <c r="U61" s="19"/>
      <c r="V61" s="41"/>
      <c r="W61" s="19"/>
      <c r="X61" s="19"/>
    </row>
    <row r="62" spans="1:26" ht="15" customHeight="1" x14ac:dyDescent="0.3">
      <c r="A62" s="12"/>
      <c r="B62" s="50">
        <v>44767.799547766204</v>
      </c>
      <c r="D62" s="19"/>
      <c r="E62" s="19"/>
      <c r="G62" s="19"/>
      <c r="H62" s="19"/>
      <c r="I62" s="19"/>
      <c r="J62" s="41"/>
      <c r="K62" s="19"/>
      <c r="L62" s="19"/>
      <c r="M62" s="19"/>
      <c r="P62" s="19"/>
      <c r="Q62" s="19"/>
      <c r="R62" s="41"/>
      <c r="S62" s="19"/>
      <c r="T62" s="19"/>
      <c r="U62" s="19"/>
      <c r="V62" s="41"/>
      <c r="W62" s="19"/>
      <c r="X62" s="19"/>
    </row>
    <row r="63" spans="1:26" ht="15" customHeight="1" x14ac:dyDescent="0.3">
      <c r="A63" s="12"/>
      <c r="B63" s="57" t="s">
        <v>298</v>
      </c>
      <c r="D63" s="19"/>
      <c r="E63" s="19"/>
      <c r="G63" s="19"/>
      <c r="H63" s="19"/>
      <c r="I63" s="19"/>
      <c r="J63" s="41"/>
      <c r="K63" s="19"/>
      <c r="L63" s="19"/>
      <c r="M63" s="19"/>
      <c r="P63" s="19"/>
      <c r="Q63" s="19"/>
      <c r="R63" s="41"/>
      <c r="S63" s="19"/>
      <c r="T63" s="19"/>
      <c r="U63" s="19"/>
      <c r="V63" s="41"/>
      <c r="W63" s="19"/>
      <c r="X63" s="19"/>
    </row>
    <row r="64" spans="1:26" ht="15" customHeight="1" x14ac:dyDescent="0.3">
      <c r="A64" s="12"/>
      <c r="B64" s="51"/>
      <c r="D64" s="19"/>
      <c r="E64" s="19"/>
      <c r="G64" s="19"/>
      <c r="H64" s="19"/>
      <c r="I64" s="19"/>
      <c r="J64" s="41"/>
      <c r="K64" s="19"/>
      <c r="L64" s="19"/>
      <c r="M64" s="19"/>
      <c r="P64" s="19"/>
      <c r="Q64" s="19"/>
      <c r="R64" s="41"/>
      <c r="S64" s="19"/>
      <c r="T64" s="19"/>
      <c r="U64" s="19"/>
      <c r="V64" s="41"/>
      <c r="W64" s="19"/>
      <c r="X64" s="19"/>
    </row>
    <row r="65" spans="4:24" ht="15" customHeight="1" x14ac:dyDescent="0.3">
      <c r="D65" s="19"/>
      <c r="E65" s="19"/>
      <c r="G65" s="19"/>
      <c r="H65" s="19"/>
      <c r="I65" s="19"/>
      <c r="J65" s="41"/>
      <c r="K65" s="19"/>
      <c r="L65" s="19"/>
      <c r="M65" s="19"/>
      <c r="P65" s="19"/>
      <c r="Q65" s="19"/>
      <c r="R65" s="41"/>
      <c r="S65" s="19"/>
      <c r="T65" s="19"/>
      <c r="U65" s="19"/>
      <c r="V65" s="41"/>
      <c r="W65" s="19"/>
      <c r="X65" s="19"/>
    </row>
  </sheetData>
  <pageMargins left="0.25" right="0.25" top="0.75" bottom="0.75" header="0.3" footer="0.3"/>
  <pageSetup scale="55" orientation="landscape" r:id="rId1"/>
  <headerFooter>
    <oddHeader>&amp;RPre-Audit</oddHeader>
    <oddFooter>&amp;L&amp;C&amp;R</oddFooter>
    <evenHeader>&amp;L&amp;C&amp;R</evenHeader>
    <evenFooter>&amp;L&amp;C&amp;R</evenFoot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298741-4675-2711-FC09-EB344F72DD71}">
  <sheetPr>
    <tabColor rgb="FF92D05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activeCell="D78" sqref="D78"/>
      <selection pane="topRight" activeCell="D78" sqref="D78"/>
      <selection pane="bottomLeft" activeCell="D78" sqref="D78"/>
      <selection pane="bottomRight" activeCell="D78" sqref="D78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3" t="s">
        <v>276</v>
      </c>
    </row>
    <row r="3" spans="1:26" ht="15" customHeight="1" x14ac:dyDescent="0.3">
      <c r="D3" s="53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3" t="str">
        <f>CONCATENATE("Period ",RIGHT(202212,2),", ",2022)</f>
        <v>Period 12,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5"/>
      <c r="D5" s="60">
        <v>44742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5"/>
      <c r="B6" s="47"/>
      <c r="C6" s="47"/>
      <c r="D6" s="25" t="str">
        <f>CONCATENATE("Department ","424"," - ","Blair Field")</f>
        <v>Department 424 - Blair Field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4"/>
    </row>
    <row r="8" spans="1:26" ht="15" customHeight="1" x14ac:dyDescent="0.3">
      <c r="B8" s="54"/>
    </row>
    <row r="9" spans="1:26" ht="15" customHeight="1" x14ac:dyDescent="0.3">
      <c r="B9" s="12"/>
      <c r="C9" s="12"/>
      <c r="D9" s="16" t="s">
        <v>279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280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ht="15" customHeight="1" x14ac:dyDescent="0.3">
      <c r="A10" s="13"/>
      <c r="B10" s="52"/>
      <c r="C10" s="13"/>
      <c r="D10" s="40" t="s">
        <v>281</v>
      </c>
      <c r="E10" s="32"/>
      <c r="F10" s="39" t="s">
        <v>282</v>
      </c>
      <c r="G10" s="32"/>
      <c r="H10" s="45" t="s">
        <v>283</v>
      </c>
      <c r="I10" s="32"/>
      <c r="J10" s="42" t="s">
        <v>284</v>
      </c>
      <c r="K10" s="13"/>
      <c r="L10" s="40" t="s">
        <v>285</v>
      </c>
      <c r="M10" s="13"/>
      <c r="N10" s="39" t="s">
        <v>286</v>
      </c>
      <c r="O10" s="13"/>
      <c r="P10" s="55" t="s">
        <v>281</v>
      </c>
      <c r="Q10" s="32"/>
      <c r="R10" s="39" t="s">
        <v>282</v>
      </c>
      <c r="S10" s="32"/>
      <c r="T10" s="45" t="s">
        <v>283</v>
      </c>
      <c r="U10" s="32"/>
      <c r="V10" s="42" t="s">
        <v>284</v>
      </c>
      <c r="W10" s="13"/>
      <c r="X10" s="40" t="s">
        <v>285</v>
      </c>
      <c r="Y10" s="13"/>
      <c r="Z10" s="39" t="s">
        <v>286</v>
      </c>
    </row>
    <row r="11" spans="1:26" ht="16.5" customHeight="1" x14ac:dyDescent="0.3">
      <c r="A11" s="12"/>
      <c r="B11" s="58"/>
      <c r="C11" s="12"/>
      <c r="D11" s="12"/>
      <c r="E11" s="12"/>
      <c r="F11" s="10"/>
      <c r="G11" s="12"/>
      <c r="H11" s="12"/>
      <c r="I11" s="12"/>
      <c r="J11" s="43"/>
      <c r="K11" s="12"/>
      <c r="L11" s="12"/>
      <c r="M11" s="12"/>
      <c r="N11" s="10"/>
      <c r="P11" s="12"/>
      <c r="Q11" s="12"/>
      <c r="R11" s="10"/>
      <c r="S11" s="12"/>
      <c r="T11" s="12"/>
      <c r="U11" s="12"/>
      <c r="V11" s="43"/>
      <c r="W11" s="12"/>
      <c r="X11" s="12"/>
      <c r="Y11" s="12"/>
      <c r="Z11" s="10"/>
    </row>
    <row r="12" spans="1:26" s="63" customFormat="1" ht="15" customHeight="1" x14ac:dyDescent="0.3">
      <c r="A12" s="13"/>
      <c r="B12" s="28" t="s">
        <v>287</v>
      </c>
      <c r="C12" s="13"/>
      <c r="D12" s="8">
        <f>SUM(0)</f>
        <v>0</v>
      </c>
      <c r="E12" s="8"/>
      <c r="F12" s="14"/>
      <c r="G12" s="8"/>
      <c r="H12" s="8">
        <f>SUM(0)</f>
        <v>0</v>
      </c>
      <c r="I12" s="8"/>
      <c r="J12" s="14"/>
      <c r="K12" s="8"/>
      <c r="L12" s="8">
        <f>+D12-H12</f>
        <v>0</v>
      </c>
      <c r="M12" s="8"/>
      <c r="N12" s="14">
        <f>IF(H12=0,0,L12/H12)</f>
        <v>0</v>
      </c>
      <c r="O12" s="13"/>
      <c r="P12" s="8">
        <f>SUM(0)</f>
        <v>0</v>
      </c>
      <c r="Q12" s="8"/>
      <c r="R12" s="14"/>
      <c r="S12" s="8"/>
      <c r="T12" s="8">
        <f>SUM(0)</f>
        <v>0</v>
      </c>
      <c r="U12" s="8"/>
      <c r="V12" s="14"/>
      <c r="W12" s="8"/>
      <c r="X12" s="8">
        <f>+P12-T12</f>
        <v>0</v>
      </c>
      <c r="Y12" s="8"/>
      <c r="Z12" s="14">
        <f>IF(T12=0,0,X12/T12)</f>
        <v>0</v>
      </c>
    </row>
    <row r="13" spans="1:26" ht="15" customHeight="1" x14ac:dyDescent="0.3">
      <c r="A13" s="12"/>
      <c r="B13" s="13"/>
      <c r="C13" s="12"/>
      <c r="D13" s="4"/>
      <c r="E13" s="4"/>
      <c r="F13" s="10"/>
      <c r="G13" s="4"/>
      <c r="H13" s="4"/>
      <c r="I13" s="4"/>
      <c r="J13" s="10"/>
      <c r="K13" s="4"/>
      <c r="L13" s="4"/>
      <c r="M13" s="4"/>
      <c r="N13" s="10"/>
      <c r="P13" s="4"/>
      <c r="Q13" s="4"/>
      <c r="R13" s="10"/>
      <c r="S13" s="4"/>
      <c r="T13" s="4"/>
      <c r="U13" s="4"/>
      <c r="V13" s="10"/>
      <c r="W13" s="4"/>
      <c r="X13" s="4"/>
      <c r="Y13" s="4"/>
      <c r="Z13" s="10"/>
    </row>
    <row r="14" spans="1:26" s="63" customFormat="1" ht="15" customHeight="1" collapsed="1" x14ac:dyDescent="0.3">
      <c r="A14" s="13"/>
      <c r="B14" s="28" t="s">
        <v>288</v>
      </c>
      <c r="C14" s="13"/>
      <c r="D14" s="8">
        <f>SUM(OSRRefD16x_0)</f>
        <v>3082</v>
      </c>
      <c r="E14" s="8"/>
      <c r="F14" s="14">
        <f>IF(D$12=0,0,D14/D$12)</f>
        <v>0</v>
      </c>
      <c r="G14" s="8"/>
      <c r="H14" s="8">
        <f>SUM(OSRRefH16x_0)</f>
        <v>0</v>
      </c>
      <c r="I14" s="8"/>
      <c r="J14" s="14">
        <f>IF(H$12=0,0,H14/H$12)</f>
        <v>0</v>
      </c>
      <c r="K14" s="8"/>
      <c r="L14" s="8">
        <f>+D14-H14</f>
        <v>3082</v>
      </c>
      <c r="M14" s="8"/>
      <c r="N14" s="14">
        <f>IF(H14=0,0,L14/H14)</f>
        <v>0</v>
      </c>
      <c r="O14" s="13"/>
      <c r="P14" s="8">
        <f>SUM(OSRRefP16x_0)</f>
        <v>3082</v>
      </c>
      <c r="Q14" s="8"/>
      <c r="R14" s="14">
        <f>IF(P$12=0,0,P14/P$12)</f>
        <v>0</v>
      </c>
      <c r="S14" s="8"/>
      <c r="T14" s="8">
        <f>SUM(OSRRefT16x_0)</f>
        <v>0</v>
      </c>
      <c r="U14" s="8"/>
      <c r="V14" s="14">
        <f>IF(T$12=0,0,T14/T$12)</f>
        <v>0</v>
      </c>
      <c r="W14" s="8"/>
      <c r="X14" s="8">
        <f>+P14-T14</f>
        <v>3082</v>
      </c>
      <c r="Y14" s="8"/>
      <c r="Z14" s="14">
        <f>IF(T14=0,0,X14/T14)</f>
        <v>0</v>
      </c>
    </row>
    <row r="15" spans="1:26" s="70" customFormat="1" ht="15" hidden="1" customHeight="1" outlineLevel="1" x14ac:dyDescent="0.3">
      <c r="A15" s="48"/>
      <c r="B15" s="9" t="str">
        <f>CONCATENATE("          ","5059"," - ","PURCHASES @ COST-FOOD")</f>
        <v xml:space="preserve">          5059 - PURCHASES @ COST-FOOD</v>
      </c>
      <c r="C15" s="9"/>
      <c r="D15" s="3">
        <v>3082</v>
      </c>
      <c r="E15" s="3"/>
      <c r="F15" s="26">
        <f>IF(D$12=0,0,D15/D$12)</f>
        <v>0</v>
      </c>
      <c r="G15" s="3"/>
      <c r="H15" s="3"/>
      <c r="I15" s="3"/>
      <c r="J15" s="26">
        <f>IF(H$12=0,0,H15/H$12)</f>
        <v>0</v>
      </c>
      <c r="K15" s="3"/>
      <c r="L15" s="3">
        <f>+D15-H15</f>
        <v>3082</v>
      </c>
      <c r="M15" s="3"/>
      <c r="N15" s="26">
        <f>IF(H15=0,0,L15/H15)</f>
        <v>0</v>
      </c>
      <c r="O15" s="9"/>
      <c r="P15" s="3">
        <v>3082</v>
      </c>
      <c r="Q15" s="3"/>
      <c r="R15" s="26">
        <f>IF(P$12=0,0,P15/P$12)</f>
        <v>0</v>
      </c>
      <c r="S15" s="3"/>
      <c r="T15" s="3"/>
      <c r="U15" s="3"/>
      <c r="V15" s="26">
        <f>IF(T$12=0,0,T15/T$12)</f>
        <v>0</v>
      </c>
      <c r="W15" s="3"/>
      <c r="X15" s="3">
        <f>+P15-T15</f>
        <v>3082</v>
      </c>
      <c r="Y15" s="3"/>
      <c r="Z15" s="26">
        <f>IF(T15=0,0,X15/T15)</f>
        <v>0</v>
      </c>
    </row>
    <row r="16" spans="1:26" ht="15" customHeight="1" x14ac:dyDescent="0.3">
      <c r="A16" s="12"/>
      <c r="B16" s="13"/>
      <c r="C16" s="13"/>
      <c r="D16" s="4"/>
      <c r="E16" s="4"/>
      <c r="F16" s="10"/>
      <c r="G16" s="4"/>
      <c r="H16" s="4"/>
      <c r="I16" s="4"/>
      <c r="J16" s="10"/>
      <c r="K16" s="4"/>
      <c r="L16" s="4"/>
      <c r="M16" s="4"/>
      <c r="N16" s="10"/>
      <c r="O16" s="13"/>
      <c r="P16" s="4"/>
      <c r="Q16" s="4"/>
      <c r="R16" s="10"/>
      <c r="S16" s="4"/>
      <c r="T16" s="4"/>
      <c r="U16" s="4"/>
      <c r="V16" s="10"/>
      <c r="W16" s="4"/>
      <c r="X16" s="4"/>
      <c r="Y16" s="4"/>
      <c r="Z16" s="10"/>
    </row>
    <row r="17" spans="1:26" s="63" customFormat="1" ht="15" customHeight="1" x14ac:dyDescent="0.3">
      <c r="A17" s="13"/>
      <c r="B17" s="27" t="s">
        <v>289</v>
      </c>
      <c r="C17" s="27"/>
      <c r="D17" s="23">
        <f>D12-D14</f>
        <v>-3082</v>
      </c>
      <c r="E17" s="15"/>
      <c r="F17" s="22">
        <f>IF(D$12=0,0,D17/D$12)</f>
        <v>0</v>
      </c>
      <c r="G17" s="15"/>
      <c r="H17" s="23">
        <f>H12-H14</f>
        <v>0</v>
      </c>
      <c r="I17" s="15"/>
      <c r="J17" s="22">
        <f>IF(H$12=0,0,H17/H$12)</f>
        <v>0</v>
      </c>
      <c r="K17" s="17"/>
      <c r="L17" s="23">
        <f>+D17-H17</f>
        <v>-3082</v>
      </c>
      <c r="M17" s="17"/>
      <c r="N17" s="22">
        <f>IF(H17=0,0,L17/H17)</f>
        <v>0</v>
      </c>
      <c r="O17" s="28"/>
      <c r="P17" s="23">
        <f>P12-P14</f>
        <v>-3082</v>
      </c>
      <c r="Q17" s="15"/>
      <c r="R17" s="22">
        <f>IF(P$12=0,0,P17/P$12)</f>
        <v>0</v>
      </c>
      <c r="S17" s="15"/>
      <c r="T17" s="23">
        <f>T12-T14</f>
        <v>0</v>
      </c>
      <c r="U17" s="15"/>
      <c r="V17" s="22">
        <f>IF(T$12=0,0,T17/T$12)</f>
        <v>0</v>
      </c>
      <c r="W17" s="17"/>
      <c r="X17" s="23">
        <f>+P17-T17</f>
        <v>-3082</v>
      </c>
      <c r="Y17" s="17"/>
      <c r="Z17" s="22">
        <f>IF(T17=0,0,X17/T17)</f>
        <v>0</v>
      </c>
    </row>
    <row r="18" spans="1:26" ht="15" customHeight="1" x14ac:dyDescent="0.3">
      <c r="A18" s="12"/>
      <c r="B18" s="13"/>
      <c r="C18" s="12"/>
      <c r="D18" s="2"/>
      <c r="E18" s="2"/>
      <c r="F18" s="5"/>
      <c r="G18" s="2"/>
      <c r="H18" s="2"/>
      <c r="I18" s="2"/>
      <c r="J18" s="5"/>
      <c r="K18" s="2"/>
      <c r="L18" s="2"/>
      <c r="M18" s="2"/>
      <c r="N18" s="5"/>
      <c r="O18" s="36"/>
      <c r="P18" s="2"/>
      <c r="Q18" s="2"/>
      <c r="R18" s="5"/>
      <c r="S18" s="2"/>
      <c r="T18" s="2"/>
      <c r="U18" s="2"/>
      <c r="V18" s="5"/>
      <c r="W18" s="2"/>
      <c r="X18" s="2"/>
      <c r="Y18" s="2"/>
      <c r="Z18" s="5"/>
    </row>
    <row r="19" spans="1:26" s="63" customFormat="1" ht="15" customHeight="1" x14ac:dyDescent="0.3">
      <c r="A19" s="13"/>
      <c r="B19" s="28" t="s">
        <v>290</v>
      </c>
      <c r="C19" s="13"/>
      <c r="D19" s="24" cm="1">
        <f t="array" ref="D19">SUM(OSRRefD22x_0)</f>
        <v>479.29</v>
      </c>
      <c r="E19" s="24"/>
      <c r="F19" s="34">
        <f t="shared" ref="F19:F25" si="0">IF(D$12=0,0,D19/D$12)</f>
        <v>0</v>
      </c>
      <c r="G19" s="24"/>
      <c r="H19" s="24" cm="1">
        <f t="array" ref="H19">SUM(OSRRefH22x_0)</f>
        <v>479</v>
      </c>
      <c r="I19" s="24"/>
      <c r="J19" s="34">
        <f t="shared" ref="J19:J25" si="1">IF(H$12=0,0,H19/H$12)</f>
        <v>0</v>
      </c>
      <c r="K19" s="8"/>
      <c r="L19" s="24">
        <f t="shared" ref="L19:L25" si="2">+D19-H19</f>
        <v>0.29000000000002046</v>
      </c>
      <c r="M19" s="8"/>
      <c r="N19" s="34">
        <f t="shared" ref="N19:N25" si="3">IF(H19=0,0,L19/H19)</f>
        <v>6.054279749478506E-4</v>
      </c>
      <c r="O19" s="13"/>
      <c r="P19" s="24" cm="1">
        <f t="array" ref="P19">SUM(OSRRefP22x_0)</f>
        <v>6230.48</v>
      </c>
      <c r="Q19" s="24"/>
      <c r="R19" s="34">
        <f t="shared" ref="R19:R25" si="4">IF(P$12=0,0,P19/P$12)</f>
        <v>0</v>
      </c>
      <c r="S19" s="24"/>
      <c r="T19" s="24" cm="1">
        <f t="array" ref="T19">SUM(OSRRefT22x_0)</f>
        <v>5748</v>
      </c>
      <c r="U19" s="24"/>
      <c r="V19" s="34">
        <f t="shared" ref="V19:V25" si="5">IF(T$12=0,0,T19/T$12)</f>
        <v>0</v>
      </c>
      <c r="W19" s="8"/>
      <c r="X19" s="24">
        <f t="shared" ref="X19:X25" si="6">+P19-T19</f>
        <v>482.47999999999956</v>
      </c>
      <c r="Y19" s="8"/>
      <c r="Z19" s="34">
        <f t="shared" ref="Z19:Z25" si="7">IF(T19=0,0,X19/T19)</f>
        <v>8.3938761308281068E-2</v>
      </c>
    </row>
    <row r="20" spans="1:26" s="69" customFormat="1" ht="15" customHeight="1" outlineLevel="1" collapsed="1" x14ac:dyDescent="0.3">
      <c r="A20" s="20"/>
      <c r="B20" s="11" t="str">
        <f>CONCATENATE("     ","Depreciation                                      ")</f>
        <v xml:space="preserve">     Depreciation                                      </v>
      </c>
      <c r="C20" s="11"/>
      <c r="D20" s="2">
        <f>SUM(OSRRefD22_0x_0)</f>
        <v>479.29</v>
      </c>
      <c r="E20" s="2"/>
      <c r="F20" s="5">
        <f t="shared" si="0"/>
        <v>0</v>
      </c>
      <c r="G20" s="2"/>
      <c r="H20" s="2">
        <f>SUM(OSRRefH22_0x_0)</f>
        <v>479</v>
      </c>
      <c r="I20" s="2"/>
      <c r="J20" s="5">
        <f t="shared" si="1"/>
        <v>0</v>
      </c>
      <c r="K20" s="2"/>
      <c r="L20" s="2">
        <f t="shared" si="2"/>
        <v>0.29000000000002046</v>
      </c>
      <c r="M20" s="2"/>
      <c r="N20" s="5">
        <f t="shared" si="3"/>
        <v>6.054279749478506E-4</v>
      </c>
      <c r="O20" s="11"/>
      <c r="P20" s="2">
        <f>SUM(OSRRefP22_0x_0)</f>
        <v>5751.48</v>
      </c>
      <c r="Q20" s="2"/>
      <c r="R20" s="5">
        <f t="shared" si="4"/>
        <v>0</v>
      </c>
      <c r="S20" s="2"/>
      <c r="T20" s="2">
        <f>SUM(OSRRefT22_0x_0)</f>
        <v>5748</v>
      </c>
      <c r="U20" s="2"/>
      <c r="V20" s="5">
        <f t="shared" si="5"/>
        <v>0</v>
      </c>
      <c r="W20" s="2"/>
      <c r="X20" s="2">
        <f t="shared" si="6"/>
        <v>3.4799999999995634</v>
      </c>
      <c r="Y20" s="2"/>
      <c r="Z20" s="5">
        <f t="shared" si="7"/>
        <v>6.0542797494773199E-4</v>
      </c>
    </row>
    <row r="21" spans="1:26" s="70" customFormat="1" ht="15" hidden="1" customHeight="1" outlineLevel="2" x14ac:dyDescent="0.3">
      <c r="A21" s="21"/>
      <c r="B21" s="9" t="str">
        <f>CONCATENATE("          ","6322"," - ","EQUIPMENT DEPRECIATION EXPENSE")</f>
        <v xml:space="preserve">          6322 - EQUIPMENT DEPRECIATION EXPENSE</v>
      </c>
      <c r="C21" s="9"/>
      <c r="D21" s="6">
        <v>479.29</v>
      </c>
      <c r="E21" s="3"/>
      <c r="F21" s="7">
        <f t="shared" si="0"/>
        <v>0</v>
      </c>
      <c r="G21" s="3"/>
      <c r="H21" s="6">
        <v>479</v>
      </c>
      <c r="I21" s="3"/>
      <c r="J21" s="7">
        <f t="shared" si="1"/>
        <v>0</v>
      </c>
      <c r="K21" s="3"/>
      <c r="L21" s="6">
        <f t="shared" si="2"/>
        <v>0.29000000000002046</v>
      </c>
      <c r="M21" s="3"/>
      <c r="N21" s="7">
        <f t="shared" si="3"/>
        <v>6.054279749478506E-4</v>
      </c>
      <c r="O21" s="9"/>
      <c r="P21" s="6">
        <v>5751.48</v>
      </c>
      <c r="Q21" s="3"/>
      <c r="R21" s="7">
        <f t="shared" si="4"/>
        <v>0</v>
      </c>
      <c r="S21" s="3"/>
      <c r="T21" s="6">
        <v>5748</v>
      </c>
      <c r="U21" s="3"/>
      <c r="V21" s="7">
        <f t="shared" si="5"/>
        <v>0</v>
      </c>
      <c r="W21" s="3"/>
      <c r="X21" s="6">
        <f t="shared" si="6"/>
        <v>3.4799999999995634</v>
      </c>
      <c r="Y21" s="3"/>
      <c r="Z21" s="7">
        <f t="shared" si="7"/>
        <v>6.0542797494773199E-4</v>
      </c>
    </row>
    <row r="22" spans="1:26" s="69" customFormat="1" ht="15" customHeight="1" outlineLevel="1" collapsed="1" x14ac:dyDescent="0.3">
      <c r="A22" s="20"/>
      <c r="B22" s="11" t="str">
        <f>CONCATENATE("     ","General                                           ")</f>
        <v xml:space="preserve">     General                                           </v>
      </c>
      <c r="C22" s="11"/>
      <c r="D22" s="2">
        <f>SUM(OSRRefD22_1x_0)</f>
        <v>0</v>
      </c>
      <c r="E22" s="2"/>
      <c r="F22" s="5">
        <f t="shared" si="0"/>
        <v>0</v>
      </c>
      <c r="G22" s="2"/>
      <c r="H22" s="2">
        <f>SUM(OSRRefH22_1x_0)</f>
        <v>0</v>
      </c>
      <c r="I22" s="2"/>
      <c r="J22" s="5">
        <f t="shared" si="1"/>
        <v>0</v>
      </c>
      <c r="K22" s="2"/>
      <c r="L22" s="2">
        <f t="shared" si="2"/>
        <v>0</v>
      </c>
      <c r="M22" s="2"/>
      <c r="N22" s="5">
        <f t="shared" si="3"/>
        <v>0</v>
      </c>
      <c r="O22" s="11"/>
      <c r="P22" s="2">
        <f>SUM(OSRRefP22_1x_0)</f>
        <v>479</v>
      </c>
      <c r="Q22" s="2"/>
      <c r="R22" s="5">
        <f t="shared" si="4"/>
        <v>0</v>
      </c>
      <c r="S22" s="2"/>
      <c r="T22" s="2">
        <f>SUM(OSRRefT22_1x_0)</f>
        <v>0</v>
      </c>
      <c r="U22" s="2"/>
      <c r="V22" s="5">
        <f t="shared" si="5"/>
        <v>0</v>
      </c>
      <c r="W22" s="2"/>
      <c r="X22" s="2">
        <f t="shared" si="6"/>
        <v>479</v>
      </c>
      <c r="Y22" s="2"/>
      <c r="Z22" s="5">
        <f t="shared" si="7"/>
        <v>0</v>
      </c>
    </row>
    <row r="23" spans="1:26" s="70" customFormat="1" ht="15" hidden="1" customHeight="1" outlineLevel="2" x14ac:dyDescent="0.3">
      <c r="A23" s="21"/>
      <c r="B23" s="9" t="str">
        <f>CONCATENATE("          ","6279"," - ","GENERAL EXPENSE")</f>
        <v xml:space="preserve">          6279 - GENERAL EXPENSE</v>
      </c>
      <c r="C23" s="9"/>
      <c r="D23" s="6"/>
      <c r="E23" s="3"/>
      <c r="F23" s="7">
        <f t="shared" si="0"/>
        <v>0</v>
      </c>
      <c r="G23" s="3"/>
      <c r="H23" s="6"/>
      <c r="I23" s="3"/>
      <c r="J23" s="7">
        <f t="shared" si="1"/>
        <v>0</v>
      </c>
      <c r="K23" s="3"/>
      <c r="L23" s="6">
        <f t="shared" si="2"/>
        <v>0</v>
      </c>
      <c r="M23" s="3"/>
      <c r="N23" s="7">
        <f t="shared" si="3"/>
        <v>0</v>
      </c>
      <c r="O23" s="9"/>
      <c r="P23" s="6">
        <v>479</v>
      </c>
      <c r="Q23" s="3"/>
      <c r="R23" s="7">
        <f t="shared" si="4"/>
        <v>0</v>
      </c>
      <c r="S23" s="3"/>
      <c r="T23" s="6"/>
      <c r="U23" s="3"/>
      <c r="V23" s="7">
        <f t="shared" si="5"/>
        <v>0</v>
      </c>
      <c r="W23" s="3"/>
      <c r="X23" s="6">
        <f t="shared" si="6"/>
        <v>479</v>
      </c>
      <c r="Y23" s="3"/>
      <c r="Z23" s="7">
        <f t="shared" si="7"/>
        <v>0</v>
      </c>
    </row>
    <row r="24" spans="1:26" s="69" customFormat="1" ht="15" customHeight="1" outlineLevel="1" collapsed="1" x14ac:dyDescent="0.3">
      <c r="A24" s="20"/>
      <c r="B24" s="11" t="str">
        <f>CONCATENATE("     ","Services                                          ")</f>
        <v xml:space="preserve">     Services                                          </v>
      </c>
      <c r="C24" s="11"/>
      <c r="D24" s="2">
        <f>SUM(OSRRefD22_2x_0)</f>
        <v>0</v>
      </c>
      <c r="E24" s="2"/>
      <c r="F24" s="5">
        <f t="shared" si="0"/>
        <v>0</v>
      </c>
      <c r="G24" s="2"/>
      <c r="H24" s="2">
        <f>SUM(OSRRefH22_2x_0)</f>
        <v>0</v>
      </c>
      <c r="I24" s="2"/>
      <c r="J24" s="5">
        <f t="shared" si="1"/>
        <v>0</v>
      </c>
      <c r="K24" s="2"/>
      <c r="L24" s="2">
        <f t="shared" si="2"/>
        <v>0</v>
      </c>
      <c r="M24" s="2"/>
      <c r="N24" s="5">
        <f t="shared" si="3"/>
        <v>0</v>
      </c>
      <c r="O24" s="11"/>
      <c r="P24" s="2">
        <f>SUM(OSRRefP22_2x_0)</f>
        <v>0</v>
      </c>
      <c r="Q24" s="2"/>
      <c r="R24" s="5">
        <f t="shared" si="4"/>
        <v>0</v>
      </c>
      <c r="S24" s="2"/>
      <c r="T24" s="2">
        <f>SUM(OSRRefT22_2x_0)</f>
        <v>0</v>
      </c>
      <c r="U24" s="2"/>
      <c r="V24" s="5">
        <f t="shared" si="5"/>
        <v>0</v>
      </c>
      <c r="W24" s="2"/>
      <c r="X24" s="2">
        <f t="shared" si="6"/>
        <v>0</v>
      </c>
      <c r="Y24" s="2"/>
      <c r="Z24" s="5">
        <f t="shared" si="7"/>
        <v>0</v>
      </c>
    </row>
    <row r="25" spans="1:26" s="70" customFormat="1" ht="15" hidden="1" customHeight="1" outlineLevel="2" x14ac:dyDescent="0.3">
      <c r="A25" s="21"/>
      <c r="B25" s="9" t="str">
        <f>CONCATENATE("          ","6284"," - ","TRASH REMOVAL EXPENSE")</f>
        <v xml:space="preserve">          6284 - TRASH REMOVAL EXPENSE</v>
      </c>
      <c r="C25" s="9"/>
      <c r="D25" s="6"/>
      <c r="E25" s="3"/>
      <c r="F25" s="7">
        <f t="shared" si="0"/>
        <v>0</v>
      </c>
      <c r="G25" s="3"/>
      <c r="H25" s="6"/>
      <c r="I25" s="3"/>
      <c r="J25" s="7">
        <f t="shared" si="1"/>
        <v>0</v>
      </c>
      <c r="K25" s="3"/>
      <c r="L25" s="6">
        <f t="shared" si="2"/>
        <v>0</v>
      </c>
      <c r="M25" s="3"/>
      <c r="N25" s="7">
        <f t="shared" si="3"/>
        <v>0</v>
      </c>
      <c r="O25" s="9"/>
      <c r="P25" s="6"/>
      <c r="Q25" s="3"/>
      <c r="R25" s="7">
        <f t="shared" si="4"/>
        <v>0</v>
      </c>
      <c r="S25" s="3"/>
      <c r="T25" s="6">
        <v>0</v>
      </c>
      <c r="U25" s="3"/>
      <c r="V25" s="7">
        <f t="shared" si="5"/>
        <v>0</v>
      </c>
      <c r="W25" s="3"/>
      <c r="X25" s="6">
        <f t="shared" si="6"/>
        <v>0</v>
      </c>
      <c r="Y25" s="3"/>
      <c r="Z25" s="7">
        <f t="shared" si="7"/>
        <v>0</v>
      </c>
    </row>
    <row r="26" spans="1:26" s="65" customFormat="1" ht="15" customHeight="1" x14ac:dyDescent="0.3">
      <c r="A26" s="36"/>
      <c r="B26" s="36"/>
      <c r="C26" s="36"/>
      <c r="D26" s="2"/>
      <c r="E26" s="2"/>
      <c r="F26" s="5"/>
      <c r="G26" s="2"/>
      <c r="H26" s="2"/>
      <c r="I26" s="2"/>
      <c r="J26" s="5"/>
      <c r="K26" s="2"/>
      <c r="L26" s="2"/>
      <c r="M26" s="2"/>
      <c r="N26" s="5"/>
      <c r="O26" s="36"/>
      <c r="P26" s="2"/>
      <c r="Q26" s="2"/>
      <c r="R26" s="5"/>
      <c r="S26" s="2"/>
      <c r="T26" s="2"/>
      <c r="U26" s="2"/>
      <c r="V26" s="5"/>
      <c r="W26" s="2"/>
      <c r="X26" s="2"/>
      <c r="Y26" s="2"/>
      <c r="Z26" s="5"/>
    </row>
    <row r="27" spans="1:26" s="63" customFormat="1" ht="15" customHeight="1" x14ac:dyDescent="0.3">
      <c r="A27" s="13"/>
      <c r="B27" s="28" t="s">
        <v>291</v>
      </c>
      <c r="C27" s="13"/>
      <c r="D27" s="8">
        <f>SUM(0)</f>
        <v>0</v>
      </c>
      <c r="E27" s="8"/>
      <c r="F27" s="14">
        <f>IF(D$12=0,0,D27/D$12)</f>
        <v>0</v>
      </c>
      <c r="G27" s="8"/>
      <c r="H27" s="8">
        <f>SUM(0)</f>
        <v>0</v>
      </c>
      <c r="I27" s="8"/>
      <c r="J27" s="14">
        <f>IF(H$12=0,0,H27/H$12)</f>
        <v>0</v>
      </c>
      <c r="K27" s="8"/>
      <c r="L27" s="8">
        <f>+D27-H27</f>
        <v>0</v>
      </c>
      <c r="M27" s="8"/>
      <c r="N27" s="14">
        <f>IF(H27=0,0,L27/H27)</f>
        <v>0</v>
      </c>
      <c r="O27" s="13"/>
      <c r="P27" s="8">
        <f>SUM(0)</f>
        <v>0</v>
      </c>
      <c r="Q27" s="8"/>
      <c r="R27" s="14">
        <f>IF(P$12=0,0,P27/P$12)</f>
        <v>0</v>
      </c>
      <c r="S27" s="8"/>
      <c r="T27" s="8">
        <f>SUM(0)</f>
        <v>0</v>
      </c>
      <c r="U27" s="8"/>
      <c r="V27" s="14">
        <f>IF(T$12=0,0,T27/T$12)</f>
        <v>0</v>
      </c>
      <c r="W27" s="8"/>
      <c r="X27" s="8">
        <f>+P27-T27</f>
        <v>0</v>
      </c>
      <c r="Y27" s="8"/>
      <c r="Z27" s="14">
        <f>IF(T27=0,0,X27/T27)</f>
        <v>0</v>
      </c>
    </row>
    <row r="28" spans="1:26" ht="15" customHeight="1" x14ac:dyDescent="0.3">
      <c r="A28" s="12"/>
      <c r="B28" s="13"/>
      <c r="C28" s="13"/>
      <c r="D28" s="4"/>
      <c r="E28" s="4"/>
      <c r="F28" s="10"/>
      <c r="G28" s="4"/>
      <c r="H28" s="4"/>
      <c r="I28" s="4"/>
      <c r="J28" s="10"/>
      <c r="K28" s="4"/>
      <c r="L28" s="4"/>
      <c r="M28" s="4"/>
      <c r="N28" s="10"/>
      <c r="O28" s="13"/>
      <c r="P28" s="4"/>
      <c r="Q28" s="4"/>
      <c r="R28" s="10"/>
      <c r="S28" s="4"/>
      <c r="T28" s="4"/>
      <c r="U28" s="4"/>
      <c r="V28" s="10"/>
      <c r="W28" s="4"/>
      <c r="X28" s="4"/>
      <c r="Y28" s="4"/>
      <c r="Z28" s="10"/>
    </row>
    <row r="29" spans="1:26" s="63" customFormat="1" ht="15" customHeight="1" x14ac:dyDescent="0.3">
      <c r="A29" s="13"/>
      <c r="B29" s="27" t="s">
        <v>292</v>
      </c>
      <c r="C29" s="27"/>
      <c r="D29" s="23">
        <f>+D17-D19+D27</f>
        <v>-3561.29</v>
      </c>
      <c r="E29" s="15"/>
      <c r="F29" s="22">
        <f>IF(D$12=0,0,D29/D$12)</f>
        <v>0</v>
      </c>
      <c r="G29" s="15"/>
      <c r="H29" s="23">
        <f>+H17-H19+H27</f>
        <v>-479</v>
      </c>
      <c r="I29" s="15"/>
      <c r="J29" s="22">
        <f>IF(H$12=0,0,H29/H$12)</f>
        <v>0</v>
      </c>
      <c r="K29" s="17"/>
      <c r="L29" s="23">
        <f>+D29-H29</f>
        <v>-3082.29</v>
      </c>
      <c r="M29" s="17"/>
      <c r="N29" s="22">
        <f>IF(H29=0,0,L29/H29)</f>
        <v>6.434843423799582</v>
      </c>
      <c r="O29" s="28"/>
      <c r="P29" s="23">
        <f>+P17-P19+P27</f>
        <v>-9312.48</v>
      </c>
      <c r="Q29" s="15"/>
      <c r="R29" s="22">
        <f>IF(P$12=0,0,P29/P$12)</f>
        <v>0</v>
      </c>
      <c r="S29" s="15"/>
      <c r="T29" s="23">
        <f>+T17-T19+T27</f>
        <v>-5748</v>
      </c>
      <c r="U29" s="15"/>
      <c r="V29" s="22">
        <f>IF(T$12=0,0,T29/T$12)</f>
        <v>0</v>
      </c>
      <c r="W29" s="17"/>
      <c r="X29" s="23">
        <f>+P29-T29</f>
        <v>-3564.4799999999996</v>
      </c>
      <c r="Y29" s="17"/>
      <c r="Z29" s="22">
        <f>IF(T29=0,0,X29/T29)</f>
        <v>0.62012526096033393</v>
      </c>
    </row>
    <row r="30" spans="1:26" ht="15" customHeight="1" x14ac:dyDescent="0.3">
      <c r="A30" s="12"/>
      <c r="B30" s="13"/>
      <c r="C30" s="12"/>
      <c r="D30" s="4"/>
      <c r="E30" s="4"/>
      <c r="F30" s="10"/>
      <c r="G30" s="4"/>
      <c r="H30" s="4"/>
      <c r="I30" s="4"/>
      <c r="J30" s="10"/>
      <c r="K30" s="4"/>
      <c r="L30" s="4"/>
      <c r="M30" s="4"/>
      <c r="N30" s="10"/>
      <c r="P30" s="4"/>
      <c r="Q30" s="4"/>
      <c r="R30" s="10"/>
      <c r="S30" s="4"/>
      <c r="T30" s="4"/>
      <c r="U30" s="4"/>
      <c r="V30" s="10"/>
      <c r="W30" s="4"/>
      <c r="X30" s="4"/>
      <c r="Y30" s="4"/>
      <c r="Z30" s="10"/>
    </row>
    <row r="31" spans="1:26" s="63" customFormat="1" ht="15" customHeight="1" x14ac:dyDescent="0.3">
      <c r="A31" s="49"/>
      <c r="B31" s="13" t="s">
        <v>293</v>
      </c>
      <c r="C31" s="13"/>
      <c r="D31" s="8"/>
      <c r="E31" s="8"/>
      <c r="F31" s="14">
        <f>IF(D$12=0,0,D31/D$12)</f>
        <v>0</v>
      </c>
      <c r="G31" s="8"/>
      <c r="H31" s="8"/>
      <c r="I31" s="8"/>
      <c r="J31" s="14">
        <f>IF(H$12=0,0,H31/H$12)</f>
        <v>0</v>
      </c>
      <c r="K31" s="8"/>
      <c r="L31" s="8">
        <f>+D31-H31</f>
        <v>0</v>
      </c>
      <c r="M31" s="8"/>
      <c r="N31" s="14">
        <f>IF(H31=0,0,L31/H31)</f>
        <v>0</v>
      </c>
      <c r="O31" s="13"/>
      <c r="P31" s="8"/>
      <c r="Q31" s="8"/>
      <c r="R31" s="14">
        <f>IF(P$12=0,0,P31/P$12)</f>
        <v>0</v>
      </c>
      <c r="S31" s="8"/>
      <c r="T31" s="8"/>
      <c r="U31" s="8"/>
      <c r="V31" s="14">
        <f>IF(T$12=0,0,T31/T$12)</f>
        <v>0</v>
      </c>
      <c r="W31" s="8"/>
      <c r="X31" s="8">
        <f>+P31-T31</f>
        <v>0</v>
      </c>
      <c r="Y31" s="8"/>
      <c r="Z31" s="14">
        <f>IF(T31=0,0,X31/T31)</f>
        <v>0</v>
      </c>
    </row>
    <row r="32" spans="1:26" ht="15" customHeight="1" x14ac:dyDescent="0.3">
      <c r="A32" s="12"/>
      <c r="B32" s="13"/>
      <c r="C32" s="13"/>
      <c r="D32" s="4"/>
      <c r="E32" s="4"/>
      <c r="F32" s="10"/>
      <c r="G32" s="4"/>
      <c r="H32" s="4"/>
      <c r="I32" s="4"/>
      <c r="J32" s="10"/>
      <c r="K32" s="4"/>
      <c r="L32" s="4"/>
      <c r="M32" s="4"/>
      <c r="N32" s="10"/>
      <c r="O32" s="13"/>
      <c r="P32" s="4"/>
      <c r="Q32" s="4"/>
      <c r="R32" s="10"/>
      <c r="S32" s="4"/>
      <c r="T32" s="4"/>
      <c r="U32" s="4"/>
      <c r="V32" s="10"/>
      <c r="W32" s="4"/>
      <c r="X32" s="4"/>
      <c r="Y32" s="4"/>
      <c r="Z32" s="10"/>
    </row>
    <row r="33" spans="1:26" s="63" customFormat="1" ht="15" customHeight="1" x14ac:dyDescent="0.3">
      <c r="A33" s="13"/>
      <c r="B33" s="27" t="s">
        <v>294</v>
      </c>
      <c r="C33" s="27"/>
      <c r="D33" s="30">
        <f>+D29-D31</f>
        <v>-3561.29</v>
      </c>
      <c r="E33" s="15"/>
      <c r="F33" s="35">
        <f>IF(D$12=0,0,D33/D$12)</f>
        <v>0</v>
      </c>
      <c r="G33" s="15"/>
      <c r="H33" s="30">
        <f>+H29-H31</f>
        <v>-479</v>
      </c>
      <c r="I33" s="15"/>
      <c r="J33" s="35">
        <f>IF(H$12=0,0,H33/H$12)</f>
        <v>0</v>
      </c>
      <c r="K33" s="17"/>
      <c r="L33" s="30">
        <f>D33-H33</f>
        <v>-3082.29</v>
      </c>
      <c r="M33" s="17"/>
      <c r="N33" s="35">
        <f>IF(H33=0,0,L33/H33)</f>
        <v>6.434843423799582</v>
      </c>
      <c r="O33" s="28"/>
      <c r="P33" s="30">
        <f>+P29-P31</f>
        <v>-9312.48</v>
      </c>
      <c r="Q33" s="15"/>
      <c r="R33" s="35">
        <f>IF(P$12=0,0,P33/P$12)</f>
        <v>0</v>
      </c>
      <c r="S33" s="15"/>
      <c r="T33" s="30">
        <f>+T29-T31</f>
        <v>-5748</v>
      </c>
      <c r="U33" s="15"/>
      <c r="V33" s="35">
        <f>IF(T$12=0,0,T33/T$12)</f>
        <v>0</v>
      </c>
      <c r="W33" s="17"/>
      <c r="X33" s="30">
        <f>P33-T33</f>
        <v>-3564.4799999999996</v>
      </c>
      <c r="Y33" s="17"/>
      <c r="Z33" s="35">
        <f>IF(T33=0,0,X33/T33)</f>
        <v>0.62012526096033393</v>
      </c>
    </row>
    <row r="34" spans="1:26" ht="15" customHeight="1" x14ac:dyDescent="0.3">
      <c r="A34" s="12"/>
      <c r="B34" s="12"/>
      <c r="C34" s="12"/>
      <c r="D34" s="4"/>
      <c r="E34" s="4"/>
      <c r="F34" s="10"/>
      <c r="G34" s="4"/>
      <c r="H34" s="4"/>
      <c r="I34" s="4"/>
      <c r="J34" s="10"/>
      <c r="K34" s="4"/>
      <c r="L34" s="4"/>
      <c r="M34" s="4"/>
      <c r="N34" s="10"/>
      <c r="P34" s="4"/>
      <c r="Q34" s="4"/>
      <c r="R34" s="10"/>
      <c r="S34" s="4"/>
      <c r="T34" s="4"/>
      <c r="U34" s="4"/>
      <c r="V34" s="10"/>
      <c r="W34" s="4"/>
      <c r="X34" s="4"/>
      <c r="Y34" s="4"/>
      <c r="Z34" s="10"/>
    </row>
    <row r="35" spans="1:26" ht="15" customHeight="1" x14ac:dyDescent="0.3">
      <c r="A35" s="12"/>
      <c r="B35" s="12"/>
      <c r="C35" s="12"/>
      <c r="D35" s="4"/>
      <c r="E35" s="4"/>
      <c r="F35" s="10"/>
      <c r="G35" s="4"/>
      <c r="H35" s="4"/>
      <c r="I35" s="4"/>
      <c r="J35" s="10"/>
      <c r="K35" s="4"/>
      <c r="L35" s="4"/>
      <c r="M35" s="4"/>
      <c r="N35" s="10"/>
      <c r="P35" s="4"/>
      <c r="Q35" s="4"/>
      <c r="R35" s="10"/>
      <c r="S35" s="4"/>
      <c r="T35" s="4"/>
      <c r="U35" s="4"/>
      <c r="V35" s="10"/>
      <c r="W35" s="4"/>
      <c r="X35" s="4"/>
      <c r="Y35" s="4"/>
      <c r="Z35" s="10"/>
    </row>
    <row r="36" spans="1:26" s="63" customFormat="1" ht="15" customHeight="1" x14ac:dyDescent="0.3">
      <c r="A36" s="13"/>
      <c r="B36" s="27" t="s">
        <v>297</v>
      </c>
      <c r="C36" s="27"/>
      <c r="D36" s="33">
        <f>SUM(D33:D35)</f>
        <v>-3561.29</v>
      </c>
      <c r="E36" s="15"/>
      <c r="F36" s="31">
        <f>IF(D$12=0,0,D36/D$12)</f>
        <v>0</v>
      </c>
      <c r="G36" s="15"/>
      <c r="H36" s="33">
        <f>SUM(H33:H35)</f>
        <v>-479</v>
      </c>
      <c r="I36" s="15"/>
      <c r="J36" s="31">
        <f>IF(H$12=0,0,H36/H$12)</f>
        <v>0</v>
      </c>
      <c r="K36" s="17"/>
      <c r="L36" s="33">
        <f>+D36-H36</f>
        <v>-3082.29</v>
      </c>
      <c r="M36" s="17"/>
      <c r="N36" s="31">
        <f>IF(H36=0,0,L36/H36)</f>
        <v>6.434843423799582</v>
      </c>
      <c r="O36" s="28"/>
      <c r="P36" s="33">
        <f>SUM(P33:P35)</f>
        <v>-9312.48</v>
      </c>
      <c r="Q36" s="15"/>
      <c r="R36" s="31">
        <f>IF(P$12=0,0,P36/P$12)</f>
        <v>0</v>
      </c>
      <c r="S36" s="15"/>
      <c r="T36" s="33">
        <f>SUM(T33:T35)</f>
        <v>-5748</v>
      </c>
      <c r="U36" s="15"/>
      <c r="V36" s="31">
        <f>IF(T$12=0,0,T36/T$12)</f>
        <v>0</v>
      </c>
      <c r="W36" s="17"/>
      <c r="X36" s="33">
        <f>+P36-T36</f>
        <v>-3564.4799999999996</v>
      </c>
      <c r="Y36" s="17"/>
      <c r="Z36" s="31">
        <f>IF(T36=0,0,X36/T36)</f>
        <v>0.62012526096033393</v>
      </c>
    </row>
    <row r="37" spans="1:26" ht="15" customHeight="1" x14ac:dyDescent="0.3">
      <c r="A37" s="12"/>
      <c r="C37" s="12"/>
      <c r="D37" s="19"/>
      <c r="E37" s="19"/>
      <c r="G37" s="19"/>
      <c r="H37" s="19"/>
      <c r="I37" s="19"/>
      <c r="J37" s="41"/>
      <c r="K37" s="19"/>
      <c r="L37" s="19"/>
      <c r="M37" s="19"/>
      <c r="P37" s="19"/>
      <c r="Q37" s="19"/>
      <c r="R37" s="41"/>
      <c r="S37" s="19"/>
      <c r="T37" s="19"/>
      <c r="U37" s="19"/>
      <c r="V37" s="41"/>
      <c r="W37" s="19"/>
      <c r="X37" s="19"/>
    </row>
    <row r="38" spans="1:26" ht="15" customHeight="1" x14ac:dyDescent="0.3">
      <c r="A38" s="12"/>
      <c r="B38" s="50">
        <v>44767.799547766204</v>
      </c>
      <c r="D38" s="19"/>
      <c r="E38" s="19"/>
      <c r="G38" s="19"/>
      <c r="H38" s="19"/>
      <c r="I38" s="19"/>
      <c r="J38" s="41"/>
      <c r="K38" s="19"/>
      <c r="L38" s="19"/>
      <c r="M38" s="19"/>
      <c r="P38" s="19"/>
      <c r="Q38" s="19"/>
      <c r="R38" s="41"/>
      <c r="S38" s="19"/>
      <c r="T38" s="19"/>
      <c r="U38" s="19"/>
      <c r="V38" s="41"/>
      <c r="W38" s="19"/>
      <c r="X38" s="19"/>
    </row>
    <row r="39" spans="1:26" ht="15" customHeight="1" x14ac:dyDescent="0.3">
      <c r="A39" s="12"/>
      <c r="B39" s="57" t="s">
        <v>298</v>
      </c>
      <c r="D39" s="19"/>
      <c r="E39" s="19"/>
      <c r="G39" s="19"/>
      <c r="H39" s="19"/>
      <c r="I39" s="19"/>
      <c r="J39" s="41"/>
      <c r="K39" s="19"/>
      <c r="L39" s="19"/>
      <c r="M39" s="19"/>
      <c r="P39" s="19"/>
      <c r="Q39" s="19"/>
      <c r="R39" s="41"/>
      <c r="S39" s="19"/>
      <c r="T39" s="19"/>
      <c r="U39" s="19"/>
      <c r="V39" s="41"/>
      <c r="W39" s="19"/>
      <c r="X39" s="19"/>
    </row>
    <row r="40" spans="1:26" ht="15" customHeight="1" x14ac:dyDescent="0.3">
      <c r="A40" s="12"/>
      <c r="B40" s="51"/>
      <c r="D40" s="19"/>
      <c r="E40" s="19"/>
      <c r="G40" s="19"/>
      <c r="H40" s="19"/>
      <c r="I40" s="19"/>
      <c r="J40" s="41"/>
      <c r="K40" s="19"/>
      <c r="L40" s="19"/>
      <c r="M40" s="19"/>
      <c r="P40" s="19"/>
      <c r="Q40" s="19"/>
      <c r="R40" s="41"/>
      <c r="S40" s="19"/>
      <c r="T40" s="19"/>
      <c r="U40" s="19"/>
      <c r="V40" s="41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1"/>
      <c r="K41" s="19"/>
      <c r="L41" s="19"/>
      <c r="M41" s="19"/>
      <c r="P41" s="19"/>
      <c r="Q41" s="19"/>
      <c r="R41" s="41"/>
      <c r="S41" s="19"/>
      <c r="T41" s="19"/>
      <c r="U41" s="19"/>
      <c r="V41" s="41"/>
      <c r="W41" s="19"/>
      <c r="X41" s="19"/>
    </row>
  </sheetData>
  <pageMargins left="0.25" right="0.25" top="0.75" bottom="0.75" header="0.3" footer="0.3"/>
  <pageSetup scale="55" orientation="landscape" r:id="rId1"/>
  <headerFooter>
    <oddHeader>&amp;RPre-Audit</oddHeader>
    <oddFooter>&amp;L&amp;C&amp;R</oddFooter>
    <evenHeader>&amp;L&amp;C&amp;R</evenHeader>
    <evenFooter>&amp;L&amp;C&amp;R</evenFoot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647FCC-3467-ABBD-372A-544CB4E806F6}">
  <sheetPr>
    <tabColor rgb="FF92D050"/>
    <outlinePr summaryBelow="0" summaryRight="0"/>
  </sheetPr>
  <dimension ref="A2:Z50"/>
  <sheetViews>
    <sheetView showGridLines="0" defaultGridColor="0" colorId="8" zoomScale="80" workbookViewId="0">
      <pane xSplit="3" ySplit="10" topLeftCell="D11" activePane="bottomRight" state="frozen"/>
      <selection activeCell="D78" sqref="D78"/>
      <selection pane="topRight" activeCell="D78" sqref="D78"/>
      <selection pane="bottomLeft" activeCell="D78" sqref="D78"/>
      <selection pane="bottomRight" activeCell="D78" sqref="D78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3" t="s">
        <v>276</v>
      </c>
    </row>
    <row r="3" spans="1:26" ht="15" customHeight="1" x14ac:dyDescent="0.3">
      <c r="D3" s="53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3" t="str">
        <f>CONCATENATE("Period ",RIGHT(202212,2),", ",2022)</f>
        <v>Period 12,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5"/>
      <c r="D5" s="60">
        <v>44742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5"/>
      <c r="B6" s="47"/>
      <c r="C6" s="47"/>
      <c r="D6" s="25" t="str">
        <f>CONCATENATE("Department ","425"," - ","Events Center")</f>
        <v>Department 425 - Events Center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4"/>
    </row>
    <row r="8" spans="1:26" ht="15" customHeight="1" x14ac:dyDescent="0.3">
      <c r="B8" s="54"/>
    </row>
    <row r="9" spans="1:26" ht="15" customHeight="1" x14ac:dyDescent="0.3">
      <c r="B9" s="12"/>
      <c r="C9" s="12"/>
      <c r="D9" s="16" t="s">
        <v>279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280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ht="15" customHeight="1" x14ac:dyDescent="0.3">
      <c r="A10" s="13"/>
      <c r="B10" s="52"/>
      <c r="C10" s="13"/>
      <c r="D10" s="40" t="s">
        <v>281</v>
      </c>
      <c r="E10" s="32"/>
      <c r="F10" s="39" t="s">
        <v>282</v>
      </c>
      <c r="G10" s="32"/>
      <c r="H10" s="45" t="s">
        <v>283</v>
      </c>
      <c r="I10" s="32"/>
      <c r="J10" s="42" t="s">
        <v>284</v>
      </c>
      <c r="K10" s="13"/>
      <c r="L10" s="40" t="s">
        <v>285</v>
      </c>
      <c r="M10" s="13"/>
      <c r="N10" s="39" t="s">
        <v>286</v>
      </c>
      <c r="O10" s="13"/>
      <c r="P10" s="55" t="s">
        <v>281</v>
      </c>
      <c r="Q10" s="32"/>
      <c r="R10" s="39" t="s">
        <v>282</v>
      </c>
      <c r="S10" s="32"/>
      <c r="T10" s="45" t="s">
        <v>283</v>
      </c>
      <c r="U10" s="32"/>
      <c r="V10" s="42" t="s">
        <v>284</v>
      </c>
      <c r="W10" s="13"/>
      <c r="X10" s="40" t="s">
        <v>285</v>
      </c>
      <c r="Y10" s="13"/>
      <c r="Z10" s="39" t="s">
        <v>286</v>
      </c>
    </row>
    <row r="11" spans="1:26" ht="16.5" customHeight="1" x14ac:dyDescent="0.3">
      <c r="A11" s="12"/>
      <c r="B11" s="58"/>
      <c r="C11" s="12"/>
      <c r="D11" s="12"/>
      <c r="E11" s="12"/>
      <c r="F11" s="10"/>
      <c r="G11" s="12"/>
      <c r="H11" s="12"/>
      <c r="I11" s="12"/>
      <c r="J11" s="43"/>
      <c r="K11" s="12"/>
      <c r="L11" s="12"/>
      <c r="M11" s="12"/>
      <c r="N11" s="10"/>
      <c r="P11" s="12"/>
      <c r="Q11" s="12"/>
      <c r="R11" s="10"/>
      <c r="S11" s="12"/>
      <c r="T11" s="12"/>
      <c r="U11" s="12"/>
      <c r="V11" s="43"/>
      <c r="W11" s="12"/>
      <c r="X11" s="12"/>
      <c r="Y11" s="12"/>
      <c r="Z11" s="10"/>
    </row>
    <row r="12" spans="1:26" s="63" customFormat="1" ht="15" customHeight="1" collapsed="1" x14ac:dyDescent="0.3">
      <c r="A12" s="13"/>
      <c r="B12" s="28" t="s">
        <v>287</v>
      </c>
      <c r="C12" s="13"/>
      <c r="D12" s="8">
        <f>SUM(OSRRefD13x_0)</f>
        <v>10447.15</v>
      </c>
      <c r="E12" s="8"/>
      <c r="F12" s="14"/>
      <c r="G12" s="8"/>
      <c r="H12" s="8">
        <f>SUM(OSRRefH13x_0)</f>
        <v>0</v>
      </c>
      <c r="I12" s="8"/>
      <c r="J12" s="14"/>
      <c r="K12" s="8"/>
      <c r="L12" s="8">
        <f>+D12-H12</f>
        <v>10447.15</v>
      </c>
      <c r="M12" s="8"/>
      <c r="N12" s="14">
        <f>IF(H12=0,0,L12/H12)</f>
        <v>0</v>
      </c>
      <c r="O12" s="13"/>
      <c r="P12" s="8">
        <f>SUM(OSRRefP13x_0)</f>
        <v>35192.410000000003</v>
      </c>
      <c r="Q12" s="8"/>
      <c r="R12" s="14"/>
      <c r="S12" s="8"/>
      <c r="T12" s="8">
        <f>SUM(OSRRefT13x_0)</f>
        <v>0</v>
      </c>
      <c r="U12" s="8"/>
      <c r="V12" s="14"/>
      <c r="W12" s="8"/>
      <c r="X12" s="8">
        <f>+P12-T12</f>
        <v>35192.410000000003</v>
      </c>
      <c r="Y12" s="8"/>
      <c r="Z12" s="14">
        <f>IF(T12=0,0,X12/T12)</f>
        <v>0</v>
      </c>
    </row>
    <row r="13" spans="1:26" s="70" customFormat="1" ht="15" hidden="1" customHeight="1" outlineLevel="1" x14ac:dyDescent="0.3">
      <c r="A13" s="48"/>
      <c r="B13" s="9" t="str">
        <f>CONCATENATE("          ","4053"," - ","TAXABLE SALES-FOOD")</f>
        <v xml:space="preserve">          4053 - TAXABLE SALES-FOOD</v>
      </c>
      <c r="C13" s="9"/>
      <c r="D13" s="3">
        <f>--10447.15</f>
        <v>10447.15</v>
      </c>
      <c r="E13" s="3"/>
      <c r="F13" s="26"/>
      <c r="G13" s="3"/>
      <c r="H13" s="3"/>
      <c r="I13" s="3"/>
      <c r="J13" s="26"/>
      <c r="K13" s="3"/>
      <c r="L13" s="3">
        <f>+D13-H13</f>
        <v>10447.15</v>
      </c>
      <c r="M13" s="3"/>
      <c r="N13" s="26">
        <f>IF(H13=0,0,L13/H13)</f>
        <v>0</v>
      </c>
      <c r="O13" s="9"/>
      <c r="P13" s="3">
        <f>--35192.41</f>
        <v>35192.410000000003</v>
      </c>
      <c r="Q13" s="3"/>
      <c r="R13" s="26"/>
      <c r="S13" s="3"/>
      <c r="T13" s="3"/>
      <c r="U13" s="3"/>
      <c r="V13" s="26"/>
      <c r="W13" s="3"/>
      <c r="X13" s="3">
        <f>+P13-T13</f>
        <v>35192.410000000003</v>
      </c>
      <c r="Y13" s="3"/>
      <c r="Z13" s="26">
        <f>IF(T13=0,0,X13/T13)</f>
        <v>0</v>
      </c>
    </row>
    <row r="14" spans="1:26" ht="15" customHeight="1" x14ac:dyDescent="0.3">
      <c r="A14" s="12"/>
      <c r="B14" s="13"/>
      <c r="C14" s="12"/>
      <c r="D14" s="4"/>
      <c r="E14" s="4"/>
      <c r="F14" s="10"/>
      <c r="G14" s="4"/>
      <c r="H14" s="4"/>
      <c r="I14" s="4"/>
      <c r="J14" s="10"/>
      <c r="K14" s="4"/>
      <c r="L14" s="4"/>
      <c r="M14" s="4"/>
      <c r="N14" s="10"/>
      <c r="P14" s="4"/>
      <c r="Q14" s="4"/>
      <c r="R14" s="10"/>
      <c r="S14" s="4"/>
      <c r="T14" s="4"/>
      <c r="U14" s="4"/>
      <c r="V14" s="10"/>
      <c r="W14" s="4"/>
      <c r="X14" s="4"/>
      <c r="Y14" s="4"/>
      <c r="Z14" s="10"/>
    </row>
    <row r="15" spans="1:26" s="63" customFormat="1" ht="15" customHeight="1" collapsed="1" x14ac:dyDescent="0.3">
      <c r="A15" s="13"/>
      <c r="B15" s="28" t="s">
        <v>288</v>
      </c>
      <c r="C15" s="13"/>
      <c r="D15" s="8">
        <f>SUM(OSRRefD16x_0)</f>
        <v>3942.78</v>
      </c>
      <c r="E15" s="8"/>
      <c r="F15" s="14">
        <f>IF(D$12=0,0,D15/D$12)</f>
        <v>0.37740244947186558</v>
      </c>
      <c r="G15" s="8"/>
      <c r="H15" s="8">
        <f>SUM(OSRRefH16x_0)</f>
        <v>0</v>
      </c>
      <c r="I15" s="8"/>
      <c r="J15" s="14">
        <f>IF(H$12=0,0,H15/H$12)</f>
        <v>0</v>
      </c>
      <c r="K15" s="8"/>
      <c r="L15" s="8">
        <f>+D15-H15</f>
        <v>3942.78</v>
      </c>
      <c r="M15" s="8"/>
      <c r="N15" s="14">
        <f>IF(H15=0,0,L15/H15)</f>
        <v>0</v>
      </c>
      <c r="O15" s="13"/>
      <c r="P15" s="8">
        <f>SUM(OSRRefP16x_0)</f>
        <v>15349.69</v>
      </c>
      <c r="Q15" s="8"/>
      <c r="R15" s="14">
        <f>IF(P$12=0,0,P15/P$12)</f>
        <v>0.43616478666848901</v>
      </c>
      <c r="S15" s="8"/>
      <c r="T15" s="8">
        <f>SUM(OSRRefT16x_0)</f>
        <v>0</v>
      </c>
      <c r="U15" s="8"/>
      <c r="V15" s="14">
        <f>IF(T$12=0,0,T15/T$12)</f>
        <v>0</v>
      </c>
      <c r="W15" s="8"/>
      <c r="X15" s="8">
        <f>+P15-T15</f>
        <v>15349.69</v>
      </c>
      <c r="Y15" s="8"/>
      <c r="Z15" s="14">
        <f>IF(T15=0,0,X15/T15)</f>
        <v>0</v>
      </c>
    </row>
    <row r="16" spans="1:26" s="70" customFormat="1" ht="15" hidden="1" customHeight="1" outlineLevel="1" x14ac:dyDescent="0.3">
      <c r="A16" s="48"/>
      <c r="B16" s="9" t="str">
        <f>CONCATENATE("          ","5053"," - ","PURCHASES @ COST-FOOD")</f>
        <v xml:space="preserve">          5053 - PURCHASES @ COST-FOOD</v>
      </c>
      <c r="C16" s="9"/>
      <c r="D16" s="3">
        <v>3942.78</v>
      </c>
      <c r="E16" s="3"/>
      <c r="F16" s="26">
        <f>IF(D$12=0,0,D16/D$12)</f>
        <v>0.37740244947186558</v>
      </c>
      <c r="G16" s="3"/>
      <c r="H16" s="3"/>
      <c r="I16" s="3"/>
      <c r="J16" s="26">
        <f>IF(H$12=0,0,H16/H$12)</f>
        <v>0</v>
      </c>
      <c r="K16" s="3"/>
      <c r="L16" s="3">
        <f>+D16-H16</f>
        <v>3942.78</v>
      </c>
      <c r="M16" s="3"/>
      <c r="N16" s="26">
        <f>IF(H16=0,0,L16/H16)</f>
        <v>0</v>
      </c>
      <c r="O16" s="9"/>
      <c r="P16" s="3">
        <v>15349.69</v>
      </c>
      <c r="Q16" s="3"/>
      <c r="R16" s="26">
        <f>IF(P$12=0,0,P16/P$12)</f>
        <v>0.43616478666848901</v>
      </c>
      <c r="S16" s="3"/>
      <c r="T16" s="3"/>
      <c r="U16" s="3"/>
      <c r="V16" s="26">
        <f>IF(T$12=0,0,T16/T$12)</f>
        <v>0</v>
      </c>
      <c r="W16" s="3"/>
      <c r="X16" s="3">
        <f>+P16-T16</f>
        <v>15349.69</v>
      </c>
      <c r="Y16" s="3"/>
      <c r="Z16" s="26">
        <f>IF(T16=0,0,X16/T16)</f>
        <v>0</v>
      </c>
    </row>
    <row r="17" spans="1:26" ht="15" customHeight="1" x14ac:dyDescent="0.3">
      <c r="A17" s="12"/>
      <c r="B17" s="13"/>
      <c r="C17" s="13"/>
      <c r="D17" s="4"/>
      <c r="E17" s="4"/>
      <c r="F17" s="10"/>
      <c r="G17" s="4"/>
      <c r="H17" s="4"/>
      <c r="I17" s="4"/>
      <c r="J17" s="10"/>
      <c r="K17" s="4"/>
      <c r="L17" s="4"/>
      <c r="M17" s="4"/>
      <c r="N17" s="10"/>
      <c r="O17" s="13"/>
      <c r="P17" s="4"/>
      <c r="Q17" s="4"/>
      <c r="R17" s="10"/>
      <c r="S17" s="4"/>
      <c r="T17" s="4"/>
      <c r="U17" s="4"/>
      <c r="V17" s="10"/>
      <c r="W17" s="4"/>
      <c r="X17" s="4"/>
      <c r="Y17" s="4"/>
      <c r="Z17" s="10"/>
    </row>
    <row r="18" spans="1:26" s="63" customFormat="1" ht="15" customHeight="1" x14ac:dyDescent="0.3">
      <c r="A18" s="13"/>
      <c r="B18" s="27" t="s">
        <v>289</v>
      </c>
      <c r="C18" s="27"/>
      <c r="D18" s="23">
        <f>D12-D15</f>
        <v>6504.369999999999</v>
      </c>
      <c r="E18" s="15"/>
      <c r="F18" s="22">
        <f>IF(D$12=0,0,D18/D$12)</f>
        <v>0.62259755052813437</v>
      </c>
      <c r="G18" s="15"/>
      <c r="H18" s="23">
        <f>H12-H15</f>
        <v>0</v>
      </c>
      <c r="I18" s="15"/>
      <c r="J18" s="22">
        <f>IF(H$12=0,0,H18/H$12)</f>
        <v>0</v>
      </c>
      <c r="K18" s="17"/>
      <c r="L18" s="23">
        <f>+D18-H18</f>
        <v>6504.369999999999</v>
      </c>
      <c r="M18" s="17"/>
      <c r="N18" s="22">
        <f>IF(H18=0,0,L18/H18)</f>
        <v>0</v>
      </c>
      <c r="O18" s="28"/>
      <c r="P18" s="23">
        <f>P12-P15</f>
        <v>19842.72</v>
      </c>
      <c r="Q18" s="15"/>
      <c r="R18" s="22">
        <f>IF(P$12=0,0,P18/P$12)</f>
        <v>0.56383521333151099</v>
      </c>
      <c r="S18" s="15"/>
      <c r="T18" s="23">
        <f>T12-T15</f>
        <v>0</v>
      </c>
      <c r="U18" s="15"/>
      <c r="V18" s="22">
        <f>IF(T$12=0,0,T18/T$12)</f>
        <v>0</v>
      </c>
      <c r="W18" s="17"/>
      <c r="X18" s="23">
        <f>+P18-T18</f>
        <v>19842.72</v>
      </c>
      <c r="Y18" s="17"/>
      <c r="Z18" s="22">
        <f>IF(T18=0,0,X18/T18)</f>
        <v>0</v>
      </c>
    </row>
    <row r="19" spans="1:26" ht="15" customHeight="1" x14ac:dyDescent="0.3">
      <c r="A19" s="12"/>
      <c r="B19" s="13"/>
      <c r="C19" s="12"/>
      <c r="D19" s="2"/>
      <c r="E19" s="2"/>
      <c r="F19" s="5"/>
      <c r="G19" s="2"/>
      <c r="H19" s="2"/>
      <c r="I19" s="2"/>
      <c r="J19" s="5"/>
      <c r="K19" s="2"/>
      <c r="L19" s="2"/>
      <c r="M19" s="2"/>
      <c r="N19" s="5"/>
      <c r="O19" s="36"/>
      <c r="P19" s="2"/>
      <c r="Q19" s="2"/>
      <c r="R19" s="5"/>
      <c r="S19" s="2"/>
      <c r="T19" s="2"/>
      <c r="U19" s="2"/>
      <c r="V19" s="5"/>
      <c r="W19" s="2"/>
      <c r="X19" s="2"/>
      <c r="Y19" s="2"/>
      <c r="Z19" s="5"/>
    </row>
    <row r="20" spans="1:26" s="63" customFormat="1" ht="15" customHeight="1" x14ac:dyDescent="0.3">
      <c r="A20" s="13"/>
      <c r="B20" s="28" t="s">
        <v>290</v>
      </c>
      <c r="C20" s="13"/>
      <c r="D20" s="24" cm="1">
        <f t="array" ref="D20">SUM(OSRRefD22x_0)</f>
        <v>5031.1100000000006</v>
      </c>
      <c r="E20" s="24"/>
      <c r="F20" s="34">
        <f t="shared" ref="F20:F34" si="0">IF(D$12=0,0,D20/D$12)</f>
        <v>0.4815772722704279</v>
      </c>
      <c r="G20" s="24"/>
      <c r="H20" s="24" cm="1">
        <f t="array" ref="H20">SUM(OSRRefH22x_0)</f>
        <v>1001</v>
      </c>
      <c r="I20" s="24"/>
      <c r="J20" s="34">
        <f t="shared" ref="J20:J34" si="1">IF(H$12=0,0,H20/H$12)</f>
        <v>0</v>
      </c>
      <c r="K20" s="8"/>
      <c r="L20" s="24">
        <f t="shared" ref="L20:L34" si="2">+D20-H20</f>
        <v>4030.1100000000006</v>
      </c>
      <c r="M20" s="8"/>
      <c r="N20" s="34">
        <f t="shared" ref="N20:N34" si="3">IF(H20=0,0,L20/H20)</f>
        <v>4.026083916083917</v>
      </c>
      <c r="O20" s="13"/>
      <c r="P20" s="24" cm="1">
        <f t="array" ref="P20">SUM(OSRRefP22x_0)</f>
        <v>28569.759999999995</v>
      </c>
      <c r="Q20" s="24"/>
      <c r="R20" s="34">
        <f t="shared" ref="R20:R34" si="4">IF(P$12=0,0,P20/P$12)</f>
        <v>0.8118159569066169</v>
      </c>
      <c r="S20" s="24"/>
      <c r="T20" s="24" cm="1">
        <f t="array" ref="T20">SUM(OSRRefT22x_0)</f>
        <v>12012</v>
      </c>
      <c r="U20" s="24"/>
      <c r="V20" s="34">
        <f t="shared" ref="V20:V34" si="5">IF(T$12=0,0,T20/T$12)</f>
        <v>0</v>
      </c>
      <c r="W20" s="8"/>
      <c r="X20" s="24">
        <f t="shared" ref="X20:X34" si="6">+P20-T20</f>
        <v>16557.759999999995</v>
      </c>
      <c r="Y20" s="8"/>
      <c r="Z20" s="34">
        <f t="shared" ref="Z20:Z34" si="7">IF(T20=0,0,X20/T20)</f>
        <v>1.378434898434898</v>
      </c>
    </row>
    <row r="21" spans="1:26" s="69" customFormat="1" ht="15" customHeight="1" outlineLevel="1" collapsed="1" x14ac:dyDescent="0.3">
      <c r="A21" s="20"/>
      <c r="B21" s="11" t="str">
        <f>CONCATENATE("     ","Bank/card Fees                                    ")</f>
        <v xml:space="preserve">     Bank/card Fees                                    </v>
      </c>
      <c r="C21" s="11"/>
      <c r="D21" s="2">
        <f>SUM(OSRRefD22_0x_0)</f>
        <v>286.07</v>
      </c>
      <c r="E21" s="2"/>
      <c r="F21" s="5">
        <f t="shared" si="0"/>
        <v>2.7382587595660059E-2</v>
      </c>
      <c r="G21" s="2"/>
      <c r="H21" s="2">
        <f>SUM(OSRRefH22_0x_0)</f>
        <v>0</v>
      </c>
      <c r="I21" s="2"/>
      <c r="J21" s="5">
        <f t="shared" si="1"/>
        <v>0</v>
      </c>
      <c r="K21" s="2"/>
      <c r="L21" s="2">
        <f t="shared" si="2"/>
        <v>286.07</v>
      </c>
      <c r="M21" s="2"/>
      <c r="N21" s="5">
        <f t="shared" si="3"/>
        <v>0</v>
      </c>
      <c r="O21" s="11"/>
      <c r="P21" s="2">
        <f>SUM(OSRRefP22_0x_0)</f>
        <v>857.03</v>
      </c>
      <c r="Q21" s="2"/>
      <c r="R21" s="5">
        <f t="shared" si="4"/>
        <v>2.4352694231511849E-2</v>
      </c>
      <c r="S21" s="2"/>
      <c r="T21" s="2">
        <f>SUM(OSRRefT22_0x_0)</f>
        <v>0</v>
      </c>
      <c r="U21" s="2"/>
      <c r="V21" s="5">
        <f t="shared" si="5"/>
        <v>0</v>
      </c>
      <c r="W21" s="2"/>
      <c r="X21" s="2">
        <f t="shared" si="6"/>
        <v>857.03</v>
      </c>
      <c r="Y21" s="2"/>
      <c r="Z21" s="5">
        <f t="shared" si="7"/>
        <v>0</v>
      </c>
    </row>
    <row r="22" spans="1:26" s="70" customFormat="1" ht="15" hidden="1" customHeight="1" outlineLevel="2" x14ac:dyDescent="0.3">
      <c r="A22" s="21"/>
      <c r="B22" s="9" t="str">
        <f>CONCATENATE("          ","6381"," - ","BANK/CREDIT CARD FEES")</f>
        <v xml:space="preserve">          6381 - BANK/CREDIT CARD FEES</v>
      </c>
      <c r="C22" s="9"/>
      <c r="D22" s="6">
        <v>286.07</v>
      </c>
      <c r="E22" s="3"/>
      <c r="F22" s="7">
        <f t="shared" si="0"/>
        <v>2.7382587595660059E-2</v>
      </c>
      <c r="G22" s="3"/>
      <c r="H22" s="6"/>
      <c r="I22" s="3"/>
      <c r="J22" s="7">
        <f t="shared" si="1"/>
        <v>0</v>
      </c>
      <c r="K22" s="3"/>
      <c r="L22" s="6">
        <f t="shared" si="2"/>
        <v>286.07</v>
      </c>
      <c r="M22" s="3"/>
      <c r="N22" s="7">
        <f t="shared" si="3"/>
        <v>0</v>
      </c>
      <c r="O22" s="9"/>
      <c r="P22" s="6">
        <v>857.03</v>
      </c>
      <c r="Q22" s="3"/>
      <c r="R22" s="7">
        <f t="shared" si="4"/>
        <v>2.4352694231511849E-2</v>
      </c>
      <c r="S22" s="3"/>
      <c r="T22" s="6"/>
      <c r="U22" s="3"/>
      <c r="V22" s="7">
        <f t="shared" si="5"/>
        <v>0</v>
      </c>
      <c r="W22" s="3"/>
      <c r="X22" s="6">
        <f t="shared" si="6"/>
        <v>857.03</v>
      </c>
      <c r="Y22" s="3"/>
      <c r="Z22" s="7">
        <f t="shared" si="7"/>
        <v>0</v>
      </c>
    </row>
    <row r="23" spans="1:26" s="69" customFormat="1" ht="15" customHeight="1" outlineLevel="1" collapsed="1" x14ac:dyDescent="0.3">
      <c r="A23" s="20"/>
      <c r="B23" s="11" t="str">
        <f>CONCATENATE("     ","Depreciation                                      ")</f>
        <v xml:space="preserve">     Depreciation                                      </v>
      </c>
      <c r="C23" s="11"/>
      <c r="D23" s="2">
        <f>SUM(OSRRefD22_1x_0)</f>
        <v>1000.95</v>
      </c>
      <c r="E23" s="2"/>
      <c r="F23" s="5">
        <f t="shared" si="0"/>
        <v>9.5810819218638585E-2</v>
      </c>
      <c r="G23" s="2"/>
      <c r="H23" s="2">
        <f>SUM(OSRRefH22_1x_0)</f>
        <v>1001</v>
      </c>
      <c r="I23" s="2"/>
      <c r="J23" s="5">
        <f t="shared" si="1"/>
        <v>0</v>
      </c>
      <c r="K23" s="2"/>
      <c r="L23" s="2">
        <f t="shared" si="2"/>
        <v>-4.9999999999954525E-2</v>
      </c>
      <c r="M23" s="2"/>
      <c r="N23" s="5">
        <f t="shared" si="3"/>
        <v>-4.9950049950004522E-5</v>
      </c>
      <c r="O23" s="11"/>
      <c r="P23" s="2">
        <f>SUM(OSRRefP22_1x_0)</f>
        <v>12010.96</v>
      </c>
      <c r="Q23" s="2"/>
      <c r="R23" s="5">
        <f t="shared" si="4"/>
        <v>0.34129404607413921</v>
      </c>
      <c r="S23" s="2"/>
      <c r="T23" s="2">
        <f>SUM(OSRRefT22_1x_0)</f>
        <v>12012</v>
      </c>
      <c r="U23" s="2"/>
      <c r="V23" s="5">
        <f t="shared" si="5"/>
        <v>0</v>
      </c>
      <c r="W23" s="2"/>
      <c r="X23" s="2">
        <f t="shared" si="6"/>
        <v>-1.0400000000008731</v>
      </c>
      <c r="Y23" s="2"/>
      <c r="Z23" s="5">
        <f t="shared" si="7"/>
        <v>-8.6580086580159262E-5</v>
      </c>
    </row>
    <row r="24" spans="1:26" s="70" customFormat="1" ht="15" hidden="1" customHeight="1" outlineLevel="2" x14ac:dyDescent="0.3">
      <c r="A24" s="21"/>
      <c r="B24" s="9" t="str">
        <f>CONCATENATE("          ","6322"," - ","EQUIPMENT DEPRECIATION EXPENSE")</f>
        <v xml:space="preserve">          6322 - EQUIPMENT DEPRECIATION EXPENSE</v>
      </c>
      <c r="C24" s="9"/>
      <c r="D24" s="6">
        <v>1000.95</v>
      </c>
      <c r="E24" s="3"/>
      <c r="F24" s="7">
        <f t="shared" si="0"/>
        <v>9.5810819218638585E-2</v>
      </c>
      <c r="G24" s="3"/>
      <c r="H24" s="6">
        <v>1001</v>
      </c>
      <c r="I24" s="3"/>
      <c r="J24" s="7">
        <f t="shared" si="1"/>
        <v>0</v>
      </c>
      <c r="K24" s="3"/>
      <c r="L24" s="6">
        <f t="shared" si="2"/>
        <v>-4.9999999999954525E-2</v>
      </c>
      <c r="M24" s="3"/>
      <c r="N24" s="7">
        <f t="shared" si="3"/>
        <v>-4.9950049950004522E-5</v>
      </c>
      <c r="O24" s="9"/>
      <c r="P24" s="6">
        <v>12010.96</v>
      </c>
      <c r="Q24" s="3"/>
      <c r="R24" s="7">
        <f t="shared" si="4"/>
        <v>0.34129404607413921</v>
      </c>
      <c r="S24" s="3"/>
      <c r="T24" s="6">
        <v>12012</v>
      </c>
      <c r="U24" s="3"/>
      <c r="V24" s="7">
        <f t="shared" si="5"/>
        <v>0</v>
      </c>
      <c r="W24" s="3"/>
      <c r="X24" s="6">
        <f t="shared" si="6"/>
        <v>-1.0400000000008731</v>
      </c>
      <c r="Y24" s="3"/>
      <c r="Z24" s="7">
        <f t="shared" si="7"/>
        <v>-8.6580086580159262E-5</v>
      </c>
    </row>
    <row r="25" spans="1:26" s="69" customFormat="1" ht="15" customHeight="1" outlineLevel="1" collapsed="1" x14ac:dyDescent="0.3">
      <c r="A25" s="20"/>
      <c r="B25" s="11" t="str">
        <f>CONCATENATE("     ","General                                           ")</f>
        <v xml:space="preserve">     General                                           </v>
      </c>
      <c r="C25" s="11"/>
      <c r="D25" s="2">
        <f>SUM(OSRRefD22_2x_0)</f>
        <v>1000</v>
      </c>
      <c r="E25" s="2"/>
      <c r="F25" s="5">
        <f t="shared" si="0"/>
        <v>9.5719885327577386E-2</v>
      </c>
      <c r="G25" s="2"/>
      <c r="H25" s="2">
        <f>SUM(OSRRefH22_2x_0)</f>
        <v>0</v>
      </c>
      <c r="I25" s="2"/>
      <c r="J25" s="5">
        <f t="shared" si="1"/>
        <v>0</v>
      </c>
      <c r="K25" s="2"/>
      <c r="L25" s="2">
        <f t="shared" si="2"/>
        <v>1000</v>
      </c>
      <c r="M25" s="2"/>
      <c r="N25" s="5">
        <f t="shared" si="3"/>
        <v>0</v>
      </c>
      <c r="O25" s="11"/>
      <c r="P25" s="2">
        <f>SUM(OSRRefP22_2x_0)</f>
        <v>6655</v>
      </c>
      <c r="Q25" s="2"/>
      <c r="R25" s="5">
        <f t="shared" si="4"/>
        <v>0.18910327539375676</v>
      </c>
      <c r="S25" s="2"/>
      <c r="T25" s="2">
        <f>SUM(OSRRefT22_2x_0)</f>
        <v>0</v>
      </c>
      <c r="U25" s="2"/>
      <c r="V25" s="5">
        <f t="shared" si="5"/>
        <v>0</v>
      </c>
      <c r="W25" s="2"/>
      <c r="X25" s="2">
        <f t="shared" si="6"/>
        <v>6655</v>
      </c>
      <c r="Y25" s="2"/>
      <c r="Z25" s="5">
        <f t="shared" si="7"/>
        <v>0</v>
      </c>
    </row>
    <row r="26" spans="1:26" s="70" customFormat="1" ht="15" hidden="1" customHeight="1" outlineLevel="2" x14ac:dyDescent="0.3">
      <c r="A26" s="21"/>
      <c r="B26" s="9" t="str">
        <f>CONCATENATE("          ","6279"," - ","GENERAL EXPENSE")</f>
        <v xml:space="preserve">          6279 - GENERAL EXPENSE</v>
      </c>
      <c r="C26" s="9"/>
      <c r="D26" s="6">
        <v>1000</v>
      </c>
      <c r="E26" s="3"/>
      <c r="F26" s="7">
        <f t="shared" si="0"/>
        <v>9.5719885327577386E-2</v>
      </c>
      <c r="G26" s="3"/>
      <c r="H26" s="6"/>
      <c r="I26" s="3"/>
      <c r="J26" s="7">
        <f t="shared" si="1"/>
        <v>0</v>
      </c>
      <c r="K26" s="3"/>
      <c r="L26" s="6">
        <f t="shared" si="2"/>
        <v>1000</v>
      </c>
      <c r="M26" s="3"/>
      <c r="N26" s="7">
        <f t="shared" si="3"/>
        <v>0</v>
      </c>
      <c r="O26" s="9"/>
      <c r="P26" s="6">
        <v>6655</v>
      </c>
      <c r="Q26" s="3"/>
      <c r="R26" s="7">
        <f t="shared" si="4"/>
        <v>0.18910327539375676</v>
      </c>
      <c r="S26" s="3"/>
      <c r="T26" s="6"/>
      <c r="U26" s="3"/>
      <c r="V26" s="7">
        <f t="shared" si="5"/>
        <v>0</v>
      </c>
      <c r="W26" s="3"/>
      <c r="X26" s="6">
        <f t="shared" si="6"/>
        <v>6655</v>
      </c>
      <c r="Y26" s="3"/>
      <c r="Z26" s="7">
        <f t="shared" si="7"/>
        <v>0</v>
      </c>
    </row>
    <row r="27" spans="1:26" s="69" customFormat="1" ht="15" customHeight="1" outlineLevel="1" collapsed="1" x14ac:dyDescent="0.3">
      <c r="A27" s="20"/>
      <c r="B27" s="11" t="str">
        <f>CONCATENATE("     ","Royalty &amp; Commissions                             ")</f>
        <v xml:space="preserve">     Royalty &amp; Commissions                             </v>
      </c>
      <c r="C27" s="11"/>
      <c r="D27" s="2">
        <f>SUM(OSRRefD22_3x_0)</f>
        <v>2013.15</v>
      </c>
      <c r="E27" s="2"/>
      <c r="F27" s="5">
        <f t="shared" si="0"/>
        <v>0.19269848714721241</v>
      </c>
      <c r="G27" s="2"/>
      <c r="H27" s="2">
        <f>SUM(OSRRefH22_3x_0)</f>
        <v>0</v>
      </c>
      <c r="I27" s="2"/>
      <c r="J27" s="5">
        <f t="shared" si="1"/>
        <v>0</v>
      </c>
      <c r="K27" s="2"/>
      <c r="L27" s="2">
        <f t="shared" si="2"/>
        <v>2013.15</v>
      </c>
      <c r="M27" s="2"/>
      <c r="N27" s="5">
        <f t="shared" si="3"/>
        <v>0</v>
      </c>
      <c r="O27" s="11"/>
      <c r="P27" s="2">
        <f>SUM(OSRRefP22_3x_0)</f>
        <v>8199.57</v>
      </c>
      <c r="Q27" s="2"/>
      <c r="R27" s="5">
        <f t="shared" si="4"/>
        <v>0.23299256856805201</v>
      </c>
      <c r="S27" s="2"/>
      <c r="T27" s="2">
        <f>SUM(OSRRefT22_3x_0)</f>
        <v>0</v>
      </c>
      <c r="U27" s="2"/>
      <c r="V27" s="5">
        <f t="shared" si="5"/>
        <v>0</v>
      </c>
      <c r="W27" s="2"/>
      <c r="X27" s="2">
        <f t="shared" si="6"/>
        <v>8199.57</v>
      </c>
      <c r="Y27" s="2"/>
      <c r="Z27" s="5">
        <f t="shared" si="7"/>
        <v>0</v>
      </c>
    </row>
    <row r="28" spans="1:26" s="70" customFormat="1" ht="15" hidden="1" customHeight="1" outlineLevel="2" x14ac:dyDescent="0.3">
      <c r="A28" s="21"/>
      <c r="B28" s="9" t="str">
        <f>CONCATENATE("          ","6254"," - ","ROYALTY &amp; COMMISSIONS")</f>
        <v xml:space="preserve">          6254 - ROYALTY &amp; COMMISSIONS</v>
      </c>
      <c r="C28" s="9"/>
      <c r="D28" s="6">
        <v>2013.15</v>
      </c>
      <c r="E28" s="3"/>
      <c r="F28" s="7">
        <f t="shared" si="0"/>
        <v>0.19269848714721241</v>
      </c>
      <c r="G28" s="3"/>
      <c r="H28" s="6"/>
      <c r="I28" s="3"/>
      <c r="J28" s="7">
        <f t="shared" si="1"/>
        <v>0</v>
      </c>
      <c r="K28" s="3"/>
      <c r="L28" s="6">
        <f t="shared" si="2"/>
        <v>2013.15</v>
      </c>
      <c r="M28" s="3"/>
      <c r="N28" s="7">
        <f t="shared" si="3"/>
        <v>0</v>
      </c>
      <c r="O28" s="9"/>
      <c r="P28" s="6">
        <v>8199.57</v>
      </c>
      <c r="Q28" s="3"/>
      <c r="R28" s="7">
        <f t="shared" si="4"/>
        <v>0.23299256856805201</v>
      </c>
      <c r="S28" s="3"/>
      <c r="T28" s="6"/>
      <c r="U28" s="3"/>
      <c r="V28" s="7">
        <f t="shared" si="5"/>
        <v>0</v>
      </c>
      <c r="W28" s="3"/>
      <c r="X28" s="6">
        <f t="shared" si="6"/>
        <v>8199.57</v>
      </c>
      <c r="Y28" s="3"/>
      <c r="Z28" s="7">
        <f t="shared" si="7"/>
        <v>0</v>
      </c>
    </row>
    <row r="29" spans="1:26" s="69" customFormat="1" ht="15" customHeight="1" outlineLevel="1" collapsed="1" x14ac:dyDescent="0.3">
      <c r="A29" s="20"/>
      <c r="B29" s="11" t="str">
        <f>CONCATENATE("     ","Services                                          ")</f>
        <v xml:space="preserve">     Services                                          </v>
      </c>
      <c r="C29" s="11"/>
      <c r="D29" s="2">
        <f>SUM(OSRRefD22_4x_0)</f>
        <v>0</v>
      </c>
      <c r="E29" s="2"/>
      <c r="F29" s="5">
        <f t="shared" si="0"/>
        <v>0</v>
      </c>
      <c r="G29" s="2"/>
      <c r="H29" s="2">
        <f>SUM(OSRRefH22_4x_0)</f>
        <v>0</v>
      </c>
      <c r="I29" s="2"/>
      <c r="J29" s="5">
        <f t="shared" si="1"/>
        <v>0</v>
      </c>
      <c r="K29" s="2"/>
      <c r="L29" s="2">
        <f t="shared" si="2"/>
        <v>0</v>
      </c>
      <c r="M29" s="2"/>
      <c r="N29" s="5">
        <f t="shared" si="3"/>
        <v>0</v>
      </c>
      <c r="O29" s="11"/>
      <c r="P29" s="2">
        <f>SUM(OSRRefP22_4x_0)</f>
        <v>0</v>
      </c>
      <c r="Q29" s="2"/>
      <c r="R29" s="5">
        <f t="shared" si="4"/>
        <v>0</v>
      </c>
      <c r="S29" s="2"/>
      <c r="T29" s="2">
        <f>SUM(OSRRefT22_4x_0)</f>
        <v>0</v>
      </c>
      <c r="U29" s="2"/>
      <c r="V29" s="5">
        <f t="shared" si="5"/>
        <v>0</v>
      </c>
      <c r="W29" s="2"/>
      <c r="X29" s="2">
        <f t="shared" si="6"/>
        <v>0</v>
      </c>
      <c r="Y29" s="2"/>
      <c r="Z29" s="5">
        <f t="shared" si="7"/>
        <v>0</v>
      </c>
    </row>
    <row r="30" spans="1:26" s="70" customFormat="1" ht="15" hidden="1" customHeight="1" outlineLevel="2" x14ac:dyDescent="0.3">
      <c r="A30" s="21"/>
      <c r="B30" s="9" t="str">
        <f>CONCATENATE("          ","6284"," - ","TRASH REMOVAL EXPENSE")</f>
        <v xml:space="preserve">          6284 - TRASH REMOVAL EXPENSE</v>
      </c>
      <c r="C30" s="9"/>
      <c r="D30" s="6"/>
      <c r="E30" s="3"/>
      <c r="F30" s="7">
        <f t="shared" si="0"/>
        <v>0</v>
      </c>
      <c r="G30" s="3"/>
      <c r="H30" s="6"/>
      <c r="I30" s="3"/>
      <c r="J30" s="7">
        <f t="shared" si="1"/>
        <v>0</v>
      </c>
      <c r="K30" s="3"/>
      <c r="L30" s="6">
        <f t="shared" si="2"/>
        <v>0</v>
      </c>
      <c r="M30" s="3"/>
      <c r="N30" s="7">
        <f t="shared" si="3"/>
        <v>0</v>
      </c>
      <c r="O30" s="9"/>
      <c r="P30" s="6"/>
      <c r="Q30" s="3"/>
      <c r="R30" s="7">
        <f t="shared" si="4"/>
        <v>0</v>
      </c>
      <c r="S30" s="3"/>
      <c r="T30" s="6">
        <v>0</v>
      </c>
      <c r="U30" s="3"/>
      <c r="V30" s="7">
        <f t="shared" si="5"/>
        <v>0</v>
      </c>
      <c r="W30" s="3"/>
      <c r="X30" s="6">
        <f t="shared" si="6"/>
        <v>0</v>
      </c>
      <c r="Y30" s="3"/>
      <c r="Z30" s="7">
        <f t="shared" si="7"/>
        <v>0</v>
      </c>
    </row>
    <row r="31" spans="1:26" s="69" customFormat="1" ht="15" customHeight="1" outlineLevel="1" collapsed="1" x14ac:dyDescent="0.3">
      <c r="A31" s="20"/>
      <c r="B31" s="11" t="str">
        <f>CONCATENATE("     ","Supplies                                          ")</f>
        <v xml:space="preserve">     Supplies                                          </v>
      </c>
      <c r="C31" s="11"/>
      <c r="D31" s="2">
        <f>SUM(OSRRefD22_5x_0)</f>
        <v>730.94</v>
      </c>
      <c r="E31" s="2"/>
      <c r="F31" s="5">
        <f t="shared" si="0"/>
        <v>6.9965492981339417E-2</v>
      </c>
      <c r="G31" s="2"/>
      <c r="H31" s="2">
        <f>SUM(OSRRefH22_5x_0)</f>
        <v>0</v>
      </c>
      <c r="I31" s="2"/>
      <c r="J31" s="5">
        <f t="shared" si="1"/>
        <v>0</v>
      </c>
      <c r="K31" s="2"/>
      <c r="L31" s="2">
        <f t="shared" si="2"/>
        <v>730.94</v>
      </c>
      <c r="M31" s="2"/>
      <c r="N31" s="5">
        <f t="shared" si="3"/>
        <v>0</v>
      </c>
      <c r="O31" s="11"/>
      <c r="P31" s="2">
        <f>SUM(OSRRefP22_5x_0)</f>
        <v>847.2</v>
      </c>
      <c r="Q31" s="2"/>
      <c r="R31" s="5">
        <f t="shared" si="4"/>
        <v>2.4073372639157136E-2</v>
      </c>
      <c r="S31" s="2"/>
      <c r="T31" s="2">
        <f>SUM(OSRRefT22_5x_0)</f>
        <v>0</v>
      </c>
      <c r="U31" s="2"/>
      <c r="V31" s="5">
        <f t="shared" si="5"/>
        <v>0</v>
      </c>
      <c r="W31" s="2"/>
      <c r="X31" s="2">
        <f t="shared" si="6"/>
        <v>847.2</v>
      </c>
      <c r="Y31" s="2"/>
      <c r="Z31" s="5">
        <f t="shared" si="7"/>
        <v>0</v>
      </c>
    </row>
    <row r="32" spans="1:26" s="70" customFormat="1" ht="15" hidden="1" customHeight="1" outlineLevel="2" x14ac:dyDescent="0.3">
      <c r="A32" s="21"/>
      <c r="B32" s="9" t="str">
        <f>CONCATENATE("          ","6239"," - ","KITCHEN SUPPLIES")</f>
        <v xml:space="preserve">          6239 - KITCHEN SUPPLIES</v>
      </c>
      <c r="C32" s="9"/>
      <c r="D32" s="6">
        <v>132.30000000000001</v>
      </c>
      <c r="E32" s="3"/>
      <c r="F32" s="7">
        <f t="shared" si="0"/>
        <v>1.2663740828838489E-2</v>
      </c>
      <c r="G32" s="3"/>
      <c r="H32" s="6"/>
      <c r="I32" s="3"/>
      <c r="J32" s="7">
        <f t="shared" si="1"/>
        <v>0</v>
      </c>
      <c r="K32" s="3"/>
      <c r="L32" s="6">
        <f t="shared" si="2"/>
        <v>132.30000000000001</v>
      </c>
      <c r="M32" s="3"/>
      <c r="N32" s="7">
        <f t="shared" si="3"/>
        <v>0</v>
      </c>
      <c r="O32" s="9"/>
      <c r="P32" s="6">
        <v>132.30000000000001</v>
      </c>
      <c r="Q32" s="3"/>
      <c r="R32" s="7">
        <f t="shared" si="4"/>
        <v>3.7593333335227681E-3</v>
      </c>
      <c r="S32" s="3"/>
      <c r="T32" s="6"/>
      <c r="U32" s="3"/>
      <c r="V32" s="7">
        <f t="shared" si="5"/>
        <v>0</v>
      </c>
      <c r="W32" s="3"/>
      <c r="X32" s="6">
        <f t="shared" si="6"/>
        <v>132.30000000000001</v>
      </c>
      <c r="Y32" s="3"/>
      <c r="Z32" s="7">
        <f t="shared" si="7"/>
        <v>0</v>
      </c>
    </row>
    <row r="33" spans="1:26" s="70" customFormat="1" ht="15" hidden="1" customHeight="1" outlineLevel="2" x14ac:dyDescent="0.3">
      <c r="A33" s="21"/>
      <c r="B33" s="9" t="str">
        <f>CONCATENATE("          ","6243"," - ","PAPER SUPPLIES")</f>
        <v xml:space="preserve">          6243 - PAPER SUPPLIES</v>
      </c>
      <c r="C33" s="9"/>
      <c r="D33" s="6"/>
      <c r="E33" s="3"/>
      <c r="F33" s="7">
        <f t="shared" si="0"/>
        <v>0</v>
      </c>
      <c r="G33" s="3"/>
      <c r="H33" s="6"/>
      <c r="I33" s="3"/>
      <c r="J33" s="7">
        <f t="shared" si="1"/>
        <v>0</v>
      </c>
      <c r="K33" s="3"/>
      <c r="L33" s="6">
        <f t="shared" si="2"/>
        <v>0</v>
      </c>
      <c r="M33" s="3"/>
      <c r="N33" s="7">
        <f t="shared" si="3"/>
        <v>0</v>
      </c>
      <c r="O33" s="9"/>
      <c r="P33" s="6">
        <v>116.26</v>
      </c>
      <c r="Q33" s="3"/>
      <c r="R33" s="7">
        <f t="shared" si="4"/>
        <v>3.3035532377578003E-3</v>
      </c>
      <c r="S33" s="3"/>
      <c r="T33" s="6"/>
      <c r="U33" s="3"/>
      <c r="V33" s="7">
        <f t="shared" si="5"/>
        <v>0</v>
      </c>
      <c r="W33" s="3"/>
      <c r="X33" s="6">
        <f t="shared" si="6"/>
        <v>116.26</v>
      </c>
      <c r="Y33" s="3"/>
      <c r="Z33" s="7">
        <f t="shared" si="7"/>
        <v>0</v>
      </c>
    </row>
    <row r="34" spans="1:26" s="70" customFormat="1" ht="15" hidden="1" customHeight="1" outlineLevel="2" x14ac:dyDescent="0.3">
      <c r="A34" s="21"/>
      <c r="B34" s="9" t="str">
        <f>CONCATENATE("          ","6245"," - ","PRINTING")</f>
        <v xml:space="preserve">          6245 - PRINTING</v>
      </c>
      <c r="C34" s="9"/>
      <c r="D34" s="6">
        <v>598.64</v>
      </c>
      <c r="E34" s="3"/>
      <c r="F34" s="7">
        <f t="shared" si="0"/>
        <v>5.7301752152500919E-2</v>
      </c>
      <c r="G34" s="3"/>
      <c r="H34" s="6"/>
      <c r="I34" s="3"/>
      <c r="J34" s="7">
        <f t="shared" si="1"/>
        <v>0</v>
      </c>
      <c r="K34" s="3"/>
      <c r="L34" s="6">
        <f t="shared" si="2"/>
        <v>598.64</v>
      </c>
      <c r="M34" s="3"/>
      <c r="N34" s="7">
        <f t="shared" si="3"/>
        <v>0</v>
      </c>
      <c r="O34" s="9"/>
      <c r="P34" s="6">
        <v>598.64</v>
      </c>
      <c r="Q34" s="3"/>
      <c r="R34" s="7">
        <f t="shared" si="4"/>
        <v>1.7010486067876567E-2</v>
      </c>
      <c r="S34" s="3"/>
      <c r="T34" s="6"/>
      <c r="U34" s="3"/>
      <c r="V34" s="7">
        <f t="shared" si="5"/>
        <v>0</v>
      </c>
      <c r="W34" s="3"/>
      <c r="X34" s="6">
        <f t="shared" si="6"/>
        <v>598.64</v>
      </c>
      <c r="Y34" s="3"/>
      <c r="Z34" s="7">
        <f t="shared" si="7"/>
        <v>0</v>
      </c>
    </row>
    <row r="35" spans="1:26" s="65" customFormat="1" ht="15" customHeight="1" x14ac:dyDescent="0.3">
      <c r="A35" s="36"/>
      <c r="B35" s="36"/>
      <c r="C35" s="36"/>
      <c r="D35" s="2"/>
      <c r="E35" s="2"/>
      <c r="F35" s="5"/>
      <c r="G35" s="2"/>
      <c r="H35" s="2"/>
      <c r="I35" s="2"/>
      <c r="J35" s="5"/>
      <c r="K35" s="2"/>
      <c r="L35" s="2"/>
      <c r="M35" s="2"/>
      <c r="N35" s="5"/>
      <c r="O35" s="36"/>
      <c r="P35" s="2"/>
      <c r="Q35" s="2"/>
      <c r="R35" s="5"/>
      <c r="S35" s="2"/>
      <c r="T35" s="2"/>
      <c r="U35" s="2"/>
      <c r="V35" s="5"/>
      <c r="W35" s="2"/>
      <c r="X35" s="2"/>
      <c r="Y35" s="2"/>
      <c r="Z35" s="5"/>
    </row>
    <row r="36" spans="1:26" s="63" customFormat="1" ht="15" customHeight="1" x14ac:dyDescent="0.3">
      <c r="A36" s="13"/>
      <c r="B36" s="28" t="s">
        <v>291</v>
      </c>
      <c r="C36" s="13"/>
      <c r="D36" s="8">
        <f>SUM(0)</f>
        <v>0</v>
      </c>
      <c r="E36" s="8"/>
      <c r="F36" s="14">
        <f>IF(D$12=0,0,D36/D$12)</f>
        <v>0</v>
      </c>
      <c r="G36" s="8"/>
      <c r="H36" s="8">
        <f>SUM(0)</f>
        <v>0</v>
      </c>
      <c r="I36" s="8"/>
      <c r="J36" s="14">
        <f>IF(H$12=0,0,H36/H$12)</f>
        <v>0</v>
      </c>
      <c r="K36" s="8"/>
      <c r="L36" s="8">
        <f>+D36-H36</f>
        <v>0</v>
      </c>
      <c r="M36" s="8"/>
      <c r="N36" s="14">
        <f>IF(H36=0,0,L36/H36)</f>
        <v>0</v>
      </c>
      <c r="O36" s="13"/>
      <c r="P36" s="8">
        <f>SUM(0)</f>
        <v>0</v>
      </c>
      <c r="Q36" s="8"/>
      <c r="R36" s="14">
        <f>IF(P$12=0,0,P36/P$12)</f>
        <v>0</v>
      </c>
      <c r="S36" s="8"/>
      <c r="T36" s="8">
        <f>SUM(0)</f>
        <v>0</v>
      </c>
      <c r="U36" s="8"/>
      <c r="V36" s="14">
        <f>IF(T$12=0,0,T36/T$12)</f>
        <v>0</v>
      </c>
      <c r="W36" s="8"/>
      <c r="X36" s="8">
        <f>+P36-T36</f>
        <v>0</v>
      </c>
      <c r="Y36" s="8"/>
      <c r="Z36" s="14">
        <f>IF(T36=0,0,X36/T36)</f>
        <v>0</v>
      </c>
    </row>
    <row r="37" spans="1:26" ht="15" customHeight="1" x14ac:dyDescent="0.3">
      <c r="A37" s="12"/>
      <c r="B37" s="13"/>
      <c r="C37" s="13"/>
      <c r="D37" s="4"/>
      <c r="E37" s="4"/>
      <c r="F37" s="10"/>
      <c r="G37" s="4"/>
      <c r="H37" s="4"/>
      <c r="I37" s="4"/>
      <c r="J37" s="10"/>
      <c r="K37" s="4"/>
      <c r="L37" s="4"/>
      <c r="M37" s="4"/>
      <c r="N37" s="10"/>
      <c r="O37" s="13"/>
      <c r="P37" s="4"/>
      <c r="Q37" s="4"/>
      <c r="R37" s="10"/>
      <c r="S37" s="4"/>
      <c r="T37" s="4"/>
      <c r="U37" s="4"/>
      <c r="V37" s="10"/>
      <c r="W37" s="4"/>
      <c r="X37" s="4"/>
      <c r="Y37" s="4"/>
      <c r="Z37" s="10"/>
    </row>
    <row r="38" spans="1:26" s="63" customFormat="1" ht="15" customHeight="1" x14ac:dyDescent="0.3">
      <c r="A38" s="13"/>
      <c r="B38" s="27" t="s">
        <v>292</v>
      </c>
      <c r="C38" s="27"/>
      <c r="D38" s="23">
        <f>+D18-D20+D36</f>
        <v>1473.2599999999984</v>
      </c>
      <c r="E38" s="15"/>
      <c r="F38" s="22">
        <f>IF(D$12=0,0,D38/D$12)</f>
        <v>0.14102027825770649</v>
      </c>
      <c r="G38" s="15"/>
      <c r="H38" s="23">
        <f>+H18-H20+H36</f>
        <v>-1001</v>
      </c>
      <c r="I38" s="15"/>
      <c r="J38" s="22">
        <f>IF(H$12=0,0,H38/H$12)</f>
        <v>0</v>
      </c>
      <c r="K38" s="17"/>
      <c r="L38" s="23">
        <f>+D38-H38</f>
        <v>2474.2599999999984</v>
      </c>
      <c r="M38" s="17"/>
      <c r="N38" s="22">
        <f>IF(H38=0,0,L38/H38)</f>
        <v>-2.4717882117882102</v>
      </c>
      <c r="O38" s="28"/>
      <c r="P38" s="23">
        <f>+P18-P20+P36</f>
        <v>-8727.0399999999936</v>
      </c>
      <c r="Q38" s="15"/>
      <c r="R38" s="22">
        <f>IF(P$12=0,0,P38/P$12)</f>
        <v>-0.24798074357510591</v>
      </c>
      <c r="S38" s="15"/>
      <c r="T38" s="23">
        <f>+T18-T20+T36</f>
        <v>-12012</v>
      </c>
      <c r="U38" s="15"/>
      <c r="V38" s="22">
        <f>IF(T$12=0,0,T38/T$12)</f>
        <v>0</v>
      </c>
      <c r="W38" s="17"/>
      <c r="X38" s="23">
        <f>+P38-T38</f>
        <v>3284.9600000000064</v>
      </c>
      <c r="Y38" s="17"/>
      <c r="Z38" s="22">
        <f>IF(T38=0,0,X38/T38)</f>
        <v>-0.27347319347319399</v>
      </c>
    </row>
    <row r="39" spans="1:26" ht="15" customHeight="1" x14ac:dyDescent="0.3">
      <c r="A39" s="12"/>
      <c r="B39" s="13"/>
      <c r="C39" s="12"/>
      <c r="D39" s="4"/>
      <c r="E39" s="4"/>
      <c r="F39" s="10"/>
      <c r="G39" s="4"/>
      <c r="H39" s="4"/>
      <c r="I39" s="4"/>
      <c r="J39" s="10"/>
      <c r="K39" s="4"/>
      <c r="L39" s="4"/>
      <c r="M39" s="4"/>
      <c r="N39" s="10"/>
      <c r="P39" s="4"/>
      <c r="Q39" s="4"/>
      <c r="R39" s="10"/>
      <c r="S39" s="4"/>
      <c r="T39" s="4"/>
      <c r="U39" s="4"/>
      <c r="V39" s="10"/>
      <c r="W39" s="4"/>
      <c r="X39" s="4"/>
      <c r="Y39" s="4"/>
      <c r="Z39" s="10"/>
    </row>
    <row r="40" spans="1:26" s="63" customFormat="1" ht="15" customHeight="1" x14ac:dyDescent="0.3">
      <c r="A40" s="49"/>
      <c r="B40" s="13" t="s">
        <v>293</v>
      </c>
      <c r="C40" s="13"/>
      <c r="D40" s="8">
        <v>-6839.28</v>
      </c>
      <c r="E40" s="8"/>
      <c r="F40" s="14">
        <f>IF(D$12=0,0,D40/D$12)</f>
        <v>-0.65465509732319338</v>
      </c>
      <c r="G40" s="8"/>
      <c r="H40" s="8"/>
      <c r="I40" s="8"/>
      <c r="J40" s="14">
        <f>IF(H$12=0,0,H40/H$12)</f>
        <v>0</v>
      </c>
      <c r="K40" s="8"/>
      <c r="L40" s="8">
        <f>+D40-H40</f>
        <v>-6839.28</v>
      </c>
      <c r="M40" s="8"/>
      <c r="N40" s="14">
        <f>IF(H40=0,0,L40/H40)</f>
        <v>0</v>
      </c>
      <c r="O40" s="13"/>
      <c r="P40" s="8">
        <v>-4057.29</v>
      </c>
      <c r="Q40" s="8"/>
      <c r="R40" s="14">
        <f>IF(P$12=0,0,P40/P$12)</f>
        <v>-0.11528877959764619</v>
      </c>
      <c r="S40" s="8"/>
      <c r="T40" s="8"/>
      <c r="U40" s="8"/>
      <c r="V40" s="14">
        <f>IF(T$12=0,0,T40/T$12)</f>
        <v>0</v>
      </c>
      <c r="W40" s="8"/>
      <c r="X40" s="8">
        <f>+P40-T40</f>
        <v>-4057.29</v>
      </c>
      <c r="Y40" s="8"/>
      <c r="Z40" s="14">
        <f>IF(T40=0,0,X40/T40)</f>
        <v>0</v>
      </c>
    </row>
    <row r="41" spans="1:26" ht="15" customHeight="1" x14ac:dyDescent="0.3">
      <c r="A41" s="12"/>
      <c r="B41" s="13"/>
      <c r="C41" s="13"/>
      <c r="D41" s="4"/>
      <c r="E41" s="4"/>
      <c r="F41" s="10"/>
      <c r="G41" s="4"/>
      <c r="H41" s="4"/>
      <c r="I41" s="4"/>
      <c r="J41" s="10"/>
      <c r="K41" s="4"/>
      <c r="L41" s="4"/>
      <c r="M41" s="4"/>
      <c r="N41" s="10"/>
      <c r="O41" s="13"/>
      <c r="P41" s="4"/>
      <c r="Q41" s="4"/>
      <c r="R41" s="10"/>
      <c r="S41" s="4"/>
      <c r="T41" s="4"/>
      <c r="U41" s="4"/>
      <c r="V41" s="10"/>
      <c r="W41" s="4"/>
      <c r="X41" s="4"/>
      <c r="Y41" s="4"/>
      <c r="Z41" s="10"/>
    </row>
    <row r="42" spans="1:26" s="63" customFormat="1" ht="15" customHeight="1" x14ac:dyDescent="0.3">
      <c r="A42" s="13"/>
      <c r="B42" s="27" t="s">
        <v>294</v>
      </c>
      <c r="C42" s="27"/>
      <c r="D42" s="30">
        <f>+D38-D40</f>
        <v>8312.5399999999972</v>
      </c>
      <c r="E42" s="15"/>
      <c r="F42" s="35">
        <f>IF(D$12=0,0,D42/D$12)</f>
        <v>0.79567537558089985</v>
      </c>
      <c r="G42" s="15"/>
      <c r="H42" s="30">
        <f>+H38-H40</f>
        <v>-1001</v>
      </c>
      <c r="I42" s="15"/>
      <c r="J42" s="35">
        <f>IF(H$12=0,0,H42/H$12)</f>
        <v>0</v>
      </c>
      <c r="K42" s="17"/>
      <c r="L42" s="30">
        <f>D42-H42</f>
        <v>9313.5399999999972</v>
      </c>
      <c r="M42" s="17"/>
      <c r="N42" s="35">
        <f>IF(H42=0,0,L42/H42)</f>
        <v>-9.3042357642357612</v>
      </c>
      <c r="O42" s="28"/>
      <c r="P42" s="30">
        <f>+P38-P40</f>
        <v>-4669.7499999999936</v>
      </c>
      <c r="Q42" s="15"/>
      <c r="R42" s="35">
        <f>IF(P$12=0,0,P42/P$12)</f>
        <v>-0.13269196397745972</v>
      </c>
      <c r="S42" s="15"/>
      <c r="T42" s="30">
        <f>+T38-T40</f>
        <v>-12012</v>
      </c>
      <c r="U42" s="15"/>
      <c r="V42" s="35">
        <f>IF(T$12=0,0,T42/T$12)</f>
        <v>0</v>
      </c>
      <c r="W42" s="17"/>
      <c r="X42" s="30">
        <f>P42-T42</f>
        <v>7342.2500000000064</v>
      </c>
      <c r="Y42" s="17"/>
      <c r="Z42" s="35">
        <f>IF(T42=0,0,X42/T42)</f>
        <v>-0.61124292374292433</v>
      </c>
    </row>
    <row r="43" spans="1:26" ht="15" customHeight="1" x14ac:dyDescent="0.3">
      <c r="A43" s="12"/>
      <c r="B43" s="12"/>
      <c r="C43" s="12"/>
      <c r="D43" s="4"/>
      <c r="E43" s="4"/>
      <c r="F43" s="10"/>
      <c r="G43" s="4"/>
      <c r="H43" s="4"/>
      <c r="I43" s="4"/>
      <c r="J43" s="10"/>
      <c r="K43" s="4"/>
      <c r="L43" s="4"/>
      <c r="M43" s="4"/>
      <c r="N43" s="10"/>
      <c r="P43" s="4"/>
      <c r="Q43" s="4"/>
      <c r="R43" s="10"/>
      <c r="S43" s="4"/>
      <c r="T43" s="4"/>
      <c r="U43" s="4"/>
      <c r="V43" s="10"/>
      <c r="W43" s="4"/>
      <c r="X43" s="4"/>
      <c r="Y43" s="4"/>
      <c r="Z43" s="10"/>
    </row>
    <row r="44" spans="1:26" ht="15" customHeight="1" x14ac:dyDescent="0.3">
      <c r="A44" s="12"/>
      <c r="B44" s="12"/>
      <c r="C44" s="12"/>
      <c r="D44" s="4"/>
      <c r="E44" s="4"/>
      <c r="F44" s="10"/>
      <c r="G44" s="4"/>
      <c r="H44" s="4"/>
      <c r="I44" s="4"/>
      <c r="J44" s="10"/>
      <c r="K44" s="4"/>
      <c r="L44" s="4"/>
      <c r="M44" s="4"/>
      <c r="N44" s="10"/>
      <c r="P44" s="4"/>
      <c r="Q44" s="4"/>
      <c r="R44" s="10"/>
      <c r="S44" s="4"/>
      <c r="T44" s="4"/>
      <c r="U44" s="4"/>
      <c r="V44" s="10"/>
      <c r="W44" s="4"/>
      <c r="X44" s="4"/>
      <c r="Y44" s="4"/>
      <c r="Z44" s="10"/>
    </row>
    <row r="45" spans="1:26" s="63" customFormat="1" ht="15" customHeight="1" x14ac:dyDescent="0.3">
      <c r="A45" s="13"/>
      <c r="B45" s="27" t="s">
        <v>297</v>
      </c>
      <c r="C45" s="27"/>
      <c r="D45" s="33">
        <f>SUM(D42:D44)</f>
        <v>8312.5399999999972</v>
      </c>
      <c r="E45" s="15"/>
      <c r="F45" s="31">
        <f>IF(D$12=0,0,D45/D$12)</f>
        <v>0.79567537558089985</v>
      </c>
      <c r="G45" s="15"/>
      <c r="H45" s="33">
        <f>SUM(H42:H44)</f>
        <v>-1001</v>
      </c>
      <c r="I45" s="15"/>
      <c r="J45" s="31">
        <f>IF(H$12=0,0,H45/H$12)</f>
        <v>0</v>
      </c>
      <c r="K45" s="17"/>
      <c r="L45" s="33">
        <f>+D45-H45</f>
        <v>9313.5399999999972</v>
      </c>
      <c r="M45" s="17"/>
      <c r="N45" s="31">
        <f>IF(H45=0,0,L45/H45)</f>
        <v>-9.3042357642357612</v>
      </c>
      <c r="O45" s="28"/>
      <c r="P45" s="33">
        <f>SUM(P42:P44)</f>
        <v>-4669.7499999999936</v>
      </c>
      <c r="Q45" s="15"/>
      <c r="R45" s="31">
        <f>IF(P$12=0,0,P45/P$12)</f>
        <v>-0.13269196397745972</v>
      </c>
      <c r="S45" s="15"/>
      <c r="T45" s="33">
        <f>SUM(T42:T44)</f>
        <v>-12012</v>
      </c>
      <c r="U45" s="15"/>
      <c r="V45" s="31">
        <f>IF(T$12=0,0,T45/T$12)</f>
        <v>0</v>
      </c>
      <c r="W45" s="17"/>
      <c r="X45" s="33">
        <f>+P45-T45</f>
        <v>7342.2500000000064</v>
      </c>
      <c r="Y45" s="17"/>
      <c r="Z45" s="31">
        <f>IF(T45=0,0,X45/T45)</f>
        <v>-0.61124292374292433</v>
      </c>
    </row>
    <row r="46" spans="1:26" ht="15" customHeight="1" x14ac:dyDescent="0.3">
      <c r="A46" s="12"/>
      <c r="C46" s="12"/>
      <c r="D46" s="19"/>
      <c r="E46" s="19"/>
      <c r="G46" s="19"/>
      <c r="H46" s="19"/>
      <c r="I46" s="19"/>
      <c r="J46" s="41"/>
      <c r="K46" s="19"/>
      <c r="L46" s="19"/>
      <c r="M46" s="19"/>
      <c r="P46" s="19"/>
      <c r="Q46" s="19"/>
      <c r="R46" s="41"/>
      <c r="S46" s="19"/>
      <c r="T46" s="19"/>
      <c r="U46" s="19"/>
      <c r="V46" s="41"/>
      <c r="W46" s="19"/>
      <c r="X46" s="19"/>
    </row>
    <row r="47" spans="1:26" ht="15" customHeight="1" x14ac:dyDescent="0.3">
      <c r="A47" s="12"/>
      <c r="B47" s="50">
        <v>44767.799547766204</v>
      </c>
      <c r="D47" s="19"/>
      <c r="E47" s="19"/>
      <c r="G47" s="19"/>
      <c r="H47" s="19"/>
      <c r="I47" s="19"/>
      <c r="J47" s="41"/>
      <c r="K47" s="19"/>
      <c r="L47" s="19"/>
      <c r="M47" s="19"/>
      <c r="P47" s="19"/>
      <c r="Q47" s="19"/>
      <c r="R47" s="41"/>
      <c r="S47" s="19"/>
      <c r="T47" s="19"/>
      <c r="U47" s="19"/>
      <c r="V47" s="41"/>
      <c r="W47" s="19"/>
      <c r="X47" s="19"/>
    </row>
    <row r="48" spans="1:26" ht="15" customHeight="1" x14ac:dyDescent="0.3">
      <c r="A48" s="12"/>
      <c r="B48" s="57" t="s">
        <v>298</v>
      </c>
      <c r="D48" s="19"/>
      <c r="E48" s="19"/>
      <c r="G48" s="19"/>
      <c r="H48" s="19"/>
      <c r="I48" s="19"/>
      <c r="J48" s="41"/>
      <c r="K48" s="19"/>
      <c r="L48" s="19"/>
      <c r="M48" s="19"/>
      <c r="P48" s="19"/>
      <c r="Q48" s="19"/>
      <c r="R48" s="41"/>
      <c r="S48" s="19"/>
      <c r="T48" s="19"/>
      <c r="U48" s="19"/>
      <c r="V48" s="41"/>
      <c r="W48" s="19"/>
      <c r="X48" s="19"/>
    </row>
    <row r="49" spans="1:24" ht="15" customHeight="1" x14ac:dyDescent="0.3">
      <c r="A49" s="12"/>
      <c r="B49" s="51"/>
      <c r="D49" s="19"/>
      <c r="E49" s="19"/>
      <c r="G49" s="19"/>
      <c r="H49" s="19"/>
      <c r="I49" s="19"/>
      <c r="J49" s="41"/>
      <c r="K49" s="19"/>
      <c r="L49" s="19"/>
      <c r="M49" s="19"/>
      <c r="P49" s="19"/>
      <c r="Q49" s="19"/>
      <c r="R49" s="41"/>
      <c r="S49" s="19"/>
      <c r="T49" s="19"/>
      <c r="U49" s="19"/>
      <c r="V49" s="41"/>
      <c r="W49" s="19"/>
      <c r="X49" s="19"/>
    </row>
    <row r="50" spans="1:24" ht="15" customHeight="1" x14ac:dyDescent="0.3">
      <c r="D50" s="19"/>
      <c r="E50" s="19"/>
      <c r="G50" s="19"/>
      <c r="H50" s="19"/>
      <c r="I50" s="19"/>
      <c r="J50" s="41"/>
      <c r="K50" s="19"/>
      <c r="L50" s="19"/>
      <c r="M50" s="19"/>
      <c r="P50" s="19"/>
      <c r="Q50" s="19"/>
      <c r="R50" s="41"/>
      <c r="S50" s="19"/>
      <c r="T50" s="19"/>
      <c r="U50" s="19"/>
      <c r="V50" s="41"/>
      <c r="W50" s="19"/>
      <c r="X50" s="19"/>
    </row>
  </sheetData>
  <pageMargins left="0.25" right="0.25" top="0.75" bottom="0.75" header="0.3" footer="0.3"/>
  <pageSetup scale="55" orientation="landscape" r:id="rId1"/>
  <headerFooter>
    <oddHeader>&amp;RPre-Audit</oddHeader>
    <oddFooter>&amp;L&amp;C&amp;R</oddFooter>
    <evenHeader>&amp;L&amp;C&amp;R</evenHeader>
    <evenFooter>&amp;L&amp;C&amp;R</even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5059CF-FF53-61F9-1078-B8E8015212BD}">
  <sheetPr>
    <tabColor rgb="FF92D050"/>
    <outlinePr summaryBelow="0" summaryRight="0"/>
  </sheetPr>
  <dimension ref="A2:Z36"/>
  <sheetViews>
    <sheetView showGridLines="0" defaultGridColor="0" colorId="8" zoomScale="80" workbookViewId="0">
      <pane xSplit="3" ySplit="10" topLeftCell="D11" activePane="bottomRight" state="frozen"/>
      <selection activeCell="D78" sqref="D78"/>
      <selection pane="topRight" activeCell="D78" sqref="D78"/>
      <selection pane="bottomLeft" activeCell="D78" sqref="D78"/>
      <selection pane="bottomRight" activeCell="D78" sqref="D78"/>
    </sheetView>
  </sheetViews>
  <sheetFormatPr defaultRowHeight="14.85" customHeight="1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3" t="s">
        <v>276</v>
      </c>
    </row>
    <row r="3" spans="1:26" ht="15" customHeight="1" x14ac:dyDescent="0.3">
      <c r="D3" s="53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3" t="str">
        <f>CONCATENATE("Period ",RIGHT(202212,2),", ",2022)</f>
        <v>Period 12,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5"/>
      <c r="D5" s="60">
        <v>44742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5"/>
      <c r="B6" s="47"/>
      <c r="C6" s="47"/>
      <c r="D6" s="25" t="str">
        <f>CONCATENATE("Department ","100"," - ","Corporate")</f>
        <v>Department 100 - Corporate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4"/>
    </row>
    <row r="8" spans="1:26" ht="15" customHeight="1" x14ac:dyDescent="0.3">
      <c r="B8" s="54"/>
    </row>
    <row r="9" spans="1:26" ht="15" customHeight="1" x14ac:dyDescent="0.3">
      <c r="B9" s="12"/>
      <c r="C9" s="12"/>
      <c r="D9" s="16" t="s">
        <v>279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280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ht="15" customHeight="1" x14ac:dyDescent="0.3">
      <c r="A10" s="13"/>
      <c r="B10" s="52"/>
      <c r="C10" s="13"/>
      <c r="D10" s="40" t="s">
        <v>281</v>
      </c>
      <c r="E10" s="32"/>
      <c r="F10" s="39" t="s">
        <v>282</v>
      </c>
      <c r="G10" s="32"/>
      <c r="H10" s="45" t="s">
        <v>283</v>
      </c>
      <c r="I10" s="32"/>
      <c r="J10" s="42" t="s">
        <v>284</v>
      </c>
      <c r="K10" s="13"/>
      <c r="L10" s="40" t="s">
        <v>285</v>
      </c>
      <c r="M10" s="13"/>
      <c r="N10" s="39" t="s">
        <v>286</v>
      </c>
      <c r="O10" s="13"/>
      <c r="P10" s="55" t="s">
        <v>281</v>
      </c>
      <c r="Q10" s="32"/>
      <c r="R10" s="39" t="s">
        <v>282</v>
      </c>
      <c r="S10" s="32"/>
      <c r="T10" s="45" t="s">
        <v>283</v>
      </c>
      <c r="U10" s="32"/>
      <c r="V10" s="42" t="s">
        <v>284</v>
      </c>
      <c r="W10" s="13"/>
      <c r="X10" s="40" t="s">
        <v>285</v>
      </c>
      <c r="Y10" s="13"/>
      <c r="Z10" s="39" t="s">
        <v>286</v>
      </c>
    </row>
    <row r="11" spans="1:26" ht="16.5" customHeight="1" x14ac:dyDescent="0.3">
      <c r="A11" s="12"/>
      <c r="B11" s="58"/>
      <c r="C11" s="12"/>
      <c r="D11" s="12"/>
      <c r="E11" s="12"/>
      <c r="F11" s="10"/>
      <c r="G11" s="12"/>
      <c r="H11" s="12"/>
      <c r="I11" s="12"/>
      <c r="J11" s="43"/>
      <c r="K11" s="12"/>
      <c r="L11" s="12"/>
      <c r="M11" s="12"/>
      <c r="N11" s="10"/>
      <c r="P11" s="12"/>
      <c r="Q11" s="12"/>
      <c r="R11" s="10"/>
      <c r="S11" s="12"/>
      <c r="T11" s="12"/>
      <c r="U11" s="12"/>
      <c r="V11" s="43"/>
      <c r="W11" s="12"/>
      <c r="X11" s="12"/>
      <c r="Y11" s="12"/>
      <c r="Z11" s="10"/>
    </row>
    <row r="12" spans="1:26" s="63" customFormat="1" ht="15" customHeight="1" x14ac:dyDescent="0.3">
      <c r="A12" s="13"/>
      <c r="B12" s="28" t="s">
        <v>287</v>
      </c>
      <c r="C12" s="13"/>
      <c r="D12" s="8">
        <f>SUM(0)</f>
        <v>0</v>
      </c>
      <c r="E12" s="8"/>
      <c r="F12" s="14"/>
      <c r="G12" s="8"/>
      <c r="H12" s="8">
        <f>SUM(0)</f>
        <v>0</v>
      </c>
      <c r="I12" s="8"/>
      <c r="J12" s="14"/>
      <c r="K12" s="8"/>
      <c r="L12" s="8">
        <f>+D12-H12</f>
        <v>0</v>
      </c>
      <c r="M12" s="8"/>
      <c r="N12" s="14">
        <f>IF(H12=0,0,L12/H12)</f>
        <v>0</v>
      </c>
      <c r="O12" s="13"/>
      <c r="P12" s="8">
        <f>SUM(0)</f>
        <v>0</v>
      </c>
      <c r="Q12" s="8"/>
      <c r="R12" s="14"/>
      <c r="S12" s="8"/>
      <c r="T12" s="8">
        <f>SUM(0)</f>
        <v>0</v>
      </c>
      <c r="U12" s="8"/>
      <c r="V12" s="14"/>
      <c r="W12" s="8"/>
      <c r="X12" s="8">
        <f>+P12-T12</f>
        <v>0</v>
      </c>
      <c r="Y12" s="8"/>
      <c r="Z12" s="14">
        <f>IF(T12=0,0,X12/T12)</f>
        <v>0</v>
      </c>
    </row>
    <row r="13" spans="1:26" ht="15" customHeight="1" x14ac:dyDescent="0.3">
      <c r="A13" s="12"/>
      <c r="B13" s="13"/>
      <c r="C13" s="12"/>
      <c r="D13" s="4"/>
      <c r="E13" s="4"/>
      <c r="F13" s="10"/>
      <c r="G13" s="4"/>
      <c r="H13" s="4"/>
      <c r="I13" s="4"/>
      <c r="J13" s="10"/>
      <c r="K13" s="4"/>
      <c r="L13" s="4"/>
      <c r="M13" s="4"/>
      <c r="N13" s="10"/>
      <c r="P13" s="4"/>
      <c r="Q13" s="4"/>
      <c r="R13" s="10"/>
      <c r="S13" s="4"/>
      <c r="T13" s="4"/>
      <c r="U13" s="4"/>
      <c r="V13" s="10"/>
      <c r="W13" s="4"/>
      <c r="X13" s="4"/>
      <c r="Y13" s="4"/>
      <c r="Z13" s="10"/>
    </row>
    <row r="14" spans="1:26" s="63" customFormat="1" ht="15" customHeight="1" x14ac:dyDescent="0.3">
      <c r="A14" s="13"/>
      <c r="B14" s="28" t="s">
        <v>288</v>
      </c>
      <c r="C14" s="13"/>
      <c r="D14" s="8">
        <f>SUM(0)</f>
        <v>0</v>
      </c>
      <c r="E14" s="8"/>
      <c r="F14" s="14">
        <f>IF(D$12=0,0,D14/D$12)</f>
        <v>0</v>
      </c>
      <c r="G14" s="8"/>
      <c r="H14" s="8">
        <f>SUM(0)</f>
        <v>0</v>
      </c>
      <c r="I14" s="8"/>
      <c r="J14" s="14">
        <f>IF(H$12=0,0,H14/H$12)</f>
        <v>0</v>
      </c>
      <c r="K14" s="8"/>
      <c r="L14" s="8">
        <f>+D14-H14</f>
        <v>0</v>
      </c>
      <c r="M14" s="8"/>
      <c r="N14" s="14">
        <f>IF(H14=0,0,L14/H14)</f>
        <v>0</v>
      </c>
      <c r="O14" s="13"/>
      <c r="P14" s="8">
        <f>SUM(0)</f>
        <v>0</v>
      </c>
      <c r="Q14" s="8"/>
      <c r="R14" s="14">
        <f>IF(P$12=0,0,P14/P$12)</f>
        <v>0</v>
      </c>
      <c r="S14" s="8"/>
      <c r="T14" s="8">
        <f>SUM(0)</f>
        <v>0</v>
      </c>
      <c r="U14" s="8"/>
      <c r="V14" s="14">
        <f>IF(T$12=0,0,T14/T$12)</f>
        <v>0</v>
      </c>
      <c r="W14" s="8"/>
      <c r="X14" s="8">
        <f>+P14-T14</f>
        <v>0</v>
      </c>
      <c r="Y14" s="8"/>
      <c r="Z14" s="14">
        <f>IF(T14=0,0,X14/T14)</f>
        <v>0</v>
      </c>
    </row>
    <row r="15" spans="1:26" ht="15" customHeight="1" x14ac:dyDescent="0.3">
      <c r="A15" s="12"/>
      <c r="B15" s="13"/>
      <c r="C15" s="13"/>
      <c r="D15" s="4"/>
      <c r="E15" s="4"/>
      <c r="F15" s="10"/>
      <c r="G15" s="4"/>
      <c r="H15" s="4"/>
      <c r="I15" s="4"/>
      <c r="J15" s="10"/>
      <c r="K15" s="4"/>
      <c r="L15" s="4"/>
      <c r="M15" s="4"/>
      <c r="N15" s="10"/>
      <c r="O15" s="13"/>
      <c r="P15" s="4"/>
      <c r="Q15" s="4"/>
      <c r="R15" s="10"/>
      <c r="S15" s="4"/>
      <c r="T15" s="4"/>
      <c r="U15" s="4"/>
      <c r="V15" s="10"/>
      <c r="W15" s="4"/>
      <c r="X15" s="4"/>
      <c r="Y15" s="4"/>
      <c r="Z15" s="10"/>
    </row>
    <row r="16" spans="1:26" s="63" customFormat="1" ht="15" customHeight="1" x14ac:dyDescent="0.3">
      <c r="A16" s="13"/>
      <c r="B16" s="27" t="s">
        <v>289</v>
      </c>
      <c r="C16" s="27"/>
      <c r="D16" s="23">
        <f>D12-D14</f>
        <v>0</v>
      </c>
      <c r="E16" s="15"/>
      <c r="F16" s="22">
        <f>IF(D$12=0,0,D16/D$12)</f>
        <v>0</v>
      </c>
      <c r="G16" s="15"/>
      <c r="H16" s="23">
        <f>H12-H14</f>
        <v>0</v>
      </c>
      <c r="I16" s="15"/>
      <c r="J16" s="22">
        <f>IF(H$12=0,0,H16/H$12)</f>
        <v>0</v>
      </c>
      <c r="K16" s="17"/>
      <c r="L16" s="23">
        <f>+D16-H16</f>
        <v>0</v>
      </c>
      <c r="M16" s="17"/>
      <c r="N16" s="22">
        <f>IF(H16=0,0,L16/H16)</f>
        <v>0</v>
      </c>
      <c r="O16" s="28"/>
      <c r="P16" s="23">
        <f>P12-P14</f>
        <v>0</v>
      </c>
      <c r="Q16" s="15"/>
      <c r="R16" s="22">
        <f>IF(P$12=0,0,P16/P$12)</f>
        <v>0</v>
      </c>
      <c r="S16" s="15"/>
      <c r="T16" s="23">
        <f>T12-T14</f>
        <v>0</v>
      </c>
      <c r="U16" s="15"/>
      <c r="V16" s="22">
        <f>IF(T$12=0,0,T16/T$12)</f>
        <v>0</v>
      </c>
      <c r="W16" s="17"/>
      <c r="X16" s="23">
        <f>+P16-T16</f>
        <v>0</v>
      </c>
      <c r="Y16" s="17"/>
      <c r="Z16" s="22">
        <f>IF(T16=0,0,X16/T16)</f>
        <v>0</v>
      </c>
    </row>
    <row r="17" spans="1:26" ht="15" customHeight="1" x14ac:dyDescent="0.3">
      <c r="A17" s="12"/>
      <c r="B17" s="13"/>
      <c r="C17" s="12"/>
      <c r="D17" s="2"/>
      <c r="E17" s="2"/>
      <c r="F17" s="5"/>
      <c r="G17" s="2"/>
      <c r="H17" s="2"/>
      <c r="I17" s="2"/>
      <c r="J17" s="5"/>
      <c r="K17" s="2"/>
      <c r="L17" s="2"/>
      <c r="M17" s="2"/>
      <c r="N17" s="5"/>
      <c r="O17" s="36"/>
      <c r="P17" s="2"/>
      <c r="Q17" s="2"/>
      <c r="R17" s="5"/>
      <c r="S17" s="2"/>
      <c r="T17" s="2"/>
      <c r="U17" s="2"/>
      <c r="V17" s="5"/>
      <c r="W17" s="2"/>
      <c r="X17" s="2"/>
      <c r="Y17" s="2"/>
      <c r="Z17" s="5"/>
    </row>
    <row r="18" spans="1:26" s="63" customFormat="1" ht="15" customHeight="1" x14ac:dyDescent="0.3">
      <c r="A18" s="13"/>
      <c r="B18" s="28" t="s">
        <v>290</v>
      </c>
      <c r="C18" s="13"/>
      <c r="D18" s="24">
        <f>SUM(0)</f>
        <v>0</v>
      </c>
      <c r="E18" s="24"/>
      <c r="F18" s="34">
        <f>IF(D$12=0,0,D18/D$12)</f>
        <v>0</v>
      </c>
      <c r="G18" s="24"/>
      <c r="H18" s="24">
        <f>SUM(0)</f>
        <v>0</v>
      </c>
      <c r="I18" s="24"/>
      <c r="J18" s="34">
        <f>IF(H$12=0,0,H18/H$12)</f>
        <v>0</v>
      </c>
      <c r="K18" s="8"/>
      <c r="L18" s="24">
        <f>+D18-H18</f>
        <v>0</v>
      </c>
      <c r="M18" s="8"/>
      <c r="N18" s="34">
        <f>IF(H18=0,0,L18/H18)</f>
        <v>0</v>
      </c>
      <c r="O18" s="13"/>
      <c r="P18" s="24">
        <f>SUM(0)</f>
        <v>0</v>
      </c>
      <c r="Q18" s="24"/>
      <c r="R18" s="34">
        <f>IF(P$12=0,0,P18/P$12)</f>
        <v>0</v>
      </c>
      <c r="S18" s="24"/>
      <c r="T18" s="24">
        <f>SUM(0)</f>
        <v>0</v>
      </c>
      <c r="U18" s="24"/>
      <c r="V18" s="34">
        <f>IF(T$12=0,0,T18/T$12)</f>
        <v>0</v>
      </c>
      <c r="W18" s="8"/>
      <c r="X18" s="24">
        <f>+P18-T18</f>
        <v>0</v>
      </c>
      <c r="Y18" s="8"/>
      <c r="Z18" s="34">
        <f>IF(T18=0,0,X18/T18)</f>
        <v>0</v>
      </c>
    </row>
    <row r="19" spans="1:26" s="65" customFormat="1" ht="15" customHeight="1" x14ac:dyDescent="0.3">
      <c r="A19" s="36"/>
      <c r="B19" s="36"/>
      <c r="C19" s="36"/>
      <c r="D19" s="2"/>
      <c r="E19" s="2"/>
      <c r="F19" s="5"/>
      <c r="G19" s="2"/>
      <c r="H19" s="2"/>
      <c r="I19" s="2"/>
      <c r="J19" s="5"/>
      <c r="K19" s="2"/>
      <c r="L19" s="2"/>
      <c r="M19" s="2"/>
      <c r="N19" s="5"/>
      <c r="O19" s="36"/>
      <c r="P19" s="2"/>
      <c r="Q19" s="2"/>
      <c r="R19" s="5"/>
      <c r="S19" s="2"/>
      <c r="T19" s="2"/>
      <c r="U19" s="2"/>
      <c r="V19" s="5"/>
      <c r="W19" s="2"/>
      <c r="X19" s="2"/>
      <c r="Y19" s="2"/>
      <c r="Z19" s="5"/>
    </row>
    <row r="20" spans="1:26" s="63" customFormat="1" ht="15" customHeight="1" x14ac:dyDescent="0.3">
      <c r="A20" s="13"/>
      <c r="B20" s="28" t="s">
        <v>291</v>
      </c>
      <c r="C20" s="13"/>
      <c r="D20" s="8">
        <f>SUM(0)</f>
        <v>0</v>
      </c>
      <c r="E20" s="8"/>
      <c r="F20" s="14">
        <f>IF(D$12=0,0,D20/D$12)</f>
        <v>0</v>
      </c>
      <c r="G20" s="8"/>
      <c r="H20" s="8">
        <f>SUM(0)</f>
        <v>0</v>
      </c>
      <c r="I20" s="8"/>
      <c r="J20" s="14">
        <f>IF(H$12=0,0,H20/H$12)</f>
        <v>0</v>
      </c>
      <c r="K20" s="8"/>
      <c r="L20" s="8">
        <f>+D20-H20</f>
        <v>0</v>
      </c>
      <c r="M20" s="8"/>
      <c r="N20" s="14">
        <f>IF(H20=0,0,L20/H20)</f>
        <v>0</v>
      </c>
      <c r="O20" s="13"/>
      <c r="P20" s="8">
        <f>SUM(0)</f>
        <v>0</v>
      </c>
      <c r="Q20" s="8"/>
      <c r="R20" s="14">
        <f>IF(P$12=0,0,P20/P$12)</f>
        <v>0</v>
      </c>
      <c r="S20" s="8"/>
      <c r="T20" s="8">
        <f>SUM(0)</f>
        <v>0</v>
      </c>
      <c r="U20" s="8"/>
      <c r="V20" s="14">
        <f>IF(T$12=0,0,T20/T$12)</f>
        <v>0</v>
      </c>
      <c r="W20" s="8"/>
      <c r="X20" s="8">
        <f>+P20-T20</f>
        <v>0</v>
      </c>
      <c r="Y20" s="8"/>
      <c r="Z20" s="14">
        <f>IF(T20=0,0,X20/T20)</f>
        <v>0</v>
      </c>
    </row>
    <row r="21" spans="1:26" ht="15" customHeight="1" x14ac:dyDescent="0.3">
      <c r="A21" s="12"/>
      <c r="B21" s="13"/>
      <c r="C21" s="13"/>
      <c r="D21" s="4"/>
      <c r="E21" s="4"/>
      <c r="F21" s="10"/>
      <c r="G21" s="4"/>
      <c r="H21" s="4"/>
      <c r="I21" s="4"/>
      <c r="J21" s="10"/>
      <c r="K21" s="4"/>
      <c r="L21" s="4"/>
      <c r="M21" s="4"/>
      <c r="N21" s="10"/>
      <c r="O21" s="13"/>
      <c r="P21" s="4"/>
      <c r="Q21" s="4"/>
      <c r="R21" s="10"/>
      <c r="S21" s="4"/>
      <c r="T21" s="4"/>
      <c r="U21" s="4"/>
      <c r="V21" s="10"/>
      <c r="W21" s="4"/>
      <c r="X21" s="4"/>
      <c r="Y21" s="4"/>
      <c r="Z21" s="10"/>
    </row>
    <row r="22" spans="1:26" s="63" customFormat="1" ht="15" customHeight="1" x14ac:dyDescent="0.3">
      <c r="A22" s="13"/>
      <c r="B22" s="27" t="s">
        <v>292</v>
      </c>
      <c r="C22" s="27"/>
      <c r="D22" s="23">
        <f>+D16-D18+D20</f>
        <v>0</v>
      </c>
      <c r="E22" s="15"/>
      <c r="F22" s="22">
        <f>IF(D$12=0,0,D22/D$12)</f>
        <v>0</v>
      </c>
      <c r="G22" s="15"/>
      <c r="H22" s="23">
        <f>+H16-H18+H20</f>
        <v>0</v>
      </c>
      <c r="I22" s="15"/>
      <c r="J22" s="22">
        <f>IF(H$12=0,0,H22/H$12)</f>
        <v>0</v>
      </c>
      <c r="K22" s="17"/>
      <c r="L22" s="23">
        <f>+D22-H22</f>
        <v>0</v>
      </c>
      <c r="M22" s="17"/>
      <c r="N22" s="22">
        <f>IF(H22=0,0,L22/H22)</f>
        <v>0</v>
      </c>
      <c r="O22" s="28"/>
      <c r="P22" s="23">
        <f>+P16-P18+P20</f>
        <v>0</v>
      </c>
      <c r="Q22" s="15"/>
      <c r="R22" s="22">
        <f>IF(P$12=0,0,P22/P$12)</f>
        <v>0</v>
      </c>
      <c r="S22" s="15"/>
      <c r="T22" s="23">
        <f>+T16-T18+T20</f>
        <v>0</v>
      </c>
      <c r="U22" s="15"/>
      <c r="V22" s="22">
        <f>IF(T$12=0,0,T22/T$12)</f>
        <v>0</v>
      </c>
      <c r="W22" s="17"/>
      <c r="X22" s="23">
        <f>+P22-T22</f>
        <v>0</v>
      </c>
      <c r="Y22" s="17"/>
      <c r="Z22" s="22">
        <f>IF(T22=0,0,X22/T22)</f>
        <v>0</v>
      </c>
    </row>
    <row r="23" spans="1:26" ht="15" customHeight="1" x14ac:dyDescent="0.3">
      <c r="A23" s="12"/>
      <c r="B23" s="13"/>
      <c r="C23" s="12"/>
      <c r="D23" s="4"/>
      <c r="E23" s="4"/>
      <c r="F23" s="10"/>
      <c r="G23" s="4"/>
      <c r="H23" s="4"/>
      <c r="I23" s="4"/>
      <c r="J23" s="10"/>
      <c r="K23" s="4"/>
      <c r="L23" s="4"/>
      <c r="M23" s="4"/>
      <c r="N23" s="10"/>
      <c r="P23" s="4"/>
      <c r="Q23" s="4"/>
      <c r="R23" s="10"/>
      <c r="S23" s="4"/>
      <c r="T23" s="4"/>
      <c r="U23" s="4"/>
      <c r="V23" s="10"/>
      <c r="W23" s="4"/>
      <c r="X23" s="4"/>
      <c r="Y23" s="4"/>
      <c r="Z23" s="10"/>
    </row>
    <row r="24" spans="1:26" s="63" customFormat="1" ht="15" customHeight="1" x14ac:dyDescent="0.3">
      <c r="A24" s="49"/>
      <c r="B24" s="13" t="s">
        <v>293</v>
      </c>
      <c r="C24" s="13"/>
      <c r="D24" s="8"/>
      <c r="E24" s="8"/>
      <c r="F24" s="14">
        <f>IF(D$12=0,0,D24/D$12)</f>
        <v>0</v>
      </c>
      <c r="G24" s="8"/>
      <c r="H24" s="8"/>
      <c r="I24" s="8"/>
      <c r="J24" s="14">
        <f>IF(H$12=0,0,H24/H$12)</f>
        <v>0</v>
      </c>
      <c r="K24" s="8"/>
      <c r="L24" s="8">
        <f>+D24-H24</f>
        <v>0</v>
      </c>
      <c r="M24" s="8"/>
      <c r="N24" s="14">
        <f>IF(H24=0,0,L24/H24)</f>
        <v>0</v>
      </c>
      <c r="O24" s="13"/>
      <c r="P24" s="8"/>
      <c r="Q24" s="8"/>
      <c r="R24" s="14">
        <f>IF(P$12=0,0,P24/P$12)</f>
        <v>0</v>
      </c>
      <c r="S24" s="8"/>
      <c r="T24" s="8"/>
      <c r="U24" s="8"/>
      <c r="V24" s="14">
        <f>IF(T$12=0,0,T24/T$12)</f>
        <v>0</v>
      </c>
      <c r="W24" s="8"/>
      <c r="X24" s="8">
        <f>+P24-T24</f>
        <v>0</v>
      </c>
      <c r="Y24" s="8"/>
      <c r="Z24" s="14">
        <f>IF(T24=0,0,X24/T24)</f>
        <v>0</v>
      </c>
    </row>
    <row r="25" spans="1:26" ht="15" customHeight="1" x14ac:dyDescent="0.3">
      <c r="A25" s="12"/>
      <c r="B25" s="13"/>
      <c r="C25" s="13"/>
      <c r="D25" s="4"/>
      <c r="E25" s="4"/>
      <c r="F25" s="10"/>
      <c r="G25" s="4"/>
      <c r="H25" s="4"/>
      <c r="I25" s="4"/>
      <c r="J25" s="10"/>
      <c r="K25" s="4"/>
      <c r="L25" s="4"/>
      <c r="M25" s="4"/>
      <c r="N25" s="10"/>
      <c r="O25" s="13"/>
      <c r="P25" s="4"/>
      <c r="Q25" s="4"/>
      <c r="R25" s="10"/>
      <c r="S25" s="4"/>
      <c r="T25" s="4"/>
      <c r="U25" s="4"/>
      <c r="V25" s="10"/>
      <c r="W25" s="4"/>
      <c r="X25" s="4"/>
      <c r="Y25" s="4"/>
      <c r="Z25" s="10"/>
    </row>
    <row r="26" spans="1:26" s="63" customFormat="1" ht="15" customHeight="1" x14ac:dyDescent="0.3">
      <c r="A26" s="13"/>
      <c r="B26" s="27" t="s">
        <v>294</v>
      </c>
      <c r="C26" s="27"/>
      <c r="D26" s="30">
        <f>+D22-D24</f>
        <v>0</v>
      </c>
      <c r="E26" s="15"/>
      <c r="F26" s="35">
        <f>IF(D$12=0,0,D26/D$12)</f>
        <v>0</v>
      </c>
      <c r="G26" s="15"/>
      <c r="H26" s="30">
        <f>+H22-H24</f>
        <v>0</v>
      </c>
      <c r="I26" s="15"/>
      <c r="J26" s="35">
        <f>IF(H$12=0,0,H26/H$12)</f>
        <v>0</v>
      </c>
      <c r="K26" s="17"/>
      <c r="L26" s="30">
        <f>D26-H26</f>
        <v>0</v>
      </c>
      <c r="M26" s="17"/>
      <c r="N26" s="35">
        <f>IF(H26=0,0,L26/H26)</f>
        <v>0</v>
      </c>
      <c r="O26" s="28"/>
      <c r="P26" s="30">
        <f>+P22-P24</f>
        <v>0</v>
      </c>
      <c r="Q26" s="15"/>
      <c r="R26" s="35">
        <f>IF(P$12=0,0,P26/P$12)</f>
        <v>0</v>
      </c>
      <c r="S26" s="15"/>
      <c r="T26" s="30">
        <f>+T22-T24</f>
        <v>0</v>
      </c>
      <c r="U26" s="15"/>
      <c r="V26" s="35">
        <f>IF(T$12=0,0,T26/T$12)</f>
        <v>0</v>
      </c>
      <c r="W26" s="17"/>
      <c r="X26" s="30">
        <f>P26-T26</f>
        <v>0</v>
      </c>
      <c r="Y26" s="17"/>
      <c r="Z26" s="35">
        <f>IF(T26=0,0,X26/T26)</f>
        <v>0</v>
      </c>
    </row>
    <row r="27" spans="1:26" ht="15" customHeight="1" x14ac:dyDescent="0.3">
      <c r="A27" s="12"/>
      <c r="B27" s="12"/>
      <c r="C27" s="12"/>
      <c r="D27" s="4"/>
      <c r="E27" s="4"/>
      <c r="F27" s="10"/>
      <c r="G27" s="4"/>
      <c r="H27" s="4"/>
      <c r="I27" s="4"/>
      <c r="J27" s="10"/>
      <c r="K27" s="4"/>
      <c r="L27" s="4"/>
      <c r="M27" s="4"/>
      <c r="N27" s="10"/>
      <c r="P27" s="4"/>
      <c r="Q27" s="4"/>
      <c r="R27" s="10"/>
      <c r="S27" s="4"/>
      <c r="T27" s="4"/>
      <c r="U27" s="4"/>
      <c r="V27" s="10"/>
      <c r="W27" s="4"/>
      <c r="X27" s="4"/>
      <c r="Y27" s="4"/>
      <c r="Z27" s="10"/>
    </row>
    <row r="28" spans="1:26" s="63" customFormat="1" ht="15" customHeight="1" x14ac:dyDescent="0.3">
      <c r="A28" s="49"/>
      <c r="B28" s="13" t="s">
        <v>295</v>
      </c>
      <c r="C28" s="13"/>
      <c r="D28" s="8">
        <f>-647351.88</f>
        <v>-647351.88</v>
      </c>
      <c r="E28" s="8"/>
      <c r="F28" s="14">
        <f>IF(D$12=0,0,D28/D$12)</f>
        <v>0</v>
      </c>
      <c r="G28" s="8"/>
      <c r="H28" s="8">
        <f>--15000</f>
        <v>15000</v>
      </c>
      <c r="I28" s="8"/>
      <c r="J28" s="14">
        <f>IF(H$12=0,0,H28/H$12)</f>
        <v>0</v>
      </c>
      <c r="K28" s="8"/>
      <c r="L28" s="8">
        <f>+D28-H28</f>
        <v>-662351.88</v>
      </c>
      <c r="M28" s="8"/>
      <c r="N28" s="14">
        <f>IF(H28=0,0,L28/H28)</f>
        <v>-44.156792000000003</v>
      </c>
      <c r="O28" s="13"/>
      <c r="P28" s="8">
        <f>-2199313.68</f>
        <v>-2199313.6800000002</v>
      </c>
      <c r="Q28" s="8"/>
      <c r="R28" s="14">
        <f>IF(P$12=0,0,P28/P$12)</f>
        <v>0</v>
      </c>
      <c r="S28" s="8"/>
      <c r="T28" s="8">
        <f>--180000</f>
        <v>180000</v>
      </c>
      <c r="U28" s="8"/>
      <c r="V28" s="14">
        <f>IF(T$12=0,0,T28/T$12)</f>
        <v>0</v>
      </c>
      <c r="W28" s="8"/>
      <c r="X28" s="8">
        <f>+P28-T28</f>
        <v>-2379313.6800000002</v>
      </c>
      <c r="Y28" s="8"/>
      <c r="Z28" s="14">
        <f>IF(T28=0,0,X28/T28)</f>
        <v>-13.218409333333334</v>
      </c>
    </row>
    <row r="29" spans="1:26" s="63" customFormat="1" ht="15" customHeight="1" x14ac:dyDescent="0.3">
      <c r="A29" s="49"/>
      <c r="B29" s="13" t="s">
        <v>296</v>
      </c>
      <c r="C29" s="13"/>
      <c r="D29" s="8">
        <f>--24741.39</f>
        <v>24741.39</v>
      </c>
      <c r="E29" s="8"/>
      <c r="F29" s="14">
        <f>IF(D$12=0,0,D29/D$12)</f>
        <v>0</v>
      </c>
      <c r="G29" s="8"/>
      <c r="H29" s="8">
        <f>--20000</f>
        <v>20000</v>
      </c>
      <c r="I29" s="8"/>
      <c r="J29" s="14">
        <f>IF(H$12=0,0,H29/H$12)</f>
        <v>0</v>
      </c>
      <c r="K29" s="8"/>
      <c r="L29" s="8">
        <f>+D29-H29</f>
        <v>4741.3899999999994</v>
      </c>
      <c r="M29" s="8"/>
      <c r="N29" s="14">
        <f>IF(H29=0,0,L29/H29)</f>
        <v>0.23706949999999996</v>
      </c>
      <c r="O29" s="13"/>
      <c r="P29" s="8">
        <f>--2394858.95</f>
        <v>2394858.9500000002</v>
      </c>
      <c r="Q29" s="8"/>
      <c r="R29" s="14">
        <f>IF(P$12=0,0,P29/P$12)</f>
        <v>0</v>
      </c>
      <c r="S29" s="8"/>
      <c r="T29" s="8">
        <f>--200000</f>
        <v>200000</v>
      </c>
      <c r="U29" s="8"/>
      <c r="V29" s="14">
        <f>IF(T$12=0,0,T29/T$12)</f>
        <v>0</v>
      </c>
      <c r="W29" s="8"/>
      <c r="X29" s="8">
        <f>+P29-T29</f>
        <v>2194858.9500000002</v>
      </c>
      <c r="Y29" s="8"/>
      <c r="Z29" s="14">
        <f>IF(T29=0,0,X29/T29)</f>
        <v>10.97429475</v>
      </c>
    </row>
    <row r="30" spans="1:26" ht="15" customHeight="1" x14ac:dyDescent="0.3">
      <c r="A30" s="12"/>
      <c r="B30" s="12"/>
      <c r="C30" s="12"/>
      <c r="D30" s="4"/>
      <c r="E30" s="4"/>
      <c r="F30" s="10"/>
      <c r="G30" s="4"/>
      <c r="H30" s="4"/>
      <c r="I30" s="4"/>
      <c r="J30" s="10"/>
      <c r="K30" s="4"/>
      <c r="L30" s="4"/>
      <c r="M30" s="4"/>
      <c r="N30" s="10"/>
      <c r="P30" s="4"/>
      <c r="Q30" s="4"/>
      <c r="R30" s="10"/>
      <c r="S30" s="4"/>
      <c r="T30" s="4"/>
      <c r="U30" s="4"/>
      <c r="V30" s="10"/>
      <c r="W30" s="4"/>
      <c r="X30" s="4"/>
      <c r="Y30" s="4"/>
      <c r="Z30" s="10"/>
    </row>
    <row r="31" spans="1:26" s="63" customFormat="1" ht="15" customHeight="1" x14ac:dyDescent="0.3">
      <c r="A31" s="13"/>
      <c r="B31" s="27" t="s">
        <v>297</v>
      </c>
      <c r="C31" s="27"/>
      <c r="D31" s="33">
        <f>SUM(D26:D30)</f>
        <v>-622610.49</v>
      </c>
      <c r="E31" s="15"/>
      <c r="F31" s="31">
        <f>IF(D$12=0,0,D31/D$12)</f>
        <v>0</v>
      </c>
      <c r="G31" s="15"/>
      <c r="H31" s="33">
        <f>SUM(H26:H30)</f>
        <v>35000</v>
      </c>
      <c r="I31" s="15"/>
      <c r="J31" s="31">
        <f>IF(H$12=0,0,H31/H$12)</f>
        <v>0</v>
      </c>
      <c r="K31" s="17"/>
      <c r="L31" s="33">
        <f>+D31-H31</f>
        <v>-657610.49</v>
      </c>
      <c r="M31" s="17"/>
      <c r="N31" s="31">
        <f>IF(H31=0,0,L31/H31)</f>
        <v>-18.788871142857143</v>
      </c>
      <c r="O31" s="28"/>
      <c r="P31" s="33">
        <f>SUM(P26:P30)</f>
        <v>195545.27000000002</v>
      </c>
      <c r="Q31" s="15"/>
      <c r="R31" s="31">
        <f>IF(P$12=0,0,P31/P$12)</f>
        <v>0</v>
      </c>
      <c r="S31" s="15"/>
      <c r="T31" s="33">
        <f>SUM(T26:T30)</f>
        <v>380000</v>
      </c>
      <c r="U31" s="15"/>
      <c r="V31" s="31">
        <f>IF(T$12=0,0,T31/T$12)</f>
        <v>0</v>
      </c>
      <c r="W31" s="17"/>
      <c r="X31" s="33">
        <f>+P31-T31</f>
        <v>-184454.72999999998</v>
      </c>
      <c r="Y31" s="17"/>
      <c r="Z31" s="31">
        <f>IF(T31=0,0,X31/T31)</f>
        <v>-0.48540718421052625</v>
      </c>
    </row>
    <row r="32" spans="1:26" ht="15" customHeight="1" x14ac:dyDescent="0.3">
      <c r="A32" s="12"/>
      <c r="C32" s="12"/>
      <c r="D32" s="19"/>
      <c r="E32" s="19"/>
      <c r="G32" s="19"/>
      <c r="H32" s="19"/>
      <c r="I32" s="19"/>
      <c r="J32" s="41"/>
      <c r="K32" s="19"/>
      <c r="L32" s="19"/>
      <c r="M32" s="19"/>
      <c r="P32" s="19"/>
      <c r="Q32" s="19"/>
      <c r="R32" s="41"/>
      <c r="S32" s="19"/>
      <c r="T32" s="19"/>
      <c r="U32" s="19"/>
      <c r="V32" s="41"/>
      <c r="W32" s="19"/>
      <c r="X32" s="19"/>
    </row>
    <row r="33" spans="1:24" ht="15" customHeight="1" x14ac:dyDescent="0.3">
      <c r="A33" s="12"/>
      <c r="B33" s="50">
        <v>44767.799547766204</v>
      </c>
      <c r="D33" s="19"/>
      <c r="E33" s="19"/>
      <c r="G33" s="19"/>
      <c r="H33" s="19"/>
      <c r="I33" s="19"/>
      <c r="J33" s="41"/>
      <c r="K33" s="19"/>
      <c r="L33" s="19"/>
      <c r="M33" s="19"/>
      <c r="P33" s="19"/>
      <c r="Q33" s="19"/>
      <c r="R33" s="41"/>
      <c r="S33" s="19"/>
      <c r="T33" s="19"/>
      <c r="U33" s="19"/>
      <c r="V33" s="41"/>
      <c r="W33" s="19"/>
      <c r="X33" s="19"/>
    </row>
    <row r="34" spans="1:24" ht="15" customHeight="1" x14ac:dyDescent="0.3">
      <c r="A34" s="12"/>
      <c r="B34" s="57" t="s">
        <v>298</v>
      </c>
      <c r="D34" s="19"/>
      <c r="E34" s="19"/>
      <c r="G34" s="19"/>
      <c r="H34" s="19"/>
      <c r="I34" s="19"/>
      <c r="J34" s="41"/>
      <c r="K34" s="19"/>
      <c r="L34" s="19"/>
      <c r="M34" s="19"/>
      <c r="P34" s="19"/>
      <c r="Q34" s="19"/>
      <c r="R34" s="41"/>
      <c r="S34" s="19"/>
      <c r="T34" s="19"/>
      <c r="U34" s="19"/>
      <c r="V34" s="41"/>
      <c r="W34" s="19"/>
      <c r="X34" s="19"/>
    </row>
    <row r="35" spans="1:24" ht="15" customHeight="1" x14ac:dyDescent="0.3">
      <c r="A35" s="12"/>
      <c r="B35" s="51"/>
      <c r="D35" s="19"/>
      <c r="E35" s="19"/>
      <c r="G35" s="19"/>
      <c r="H35" s="19"/>
      <c r="I35" s="19"/>
      <c r="J35" s="41"/>
      <c r="K35" s="19"/>
      <c r="L35" s="19"/>
      <c r="M35" s="19"/>
      <c r="P35" s="19"/>
      <c r="Q35" s="19"/>
      <c r="R35" s="41"/>
      <c r="S35" s="19"/>
      <c r="T35" s="19"/>
      <c r="U35" s="19"/>
      <c r="V35" s="41"/>
      <c r="W35" s="19"/>
      <c r="X35" s="19"/>
    </row>
    <row r="36" spans="1:24" ht="15" customHeight="1" x14ac:dyDescent="0.3">
      <c r="D36" s="19"/>
      <c r="E36" s="19"/>
      <c r="G36" s="19"/>
      <c r="H36" s="19"/>
      <c r="I36" s="19"/>
      <c r="J36" s="41"/>
      <c r="K36" s="19"/>
      <c r="L36" s="19"/>
      <c r="M36" s="19"/>
      <c r="P36" s="19"/>
      <c r="Q36" s="19"/>
      <c r="R36" s="41"/>
      <c r="S36" s="19"/>
      <c r="T36" s="19"/>
      <c r="U36" s="19"/>
      <c r="V36" s="41"/>
      <c r="W36" s="19"/>
      <c r="X36" s="19"/>
    </row>
  </sheetData>
  <pageMargins left="0.25" right="0.25" top="0.75" bottom="0.75" header="0.3" footer="0.3"/>
  <pageSetup scale="55" orientation="landscape" r:id="rId1"/>
  <headerFooter>
    <oddHeader>&amp;RPre-Audit</oddHeader>
    <oddFooter>&amp;L&amp;C&amp;R</oddFooter>
    <evenHeader>&amp;L&amp;C&amp;R</evenHeader>
    <evenFooter>&amp;L&amp;C&amp;R</evenFooter>
  </headerFooter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24EA91-3304-BBA1-5DC6-201209ADE751}">
  <sheetPr>
    <tabColor rgb="FFFFFF00"/>
    <outlinePr summaryBelow="0" summaryRight="0"/>
  </sheetPr>
  <dimension ref="A2:Z114"/>
  <sheetViews>
    <sheetView showGridLines="0" defaultGridColor="0" colorId="8" zoomScale="80" workbookViewId="0">
      <pane xSplit="3" ySplit="10" topLeftCell="D11" activePane="bottomRight" state="frozen"/>
      <selection activeCell="D78" sqref="D78"/>
      <selection pane="topRight" activeCell="D78" sqref="D78"/>
      <selection pane="bottomLeft" activeCell="D78" sqref="D78"/>
      <selection pane="bottomRight" activeCell="D78" sqref="D78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3" t="s">
        <v>276</v>
      </c>
    </row>
    <row r="3" spans="1:26" ht="15" customHeight="1" x14ac:dyDescent="0.3">
      <c r="D3" s="53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3" t="str">
        <f>CONCATENATE("Period ",RIGHT(202212,2),", ",2022)</f>
        <v>Period 12,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5"/>
      <c r="D5" s="60">
        <v>44742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5"/>
      <c r="B6" s="47"/>
      <c r="C6" s="47"/>
      <c r="D6" s="25" t="s">
        <v>312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4"/>
    </row>
    <row r="8" spans="1:26" ht="15" customHeight="1" x14ac:dyDescent="0.3">
      <c r="B8" s="54"/>
    </row>
    <row r="9" spans="1:26" ht="15" customHeight="1" x14ac:dyDescent="0.3">
      <c r="B9" s="12"/>
      <c r="C9" s="12"/>
      <c r="D9" s="16" t="s">
        <v>279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280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ht="15" customHeight="1" x14ac:dyDescent="0.3">
      <c r="A10" s="13"/>
      <c r="B10" s="52"/>
      <c r="C10" s="13"/>
      <c r="D10" s="40" t="s">
        <v>281</v>
      </c>
      <c r="E10" s="32"/>
      <c r="F10" s="39" t="s">
        <v>282</v>
      </c>
      <c r="G10" s="32"/>
      <c r="H10" s="45" t="s">
        <v>283</v>
      </c>
      <c r="I10" s="32"/>
      <c r="J10" s="42" t="s">
        <v>284</v>
      </c>
      <c r="K10" s="13"/>
      <c r="L10" s="40" t="s">
        <v>285</v>
      </c>
      <c r="M10" s="13"/>
      <c r="N10" s="39" t="s">
        <v>286</v>
      </c>
      <c r="O10" s="13"/>
      <c r="P10" s="55" t="s">
        <v>281</v>
      </c>
      <c r="Q10" s="32"/>
      <c r="R10" s="39" t="s">
        <v>282</v>
      </c>
      <c r="S10" s="32"/>
      <c r="T10" s="45" t="s">
        <v>283</v>
      </c>
      <c r="U10" s="32"/>
      <c r="V10" s="42" t="s">
        <v>284</v>
      </c>
      <c r="W10" s="13"/>
      <c r="X10" s="40" t="s">
        <v>285</v>
      </c>
      <c r="Y10" s="13"/>
      <c r="Z10" s="39" t="s">
        <v>286</v>
      </c>
    </row>
    <row r="11" spans="1:26" ht="16.5" customHeight="1" x14ac:dyDescent="0.3">
      <c r="A11" s="12"/>
      <c r="B11" s="58"/>
      <c r="C11" s="12"/>
      <c r="D11" s="12"/>
      <c r="E11" s="12"/>
      <c r="F11" s="10"/>
      <c r="G11" s="12"/>
      <c r="H11" s="12"/>
      <c r="I11" s="12"/>
      <c r="J11" s="43"/>
      <c r="K11" s="12"/>
      <c r="L11" s="12"/>
      <c r="M11" s="12"/>
      <c r="N11" s="10"/>
      <c r="P11" s="12"/>
      <c r="Q11" s="12"/>
      <c r="R11" s="10"/>
      <c r="S11" s="12"/>
      <c r="T11" s="12"/>
      <c r="U11" s="12"/>
      <c r="V11" s="43"/>
      <c r="W11" s="12"/>
      <c r="X11" s="12"/>
      <c r="Y11" s="12"/>
      <c r="Z11" s="10"/>
    </row>
    <row r="12" spans="1:26" s="63" customFormat="1" ht="15" customHeight="1" collapsed="1" x14ac:dyDescent="0.3">
      <c r="A12" s="13"/>
      <c r="B12" s="28" t="s">
        <v>287</v>
      </c>
      <c r="C12" s="13"/>
      <c r="D12" s="8">
        <f>SUM(OSRRefD13x_0)</f>
        <v>160074.59</v>
      </c>
      <c r="E12" s="8"/>
      <c r="F12" s="14"/>
      <c r="G12" s="8"/>
      <c r="H12" s="8">
        <f>SUM(OSRRefH13x_0)</f>
        <v>0</v>
      </c>
      <c r="I12" s="8"/>
      <c r="J12" s="14"/>
      <c r="K12" s="8"/>
      <c r="L12" s="8">
        <f t="shared" ref="L12:L18" si="0">+D12-H12</f>
        <v>160074.59</v>
      </c>
      <c r="M12" s="8"/>
      <c r="N12" s="14">
        <f t="shared" ref="N12:N18" si="1">IF(H12=0,0,L12/H12)</f>
        <v>0</v>
      </c>
      <c r="O12" s="13"/>
      <c r="P12" s="8">
        <f>SUM(OSRRefP13x_0)</f>
        <v>11775617.390000001</v>
      </c>
      <c r="Q12" s="8"/>
      <c r="R12" s="14"/>
      <c r="S12" s="8"/>
      <c r="T12" s="8">
        <f>SUM(OSRRefT13x_0)</f>
        <v>8870400</v>
      </c>
      <c r="U12" s="8"/>
      <c r="V12" s="14"/>
      <c r="W12" s="8"/>
      <c r="X12" s="8">
        <f t="shared" ref="X12:X18" si="2">+P12-T12</f>
        <v>2905217.3900000006</v>
      </c>
      <c r="Y12" s="8"/>
      <c r="Z12" s="14">
        <f t="shared" ref="Z12:Z18" si="3">IF(T12=0,0,X12/T12)</f>
        <v>0.32751819421897554</v>
      </c>
    </row>
    <row r="13" spans="1:26" s="70" customFormat="1" ht="15" hidden="1" customHeight="1" outlineLevel="1" x14ac:dyDescent="0.3">
      <c r="A13" s="48"/>
      <c r="B13" s="9" t="str">
        <f>CONCATENATE("          ","4053"," - ","TAXABLE SALES-FOOD")</f>
        <v xml:space="preserve">          4053 - TAXABLE SALES-FOOD</v>
      </c>
      <c r="C13" s="9"/>
      <c r="D13" s="3">
        <f>--1305.2</f>
        <v>1305.2</v>
      </c>
      <c r="E13" s="3"/>
      <c r="F13" s="26"/>
      <c r="G13" s="3"/>
      <c r="H13" s="3"/>
      <c r="I13" s="3"/>
      <c r="J13" s="26"/>
      <c r="K13" s="3"/>
      <c r="L13" s="3">
        <f t="shared" si="0"/>
        <v>1305.2</v>
      </c>
      <c r="M13" s="3"/>
      <c r="N13" s="26">
        <f t="shared" si="1"/>
        <v>0</v>
      </c>
      <c r="O13" s="9"/>
      <c r="P13" s="3">
        <f>--5921.92</f>
        <v>5921.92</v>
      </c>
      <c r="Q13" s="3"/>
      <c r="R13" s="26"/>
      <c r="S13" s="3"/>
      <c r="T13" s="3"/>
      <c r="U13" s="3"/>
      <c r="V13" s="26"/>
      <c r="W13" s="3"/>
      <c r="X13" s="3">
        <f t="shared" si="2"/>
        <v>5921.92</v>
      </c>
      <c r="Y13" s="3"/>
      <c r="Z13" s="26">
        <f t="shared" si="3"/>
        <v>0</v>
      </c>
    </row>
    <row r="14" spans="1:26" s="70" customFormat="1" ht="15" hidden="1" customHeight="1" outlineLevel="1" x14ac:dyDescent="0.3">
      <c r="A14" s="48"/>
      <c r="B14" s="9" t="str">
        <f>CONCATENATE("          ","4055"," - ","TAXABLE SALES-FOOD")</f>
        <v xml:space="preserve">          4055 - TAXABLE SALES-FOOD</v>
      </c>
      <c r="C14" s="9"/>
      <c r="D14" s="3">
        <f>0</f>
        <v>0</v>
      </c>
      <c r="E14" s="3"/>
      <c r="F14" s="26"/>
      <c r="G14" s="3"/>
      <c r="H14" s="3"/>
      <c r="I14" s="3"/>
      <c r="J14" s="26"/>
      <c r="K14" s="3"/>
      <c r="L14" s="3">
        <f t="shared" si="0"/>
        <v>0</v>
      </c>
      <c r="M14" s="3"/>
      <c r="N14" s="26">
        <f t="shared" si="1"/>
        <v>0</v>
      </c>
      <c r="O14" s="9"/>
      <c r="P14" s="3">
        <f>--2070.63</f>
        <v>2070.63</v>
      </c>
      <c r="Q14" s="3"/>
      <c r="R14" s="26"/>
      <c r="S14" s="3"/>
      <c r="T14" s="3"/>
      <c r="U14" s="3"/>
      <c r="V14" s="26"/>
      <c r="W14" s="3"/>
      <c r="X14" s="3">
        <f t="shared" si="2"/>
        <v>2070.63</v>
      </c>
      <c r="Y14" s="3"/>
      <c r="Z14" s="26">
        <f t="shared" si="3"/>
        <v>0</v>
      </c>
    </row>
    <row r="15" spans="1:26" s="70" customFormat="1" ht="15" hidden="1" customHeight="1" outlineLevel="1" x14ac:dyDescent="0.3">
      <c r="A15" s="48"/>
      <c r="B15" s="9" t="str">
        <f>CONCATENATE("          ","4100"," - ","NON-TAXABLE SALES")</f>
        <v xml:space="preserve">          4100 - NON-TAXABLE SALES</v>
      </c>
      <c r="C15" s="9"/>
      <c r="D15" s="3">
        <f>0</f>
        <v>0</v>
      </c>
      <c r="E15" s="3"/>
      <c r="F15" s="26"/>
      <c r="G15" s="3"/>
      <c r="H15" s="3"/>
      <c r="I15" s="3"/>
      <c r="J15" s="26"/>
      <c r="K15" s="3"/>
      <c r="L15" s="3">
        <f t="shared" si="0"/>
        <v>0</v>
      </c>
      <c r="M15" s="3"/>
      <c r="N15" s="26">
        <f t="shared" si="1"/>
        <v>0</v>
      </c>
      <c r="O15" s="9"/>
      <c r="P15" s="3">
        <f>0</f>
        <v>0</v>
      </c>
      <c r="Q15" s="3"/>
      <c r="R15" s="26"/>
      <c r="S15" s="3"/>
      <c r="T15" s="3">
        <v>8870400</v>
      </c>
      <c r="U15" s="3"/>
      <c r="V15" s="26"/>
      <c r="W15" s="3"/>
      <c r="X15" s="3">
        <f t="shared" si="2"/>
        <v>-8870400</v>
      </c>
      <c r="Y15" s="3"/>
      <c r="Z15" s="26">
        <f t="shared" si="3"/>
        <v>-1</v>
      </c>
    </row>
    <row r="16" spans="1:26" s="70" customFormat="1" ht="15" hidden="1" customHeight="1" outlineLevel="1" x14ac:dyDescent="0.3">
      <c r="A16" s="48"/>
      <c r="B16" s="9" t="str">
        <f>CONCATENATE("          ","4151"," - ","NON-TAXABLE SALES-FOOD")</f>
        <v xml:space="preserve">          4151 - NON-TAXABLE SALES-FOOD</v>
      </c>
      <c r="C16" s="9"/>
      <c r="D16" s="3">
        <f>--157642.87</f>
        <v>157642.87</v>
      </c>
      <c r="E16" s="3"/>
      <c r="F16" s="26"/>
      <c r="G16" s="3"/>
      <c r="H16" s="3"/>
      <c r="I16" s="3"/>
      <c r="J16" s="26"/>
      <c r="K16" s="3"/>
      <c r="L16" s="3">
        <f t="shared" si="0"/>
        <v>157642.87</v>
      </c>
      <c r="M16" s="3"/>
      <c r="N16" s="26">
        <f t="shared" si="1"/>
        <v>0</v>
      </c>
      <c r="O16" s="9"/>
      <c r="P16" s="3">
        <f>--11643699.92</f>
        <v>11643699.92</v>
      </c>
      <c r="Q16" s="3"/>
      <c r="R16" s="26"/>
      <c r="S16" s="3"/>
      <c r="T16" s="3"/>
      <c r="U16" s="3"/>
      <c r="V16" s="26"/>
      <c r="W16" s="3"/>
      <c r="X16" s="3">
        <f t="shared" si="2"/>
        <v>11643699.92</v>
      </c>
      <c r="Y16" s="3"/>
      <c r="Z16" s="26">
        <f t="shared" si="3"/>
        <v>0</v>
      </c>
    </row>
    <row r="17" spans="1:26" s="70" customFormat="1" ht="15" hidden="1" customHeight="1" outlineLevel="1" x14ac:dyDescent="0.3">
      <c r="A17" s="48"/>
      <c r="B17" s="9" t="str">
        <f>CONCATENATE("          ","4153"," - ","NON-TAXABLE SALES-FOOD")</f>
        <v xml:space="preserve">          4153 - NON-TAXABLE SALES-FOOD</v>
      </c>
      <c r="C17" s="9"/>
      <c r="D17" s="3">
        <f>--1126.52</f>
        <v>1126.52</v>
      </c>
      <c r="E17" s="3"/>
      <c r="F17" s="26"/>
      <c r="G17" s="3"/>
      <c r="H17" s="3"/>
      <c r="I17" s="3"/>
      <c r="J17" s="26"/>
      <c r="K17" s="3"/>
      <c r="L17" s="3">
        <f t="shared" si="0"/>
        <v>1126.52</v>
      </c>
      <c r="M17" s="3"/>
      <c r="N17" s="26">
        <f t="shared" si="1"/>
        <v>0</v>
      </c>
      <c r="O17" s="9"/>
      <c r="P17" s="3">
        <f>--119241.51</f>
        <v>119241.51</v>
      </c>
      <c r="Q17" s="3"/>
      <c r="R17" s="26"/>
      <c r="S17" s="3"/>
      <c r="T17" s="3"/>
      <c r="U17" s="3"/>
      <c r="V17" s="26"/>
      <c r="W17" s="3"/>
      <c r="X17" s="3">
        <f t="shared" si="2"/>
        <v>119241.51</v>
      </c>
      <c r="Y17" s="3"/>
      <c r="Z17" s="26">
        <f t="shared" si="3"/>
        <v>0</v>
      </c>
    </row>
    <row r="18" spans="1:26" s="70" customFormat="1" ht="15" hidden="1" customHeight="1" outlineLevel="1" x14ac:dyDescent="0.3">
      <c r="A18" s="48"/>
      <c r="B18" s="9" t="str">
        <f>CONCATENATE("          ","4155"," - ","NON-TAXABLE SALES-FOOD")</f>
        <v xml:space="preserve">          4155 - NON-TAXABLE SALES-FOOD</v>
      </c>
      <c r="C18" s="9"/>
      <c r="D18" s="3">
        <f>0</f>
        <v>0</v>
      </c>
      <c r="E18" s="3"/>
      <c r="F18" s="26"/>
      <c r="G18" s="3"/>
      <c r="H18" s="3"/>
      <c r="I18" s="3"/>
      <c r="J18" s="26"/>
      <c r="K18" s="3"/>
      <c r="L18" s="3">
        <f t="shared" si="0"/>
        <v>0</v>
      </c>
      <c r="M18" s="3"/>
      <c r="N18" s="26">
        <f t="shared" si="1"/>
        <v>0</v>
      </c>
      <c r="O18" s="9"/>
      <c r="P18" s="3">
        <f>--4683.41</f>
        <v>4683.41</v>
      </c>
      <c r="Q18" s="3"/>
      <c r="R18" s="26"/>
      <c r="S18" s="3"/>
      <c r="T18" s="3"/>
      <c r="U18" s="3"/>
      <c r="V18" s="26"/>
      <c r="W18" s="3"/>
      <c r="X18" s="3">
        <f t="shared" si="2"/>
        <v>4683.41</v>
      </c>
      <c r="Y18" s="3"/>
      <c r="Z18" s="26">
        <f t="shared" si="3"/>
        <v>0</v>
      </c>
    </row>
    <row r="19" spans="1:26" ht="15" customHeight="1" x14ac:dyDescent="0.3">
      <c r="A19" s="12"/>
      <c r="B19" s="13"/>
      <c r="C19" s="12"/>
      <c r="D19" s="4"/>
      <c r="E19" s="4"/>
      <c r="F19" s="10"/>
      <c r="G19" s="4"/>
      <c r="H19" s="4"/>
      <c r="I19" s="4"/>
      <c r="J19" s="10"/>
      <c r="K19" s="4"/>
      <c r="L19" s="4"/>
      <c r="M19" s="4"/>
      <c r="N19" s="10"/>
      <c r="P19" s="4"/>
      <c r="Q19" s="4"/>
      <c r="R19" s="10"/>
      <c r="S19" s="4"/>
      <c r="T19" s="4"/>
      <c r="U19" s="4"/>
      <c r="V19" s="10"/>
      <c r="W19" s="4"/>
      <c r="X19" s="4"/>
      <c r="Y19" s="4"/>
      <c r="Z19" s="10"/>
    </row>
    <row r="20" spans="1:26" s="63" customFormat="1" ht="15" customHeight="1" collapsed="1" x14ac:dyDescent="0.3">
      <c r="A20" s="13"/>
      <c r="B20" s="28" t="s">
        <v>288</v>
      </c>
      <c r="C20" s="13"/>
      <c r="D20" s="8">
        <f>SUM(OSRRefD16x_0)</f>
        <v>52927.69</v>
      </c>
      <c r="E20" s="8"/>
      <c r="F20" s="14">
        <f>IF(D$12=0,0,D20/D$12)</f>
        <v>0.33064392043734114</v>
      </c>
      <c r="G20" s="8"/>
      <c r="H20" s="8">
        <f>SUM(OSRRefH16x_0)</f>
        <v>0</v>
      </c>
      <c r="I20" s="8"/>
      <c r="J20" s="14">
        <f>IF(H$12=0,0,H20/H$12)</f>
        <v>0</v>
      </c>
      <c r="K20" s="8"/>
      <c r="L20" s="8">
        <f>+D20-H20</f>
        <v>52927.69</v>
      </c>
      <c r="M20" s="8"/>
      <c r="N20" s="14">
        <f>IF(H20=0,0,L20/H20)</f>
        <v>0</v>
      </c>
      <c r="O20" s="13"/>
      <c r="P20" s="8">
        <f>SUM(OSRRefP16x_0)</f>
        <v>2813794.0900000003</v>
      </c>
      <c r="Q20" s="8"/>
      <c r="R20" s="14">
        <f>IF(P$12=0,0,P20/P$12)</f>
        <v>0.23895087593364819</v>
      </c>
      <c r="S20" s="8"/>
      <c r="T20" s="8">
        <f>SUM(OSRRefT16x_0)</f>
        <v>2463898</v>
      </c>
      <c r="U20" s="8"/>
      <c r="V20" s="14">
        <f>IF(T$12=0,0,T20/T$12)</f>
        <v>0.27776627886002886</v>
      </c>
      <c r="W20" s="8"/>
      <c r="X20" s="8">
        <f>+P20-T20</f>
        <v>349896.09000000032</v>
      </c>
      <c r="Y20" s="8"/>
      <c r="Z20" s="14">
        <f>IF(T20=0,0,X20/T20)</f>
        <v>0.14200916190524135</v>
      </c>
    </row>
    <row r="21" spans="1:26" s="70" customFormat="1" ht="15" hidden="1" customHeight="1" outlineLevel="1" x14ac:dyDescent="0.3">
      <c r="A21" s="48"/>
      <c r="B21" s="9" t="str">
        <f>CONCATENATE("          ","5000"," - ","PURCHASES @ COST")</f>
        <v xml:space="preserve">          5000 - PURCHASES @ COST</v>
      </c>
      <c r="C21" s="9"/>
      <c r="D21" s="3"/>
      <c r="E21" s="3"/>
      <c r="F21" s="26">
        <f>IF(D$12=0,0,D21/D$12)</f>
        <v>0</v>
      </c>
      <c r="G21" s="3"/>
      <c r="H21" s="3"/>
      <c r="I21" s="3"/>
      <c r="J21" s="26">
        <f>IF(H$12=0,0,H21/H$12)</f>
        <v>0</v>
      </c>
      <c r="K21" s="3"/>
      <c r="L21" s="3">
        <f>+D21-H21</f>
        <v>0</v>
      </c>
      <c r="M21" s="3"/>
      <c r="N21" s="26">
        <f>IF(H21=0,0,L21/H21)</f>
        <v>0</v>
      </c>
      <c r="O21" s="9"/>
      <c r="P21" s="3"/>
      <c r="Q21" s="3"/>
      <c r="R21" s="26">
        <f>IF(P$12=0,0,P21/P$12)</f>
        <v>0</v>
      </c>
      <c r="S21" s="3"/>
      <c r="T21" s="3">
        <v>2463898</v>
      </c>
      <c r="U21" s="3"/>
      <c r="V21" s="26">
        <f>IF(T$12=0,0,T21/T$12)</f>
        <v>0.27776627886002886</v>
      </c>
      <c r="W21" s="3"/>
      <c r="X21" s="3">
        <f>+P21-T21</f>
        <v>-2463898</v>
      </c>
      <c r="Y21" s="3"/>
      <c r="Z21" s="26">
        <f>IF(T21=0,0,X21/T21)</f>
        <v>-1</v>
      </c>
    </row>
    <row r="22" spans="1:26" s="70" customFormat="1" ht="15" hidden="1" customHeight="1" outlineLevel="1" x14ac:dyDescent="0.3">
      <c r="A22" s="48"/>
      <c r="B22" s="9" t="str">
        <f>CONCATENATE("          ","5053"," - ","PURCHASES @ COST-FOOD")</f>
        <v xml:space="preserve">          5053 - PURCHASES @ COST-FOOD</v>
      </c>
      <c r="C22" s="9"/>
      <c r="D22" s="3">
        <v>67827.69</v>
      </c>
      <c r="E22" s="3"/>
      <c r="F22" s="26">
        <f>IF(D$12=0,0,D22/D$12)</f>
        <v>0.42372552695590227</v>
      </c>
      <c r="G22" s="3"/>
      <c r="H22" s="3"/>
      <c r="I22" s="3"/>
      <c r="J22" s="26">
        <f>IF(H$12=0,0,H22/H$12)</f>
        <v>0</v>
      </c>
      <c r="K22" s="3"/>
      <c r="L22" s="3">
        <f>+D22-H22</f>
        <v>67827.69</v>
      </c>
      <c r="M22" s="3"/>
      <c r="N22" s="26">
        <f>IF(H22=0,0,L22/H22)</f>
        <v>0</v>
      </c>
      <c r="O22" s="9"/>
      <c r="P22" s="3">
        <v>2847027.95</v>
      </c>
      <c r="Q22" s="3"/>
      <c r="R22" s="26">
        <f>IF(P$12=0,0,P22/P$12)</f>
        <v>0.24177313644868687</v>
      </c>
      <c r="S22" s="3"/>
      <c r="T22" s="3"/>
      <c r="U22" s="3"/>
      <c r="V22" s="26">
        <f>IF(T$12=0,0,T22/T$12)</f>
        <v>0</v>
      </c>
      <c r="W22" s="3"/>
      <c r="X22" s="3">
        <f>+P22-T22</f>
        <v>2847027.95</v>
      </c>
      <c r="Y22" s="3"/>
      <c r="Z22" s="26">
        <f>IF(T22=0,0,X22/T22)</f>
        <v>0</v>
      </c>
    </row>
    <row r="23" spans="1:26" s="70" customFormat="1" ht="15" hidden="1" customHeight="1" outlineLevel="1" x14ac:dyDescent="0.3">
      <c r="A23" s="48"/>
      <c r="B23" s="9" t="str">
        <f>CONCATENATE("          ","5059"," - ","PURCHASES @ COST-FOOD")</f>
        <v xml:space="preserve">          5059 - PURCHASES @ COST-FOOD</v>
      </c>
      <c r="C23" s="9"/>
      <c r="D23" s="3">
        <v>-14900</v>
      </c>
      <c r="E23" s="3"/>
      <c r="F23" s="26">
        <f>IF(D$12=0,0,D23/D$12)</f>
        <v>-9.3081606518561136E-2</v>
      </c>
      <c r="G23" s="3"/>
      <c r="H23" s="3"/>
      <c r="I23" s="3"/>
      <c r="J23" s="26">
        <f>IF(H$12=0,0,H23/H$12)</f>
        <v>0</v>
      </c>
      <c r="K23" s="3"/>
      <c r="L23" s="3">
        <f>+D23-H23</f>
        <v>-14900</v>
      </c>
      <c r="M23" s="3"/>
      <c r="N23" s="26">
        <f>IF(H23=0,0,L23/H23)</f>
        <v>0</v>
      </c>
      <c r="O23" s="9"/>
      <c r="P23" s="3">
        <v>-33233.86</v>
      </c>
      <c r="Q23" s="3"/>
      <c r="R23" s="26">
        <f>IF(P$12=0,0,P23/P$12)</f>
        <v>-2.8222605150386936E-3</v>
      </c>
      <c r="S23" s="3"/>
      <c r="T23" s="3"/>
      <c r="U23" s="3"/>
      <c r="V23" s="26">
        <f>IF(T$12=0,0,T23/T$12)</f>
        <v>0</v>
      </c>
      <c r="W23" s="3"/>
      <c r="X23" s="3">
        <f>+P23-T23</f>
        <v>-33233.86</v>
      </c>
      <c r="Y23" s="3"/>
      <c r="Z23" s="26">
        <f>IF(T23=0,0,X23/T23)</f>
        <v>0</v>
      </c>
    </row>
    <row r="24" spans="1:26" ht="15" customHeight="1" x14ac:dyDescent="0.3">
      <c r="A24" s="12"/>
      <c r="B24" s="13"/>
      <c r="C24" s="13"/>
      <c r="D24" s="4"/>
      <c r="E24" s="4"/>
      <c r="F24" s="10"/>
      <c r="G24" s="4"/>
      <c r="H24" s="4"/>
      <c r="I24" s="4"/>
      <c r="J24" s="10"/>
      <c r="K24" s="4"/>
      <c r="L24" s="4"/>
      <c r="M24" s="4"/>
      <c r="N24" s="10"/>
      <c r="O24" s="13"/>
      <c r="P24" s="4"/>
      <c r="Q24" s="4"/>
      <c r="R24" s="10"/>
      <c r="S24" s="4"/>
      <c r="T24" s="4"/>
      <c r="U24" s="4"/>
      <c r="V24" s="10"/>
      <c r="W24" s="4"/>
      <c r="X24" s="4"/>
      <c r="Y24" s="4"/>
      <c r="Z24" s="10"/>
    </row>
    <row r="25" spans="1:26" s="63" customFormat="1" ht="15" customHeight="1" x14ac:dyDescent="0.3">
      <c r="A25" s="13"/>
      <c r="B25" s="27" t="s">
        <v>289</v>
      </c>
      <c r="C25" s="27"/>
      <c r="D25" s="23">
        <f>D12-D20</f>
        <v>107146.9</v>
      </c>
      <c r="E25" s="15"/>
      <c r="F25" s="22">
        <f>IF(D$12=0,0,D25/D$12)</f>
        <v>0.66935607956265886</v>
      </c>
      <c r="G25" s="15"/>
      <c r="H25" s="23">
        <f>H12-H20</f>
        <v>0</v>
      </c>
      <c r="I25" s="15"/>
      <c r="J25" s="22">
        <f>IF(H$12=0,0,H25/H$12)</f>
        <v>0</v>
      </c>
      <c r="K25" s="17"/>
      <c r="L25" s="23">
        <f>+D25-H25</f>
        <v>107146.9</v>
      </c>
      <c r="M25" s="17"/>
      <c r="N25" s="22">
        <f>IF(H25=0,0,L25/H25)</f>
        <v>0</v>
      </c>
      <c r="O25" s="28"/>
      <c r="P25" s="23">
        <f>P12-P20</f>
        <v>8961823.3000000007</v>
      </c>
      <c r="Q25" s="15"/>
      <c r="R25" s="22">
        <f>IF(P$12=0,0,P25/P$12)</f>
        <v>0.76104912406635183</v>
      </c>
      <c r="S25" s="15"/>
      <c r="T25" s="23">
        <f>T12-T20</f>
        <v>6406502</v>
      </c>
      <c r="U25" s="15"/>
      <c r="V25" s="22">
        <f>IF(T$12=0,0,T25/T$12)</f>
        <v>0.72223372113997109</v>
      </c>
      <c r="W25" s="17"/>
      <c r="X25" s="23">
        <f>+P25-T25</f>
        <v>2555321.3000000007</v>
      </c>
      <c r="Y25" s="17"/>
      <c r="Z25" s="22">
        <f>IF(T25=0,0,X25/T25)</f>
        <v>0.3988637325017616</v>
      </c>
    </row>
    <row r="26" spans="1:26" ht="15" customHeight="1" x14ac:dyDescent="0.3">
      <c r="A26" s="12"/>
      <c r="B26" s="13"/>
      <c r="C26" s="12"/>
      <c r="D26" s="2"/>
      <c r="E26" s="2"/>
      <c r="F26" s="5"/>
      <c r="G26" s="2"/>
      <c r="H26" s="2"/>
      <c r="I26" s="2"/>
      <c r="J26" s="5"/>
      <c r="K26" s="2"/>
      <c r="L26" s="2"/>
      <c r="M26" s="2"/>
      <c r="N26" s="5"/>
      <c r="O26" s="36"/>
      <c r="P26" s="2"/>
      <c r="Q26" s="2"/>
      <c r="R26" s="5"/>
      <c r="S26" s="2"/>
      <c r="T26" s="2"/>
      <c r="U26" s="2"/>
      <c r="V26" s="5"/>
      <c r="W26" s="2"/>
      <c r="X26" s="2"/>
      <c r="Y26" s="2"/>
      <c r="Z26" s="5"/>
    </row>
    <row r="27" spans="1:26" s="63" customFormat="1" ht="15" customHeight="1" x14ac:dyDescent="0.3">
      <c r="A27" s="13"/>
      <c r="B27" s="28" t="s">
        <v>290</v>
      </c>
      <c r="C27" s="13"/>
      <c r="D27" s="24" cm="1">
        <f t="array" ref="D27">SUM(OSRRefD22x_0)</f>
        <v>185520.31999999998</v>
      </c>
      <c r="E27" s="24"/>
      <c r="F27" s="34">
        <f t="shared" ref="F27:F58" si="4">IF(D$12=0,0,D27/D$12)</f>
        <v>1.1589617065394326</v>
      </c>
      <c r="G27" s="24"/>
      <c r="H27" s="24" cm="1">
        <f t="array" ref="H27">SUM(OSRRefH22x_0)</f>
        <v>278265.06823726604</v>
      </c>
      <c r="I27" s="24"/>
      <c r="J27" s="34">
        <f t="shared" ref="J27:J58" si="5">IF(H$12=0,0,H27/H$12)</f>
        <v>0</v>
      </c>
      <c r="K27" s="8"/>
      <c r="L27" s="24">
        <f t="shared" ref="L27:L58" si="6">+D27-H27</f>
        <v>-92744.74823726606</v>
      </c>
      <c r="M27" s="8"/>
      <c r="N27" s="34">
        <f t="shared" ref="N27:N58" si="7">IF(H27=0,0,L27/H27)</f>
        <v>-0.33329640987558717</v>
      </c>
      <c r="O27" s="13"/>
      <c r="P27" s="24" cm="1">
        <f t="array" ref="P27">SUM(OSRRefP22x_0)</f>
        <v>5323922.0099999988</v>
      </c>
      <c r="Q27" s="24"/>
      <c r="R27" s="34">
        <f t="shared" ref="R27:R58" si="8">IF(P$12=0,0,P27/P$12)</f>
        <v>0.45211404495199881</v>
      </c>
      <c r="S27" s="24"/>
      <c r="T27" s="24" cm="1">
        <f t="array" ref="T27">SUM(OSRRefT22x_0)</f>
        <v>5944472.470155159</v>
      </c>
      <c r="U27" s="24"/>
      <c r="V27" s="34">
        <f t="shared" ref="V27:V58" si="9">IF(T$12=0,0,T27/T$12)</f>
        <v>0.67014705877470682</v>
      </c>
      <c r="W27" s="8"/>
      <c r="X27" s="24">
        <f t="shared" ref="X27:X58" si="10">+P27-T27</f>
        <v>-620550.46015516017</v>
      </c>
      <c r="Y27" s="8"/>
      <c r="Z27" s="34">
        <f t="shared" ref="Z27:Z58" si="11">IF(T27=0,0,X27/T27)</f>
        <v>-0.10439117403111851</v>
      </c>
    </row>
    <row r="28" spans="1:26" s="69" customFormat="1" ht="15" customHeight="1" outlineLevel="1" collapsed="1" x14ac:dyDescent="0.3">
      <c r="A28" s="20"/>
      <c r="B28" s="11" t="str">
        <f>CONCATENATE("     ","*Benefits                                         ")</f>
        <v xml:space="preserve">     *Benefits                                         </v>
      </c>
      <c r="C28" s="11"/>
      <c r="D28" s="2">
        <f>SUM(OSRRefD22_0x_0)</f>
        <v>35979.730000000003</v>
      </c>
      <c r="E28" s="2"/>
      <c r="F28" s="5">
        <f t="shared" si="4"/>
        <v>0.22476852822174964</v>
      </c>
      <c r="G28" s="2"/>
      <c r="H28" s="2">
        <f>SUM(OSRRefH22_0x_0)</f>
        <v>95598.633283419957</v>
      </c>
      <c r="I28" s="2"/>
      <c r="J28" s="5">
        <f t="shared" si="5"/>
        <v>0</v>
      </c>
      <c r="K28" s="2"/>
      <c r="L28" s="2">
        <f t="shared" si="6"/>
        <v>-59618.903283419953</v>
      </c>
      <c r="M28" s="2"/>
      <c r="N28" s="5">
        <f t="shared" si="7"/>
        <v>-0.62363761108036564</v>
      </c>
      <c r="O28" s="11"/>
      <c r="P28" s="2">
        <f>SUM(OSRRefP22_0x_0)</f>
        <v>995245.82999999984</v>
      </c>
      <c r="Q28" s="2"/>
      <c r="R28" s="5">
        <f t="shared" si="8"/>
        <v>8.4517507408586059E-2</v>
      </c>
      <c r="S28" s="2"/>
      <c r="T28" s="2">
        <f>SUM(OSRRefT22_0x_0)</f>
        <v>1340961.2742551598</v>
      </c>
      <c r="U28" s="2"/>
      <c r="V28" s="5">
        <f t="shared" si="9"/>
        <v>0.15117258232494135</v>
      </c>
      <c r="W28" s="2"/>
      <c r="X28" s="2">
        <f t="shared" si="10"/>
        <v>-345715.44425515993</v>
      </c>
      <c r="Y28" s="2"/>
      <c r="Z28" s="5">
        <f t="shared" si="11"/>
        <v>-0.25781165414130874</v>
      </c>
    </row>
    <row r="29" spans="1:26" s="70" customFormat="1" ht="15" hidden="1" customHeight="1" outlineLevel="2" x14ac:dyDescent="0.3">
      <c r="A29" s="21"/>
      <c r="B29" s="9" t="str">
        <f>CONCATENATE("          ","6111"," - ","F.I.C.A.")</f>
        <v xml:space="preserve">          6111 - F.I.C.A.</v>
      </c>
      <c r="C29" s="9"/>
      <c r="D29" s="6">
        <v>9611.8799999999992</v>
      </c>
      <c r="E29" s="3"/>
      <c r="F29" s="7">
        <f t="shared" si="4"/>
        <v>6.004625718547834E-2</v>
      </c>
      <c r="G29" s="3"/>
      <c r="H29" s="6">
        <v>10067.977041881501</v>
      </c>
      <c r="I29" s="3"/>
      <c r="J29" s="7">
        <f t="shared" si="5"/>
        <v>0</v>
      </c>
      <c r="K29" s="3"/>
      <c r="L29" s="6">
        <f t="shared" si="6"/>
        <v>-456.09704188150135</v>
      </c>
      <c r="M29" s="3"/>
      <c r="N29" s="7">
        <f t="shared" si="7"/>
        <v>-4.5301756249959232E-2</v>
      </c>
      <c r="O29" s="9"/>
      <c r="P29" s="6">
        <v>144382.19</v>
      </c>
      <c r="Q29" s="3"/>
      <c r="R29" s="7">
        <f t="shared" si="8"/>
        <v>1.2261114234452891E-2</v>
      </c>
      <c r="S29" s="3"/>
      <c r="T29" s="6">
        <v>150131.24067515999</v>
      </c>
      <c r="U29" s="3"/>
      <c r="V29" s="7">
        <f t="shared" si="9"/>
        <v>1.6924968510457251E-2</v>
      </c>
      <c r="W29" s="3"/>
      <c r="X29" s="6">
        <f t="shared" si="10"/>
        <v>-5749.0506751599896</v>
      </c>
      <c r="Y29" s="3"/>
      <c r="Z29" s="7">
        <f t="shared" si="11"/>
        <v>-3.8293500069044591E-2</v>
      </c>
    </row>
    <row r="30" spans="1:26" s="70" customFormat="1" ht="15" hidden="1" customHeight="1" outlineLevel="2" x14ac:dyDescent="0.3">
      <c r="A30" s="21"/>
      <c r="B30" s="9" t="str">
        <f>CONCATENATE("          ","6112"," - ","COMPENSATION INSURANCE")</f>
        <v xml:space="preserve">          6112 - COMPENSATION INSURANCE</v>
      </c>
      <c r="C30" s="9"/>
      <c r="D30" s="6">
        <v>-37177.040000000001</v>
      </c>
      <c r="E30" s="3"/>
      <c r="F30" s="7">
        <f t="shared" si="4"/>
        <v>-0.23224822877884618</v>
      </c>
      <c r="G30" s="3"/>
      <c r="H30" s="6">
        <v>5158.5292982923102</v>
      </c>
      <c r="I30" s="3"/>
      <c r="J30" s="7">
        <f t="shared" si="5"/>
        <v>0</v>
      </c>
      <c r="K30" s="3"/>
      <c r="L30" s="6">
        <f t="shared" si="6"/>
        <v>-42335.569298292314</v>
      </c>
      <c r="M30" s="3"/>
      <c r="N30" s="7">
        <f t="shared" si="7"/>
        <v>-8.2069068236768885</v>
      </c>
      <c r="O30" s="9"/>
      <c r="P30" s="6">
        <v>52122.58</v>
      </c>
      <c r="Q30" s="3"/>
      <c r="R30" s="7">
        <f t="shared" si="8"/>
        <v>4.4263139904887824E-3</v>
      </c>
      <c r="S30" s="3"/>
      <c r="T30" s="6">
        <v>119700.55054880001</v>
      </c>
      <c r="U30" s="3"/>
      <c r="V30" s="7">
        <f t="shared" si="9"/>
        <v>1.3494380247655124E-2</v>
      </c>
      <c r="W30" s="3"/>
      <c r="X30" s="6">
        <f t="shared" si="10"/>
        <v>-67577.970548800004</v>
      </c>
      <c r="Y30" s="3"/>
      <c r="Z30" s="7">
        <f t="shared" si="11"/>
        <v>-0.56455856083343192</v>
      </c>
    </row>
    <row r="31" spans="1:26" s="70" customFormat="1" ht="15" hidden="1" customHeight="1" outlineLevel="2" x14ac:dyDescent="0.3">
      <c r="A31" s="21"/>
      <c r="B31" s="9" t="str">
        <f>CONCATENATE("          ","6113"," - ","GROUP INSURANCE")</f>
        <v xml:space="preserve">          6113 - GROUP INSURANCE</v>
      </c>
      <c r="C31" s="9"/>
      <c r="D31" s="6">
        <v>42149.23</v>
      </c>
      <c r="E31" s="3"/>
      <c r="F31" s="7">
        <f t="shared" si="4"/>
        <v>0.26330993569935118</v>
      </c>
      <c r="G31" s="3"/>
      <c r="H31" s="6">
        <v>61886.692307692298</v>
      </c>
      <c r="I31" s="3"/>
      <c r="J31" s="7">
        <f t="shared" si="5"/>
        <v>0</v>
      </c>
      <c r="K31" s="3"/>
      <c r="L31" s="6">
        <f t="shared" si="6"/>
        <v>-19737.462307692294</v>
      </c>
      <c r="M31" s="3"/>
      <c r="N31" s="7">
        <f t="shared" si="7"/>
        <v>-0.31892902289171138</v>
      </c>
      <c r="O31" s="9"/>
      <c r="P31" s="6">
        <v>510825.68</v>
      </c>
      <c r="Q31" s="3"/>
      <c r="R31" s="7">
        <f t="shared" si="8"/>
        <v>4.3379948845297868E-2</v>
      </c>
      <c r="S31" s="3"/>
      <c r="T31" s="6">
        <v>790620</v>
      </c>
      <c r="U31" s="3"/>
      <c r="V31" s="7">
        <f t="shared" si="9"/>
        <v>8.9130140692640691E-2</v>
      </c>
      <c r="W31" s="3"/>
      <c r="X31" s="6">
        <f t="shared" si="10"/>
        <v>-279794.32</v>
      </c>
      <c r="Y31" s="3"/>
      <c r="Z31" s="7">
        <f t="shared" si="11"/>
        <v>-0.35389228706584708</v>
      </c>
    </row>
    <row r="32" spans="1:26" s="70" customFormat="1" ht="15" hidden="1" customHeight="1" outlineLevel="2" x14ac:dyDescent="0.3">
      <c r="A32" s="21"/>
      <c r="B32" s="9" t="str">
        <f>CONCATENATE("          ","6114"," - ","STATE UNEMPLOYMENT INSURANCE")</f>
        <v xml:space="preserve">          6114 - STATE UNEMPLOYMENT INSURANCE</v>
      </c>
      <c r="C32" s="9"/>
      <c r="D32" s="6"/>
      <c r="E32" s="3"/>
      <c r="F32" s="7">
        <f t="shared" si="4"/>
        <v>0</v>
      </c>
      <c r="G32" s="3"/>
      <c r="H32" s="6">
        <v>285.82880016923099</v>
      </c>
      <c r="I32" s="3"/>
      <c r="J32" s="7">
        <f t="shared" si="5"/>
        <v>0</v>
      </c>
      <c r="K32" s="3"/>
      <c r="L32" s="6">
        <f t="shared" si="6"/>
        <v>-285.82880016923099</v>
      </c>
      <c r="M32" s="3"/>
      <c r="N32" s="7">
        <f t="shared" si="7"/>
        <v>-1</v>
      </c>
      <c r="O32" s="9"/>
      <c r="P32" s="6">
        <v>6449.37</v>
      </c>
      <c r="Q32" s="3"/>
      <c r="R32" s="7">
        <f t="shared" si="8"/>
        <v>5.4768848090095768E-4</v>
      </c>
      <c r="S32" s="3"/>
      <c r="T32" s="6">
        <v>6632.4843312000003</v>
      </c>
      <c r="U32" s="3"/>
      <c r="V32" s="7">
        <f t="shared" si="9"/>
        <v>7.4770972348484847E-4</v>
      </c>
      <c r="W32" s="3"/>
      <c r="X32" s="6">
        <f t="shared" si="10"/>
        <v>-183.11433120000038</v>
      </c>
      <c r="Y32" s="3"/>
      <c r="Z32" s="7">
        <f t="shared" si="11"/>
        <v>-2.7608709203971828E-2</v>
      </c>
    </row>
    <row r="33" spans="1:26" s="70" customFormat="1" ht="15" hidden="1" customHeight="1" outlineLevel="2" x14ac:dyDescent="0.3">
      <c r="A33" s="21"/>
      <c r="B33" s="9" t="str">
        <f>CONCATENATE("          ","6115"," - ","P.E.R.S.")</f>
        <v xml:space="preserve">          6115 - P.E.R.S.</v>
      </c>
      <c r="C33" s="9"/>
      <c r="D33" s="6">
        <v>3591.51</v>
      </c>
      <c r="E33" s="3"/>
      <c r="F33" s="7">
        <f t="shared" si="4"/>
        <v>2.2436477894461578E-2</v>
      </c>
      <c r="G33" s="3"/>
      <c r="H33" s="6">
        <v>3855.08832769231</v>
      </c>
      <c r="I33" s="3"/>
      <c r="J33" s="7">
        <f t="shared" si="5"/>
        <v>0</v>
      </c>
      <c r="K33" s="3"/>
      <c r="L33" s="6">
        <f t="shared" si="6"/>
        <v>-263.57832769230981</v>
      </c>
      <c r="M33" s="3"/>
      <c r="N33" s="7">
        <f t="shared" si="7"/>
        <v>-6.8371540490770058E-2</v>
      </c>
      <c r="O33" s="9"/>
      <c r="P33" s="6">
        <v>50364.89</v>
      </c>
      <c r="Q33" s="3"/>
      <c r="R33" s="7">
        <f t="shared" si="8"/>
        <v>4.277048780709408E-3</v>
      </c>
      <c r="S33" s="3"/>
      <c r="T33" s="6">
        <v>49965.922599999998</v>
      </c>
      <c r="U33" s="3"/>
      <c r="V33" s="7">
        <f t="shared" si="9"/>
        <v>5.6328826884920634E-3</v>
      </c>
      <c r="W33" s="3"/>
      <c r="X33" s="6">
        <f t="shared" si="10"/>
        <v>398.96740000000136</v>
      </c>
      <c r="Y33" s="3"/>
      <c r="Z33" s="7">
        <f t="shared" si="11"/>
        <v>7.984790017666988E-3</v>
      </c>
    </row>
    <row r="34" spans="1:26" s="70" customFormat="1" ht="15" hidden="1" customHeight="1" outlineLevel="2" x14ac:dyDescent="0.3">
      <c r="A34" s="21"/>
      <c r="B34" s="9" t="str">
        <f>CONCATENATE("          ","6116"," - ","EDUCATIONAL BENEFITS")</f>
        <v xml:space="preserve">          6116 - EDUCATIONAL BENEFITS</v>
      </c>
      <c r="C34" s="9"/>
      <c r="D34" s="6"/>
      <c r="E34" s="3"/>
      <c r="F34" s="7">
        <f t="shared" si="4"/>
        <v>0</v>
      </c>
      <c r="G34" s="3"/>
      <c r="H34" s="6">
        <v>0</v>
      </c>
      <c r="I34" s="3"/>
      <c r="J34" s="7">
        <f t="shared" si="5"/>
        <v>0</v>
      </c>
      <c r="K34" s="3"/>
      <c r="L34" s="6">
        <f t="shared" si="6"/>
        <v>0</v>
      </c>
      <c r="M34" s="3"/>
      <c r="N34" s="7">
        <f t="shared" si="7"/>
        <v>0</v>
      </c>
      <c r="O34" s="9"/>
      <c r="P34" s="6"/>
      <c r="Q34" s="3"/>
      <c r="R34" s="7">
        <f t="shared" si="8"/>
        <v>0</v>
      </c>
      <c r="S34" s="3"/>
      <c r="T34" s="6">
        <v>0</v>
      </c>
      <c r="U34" s="3"/>
      <c r="V34" s="7">
        <f t="shared" si="9"/>
        <v>0</v>
      </c>
      <c r="W34" s="3"/>
      <c r="X34" s="6">
        <f t="shared" si="10"/>
        <v>0</v>
      </c>
      <c r="Y34" s="3"/>
      <c r="Z34" s="7">
        <f t="shared" si="11"/>
        <v>0</v>
      </c>
    </row>
    <row r="35" spans="1:26" s="70" customFormat="1" ht="15" hidden="1" customHeight="1" outlineLevel="2" x14ac:dyDescent="0.3">
      <c r="A35" s="21"/>
      <c r="B35" s="9" t="str">
        <f>CONCATENATE("          ","6117"," - ","RETIREMENT STAFF HOURLY")</f>
        <v xml:space="preserve">          6117 - RETIREMENT STAFF HOURLY</v>
      </c>
      <c r="C35" s="9"/>
      <c r="D35" s="6">
        <v>1426.27</v>
      </c>
      <c r="E35" s="3"/>
      <c r="F35" s="7">
        <f t="shared" si="4"/>
        <v>8.910033753639475E-3</v>
      </c>
      <c r="G35" s="3"/>
      <c r="H35" s="6"/>
      <c r="I35" s="3"/>
      <c r="J35" s="7">
        <f t="shared" si="5"/>
        <v>0</v>
      </c>
      <c r="K35" s="3"/>
      <c r="L35" s="6">
        <f t="shared" si="6"/>
        <v>1426.27</v>
      </c>
      <c r="M35" s="3"/>
      <c r="N35" s="7">
        <f t="shared" si="7"/>
        <v>0</v>
      </c>
      <c r="O35" s="9"/>
      <c r="P35" s="6">
        <v>19824.41</v>
      </c>
      <c r="Q35" s="3"/>
      <c r="R35" s="7">
        <f t="shared" si="8"/>
        <v>1.6835134280802238E-3</v>
      </c>
      <c r="S35" s="3"/>
      <c r="T35" s="6"/>
      <c r="U35" s="3"/>
      <c r="V35" s="7">
        <f t="shared" si="9"/>
        <v>0</v>
      </c>
      <c r="W35" s="3"/>
      <c r="X35" s="6">
        <f t="shared" si="10"/>
        <v>19824.41</v>
      </c>
      <c r="Y35" s="3"/>
      <c r="Z35" s="7">
        <f t="shared" si="11"/>
        <v>0</v>
      </c>
    </row>
    <row r="36" spans="1:26" s="70" customFormat="1" ht="15" hidden="1" customHeight="1" outlineLevel="2" x14ac:dyDescent="0.3">
      <c r="A36" s="21"/>
      <c r="B36" s="9" t="str">
        <f>CONCATENATE("          ","6118"," - ","VACATION")</f>
        <v xml:space="preserve">          6118 - VACATION</v>
      </c>
      <c r="C36" s="9"/>
      <c r="D36" s="6">
        <v>7517.87</v>
      </c>
      <c r="E36" s="3"/>
      <c r="F36" s="7">
        <f t="shared" si="4"/>
        <v>4.6964793100516454E-2</v>
      </c>
      <c r="G36" s="3"/>
      <c r="H36" s="6">
        <v>5681.2654538461502</v>
      </c>
      <c r="I36" s="3"/>
      <c r="J36" s="7">
        <f t="shared" si="5"/>
        <v>0</v>
      </c>
      <c r="K36" s="3"/>
      <c r="L36" s="6">
        <f t="shared" si="6"/>
        <v>1836.6045461538497</v>
      </c>
      <c r="M36" s="3"/>
      <c r="N36" s="7">
        <f t="shared" si="7"/>
        <v>0.32327384824282235</v>
      </c>
      <c r="O36" s="9"/>
      <c r="P36" s="6">
        <v>95958.32</v>
      </c>
      <c r="Q36" s="3"/>
      <c r="R36" s="7">
        <f t="shared" si="8"/>
        <v>8.1488992739768354E-3</v>
      </c>
      <c r="S36" s="3"/>
      <c r="T36" s="6">
        <v>73804.046600000001</v>
      </c>
      <c r="U36" s="3"/>
      <c r="V36" s="7">
        <f t="shared" si="9"/>
        <v>8.3202613861832614E-3</v>
      </c>
      <c r="W36" s="3"/>
      <c r="X36" s="6">
        <f t="shared" si="10"/>
        <v>22154.273400000005</v>
      </c>
      <c r="Y36" s="3"/>
      <c r="Z36" s="7">
        <f t="shared" si="11"/>
        <v>0.3001769472082037</v>
      </c>
    </row>
    <row r="37" spans="1:26" s="70" customFormat="1" ht="15" hidden="1" customHeight="1" outlineLevel="2" x14ac:dyDescent="0.3">
      <c r="A37" s="21"/>
      <c r="B37" s="9" t="str">
        <f>CONCATENATE("          ","6119"," - ","SICK LEAVE")</f>
        <v xml:space="preserve">          6119 - SICK LEAVE</v>
      </c>
      <c r="C37" s="9"/>
      <c r="D37" s="6">
        <v>5570.7</v>
      </c>
      <c r="E37" s="3"/>
      <c r="F37" s="7">
        <f t="shared" si="4"/>
        <v>3.4800651371338823E-2</v>
      </c>
      <c r="G37" s="3"/>
      <c r="H37" s="6">
        <v>4463.2520538461504</v>
      </c>
      <c r="I37" s="3"/>
      <c r="J37" s="7">
        <f t="shared" si="5"/>
        <v>0</v>
      </c>
      <c r="K37" s="3"/>
      <c r="L37" s="6">
        <f t="shared" si="6"/>
        <v>1107.4479461538494</v>
      </c>
      <c r="M37" s="3"/>
      <c r="N37" s="7">
        <f t="shared" si="7"/>
        <v>0.24812579096883411</v>
      </c>
      <c r="O37" s="9"/>
      <c r="P37" s="6">
        <v>74300.179999999993</v>
      </c>
      <c r="Q37" s="3"/>
      <c r="R37" s="7">
        <f t="shared" si="8"/>
        <v>6.3096632252247443E-3</v>
      </c>
      <c r="S37" s="3"/>
      <c r="T37" s="6">
        <v>99707.029500000004</v>
      </c>
      <c r="U37" s="3"/>
      <c r="V37" s="7">
        <f t="shared" si="9"/>
        <v>1.1240420894209957E-2</v>
      </c>
      <c r="W37" s="3"/>
      <c r="X37" s="6">
        <f t="shared" si="10"/>
        <v>-25406.849500000011</v>
      </c>
      <c r="Y37" s="3"/>
      <c r="Z37" s="7">
        <f t="shared" si="11"/>
        <v>-0.25481502786120019</v>
      </c>
    </row>
    <row r="38" spans="1:26" s="70" customFormat="1" ht="15" hidden="1" customHeight="1" outlineLevel="2" x14ac:dyDescent="0.3">
      <c r="A38" s="21"/>
      <c r="B38" s="9" t="str">
        <f>CONCATENATE("          ","6156"," - ","EMPLOYEE MEALS")</f>
        <v xml:space="preserve">          6156 - EMPLOYEE MEALS</v>
      </c>
      <c r="C38" s="9"/>
      <c r="D38" s="6">
        <v>3289.31</v>
      </c>
      <c r="E38" s="3"/>
      <c r="F38" s="7">
        <f t="shared" si="4"/>
        <v>2.0548607995809952E-2</v>
      </c>
      <c r="G38" s="3"/>
      <c r="H38" s="6">
        <v>4200</v>
      </c>
      <c r="I38" s="3"/>
      <c r="J38" s="7">
        <f t="shared" si="5"/>
        <v>0</v>
      </c>
      <c r="K38" s="3"/>
      <c r="L38" s="6">
        <f t="shared" si="6"/>
        <v>-910.69</v>
      </c>
      <c r="M38" s="3"/>
      <c r="N38" s="7">
        <f t="shared" si="7"/>
        <v>-0.2168309523809524</v>
      </c>
      <c r="O38" s="9"/>
      <c r="P38" s="6">
        <v>41018.21</v>
      </c>
      <c r="Q38" s="3"/>
      <c r="R38" s="7">
        <f t="shared" si="8"/>
        <v>3.4833171494543604E-3</v>
      </c>
      <c r="S38" s="3"/>
      <c r="T38" s="6">
        <v>50400</v>
      </c>
      <c r="U38" s="3"/>
      <c r="V38" s="7">
        <f t="shared" si="9"/>
        <v>5.681818181818182E-3</v>
      </c>
      <c r="W38" s="3"/>
      <c r="X38" s="6">
        <f t="shared" si="10"/>
        <v>-9381.7900000000009</v>
      </c>
      <c r="Y38" s="3"/>
      <c r="Z38" s="7">
        <f t="shared" si="11"/>
        <v>-0.18614662698412701</v>
      </c>
    </row>
    <row r="39" spans="1:26" s="69" customFormat="1" ht="15" customHeight="1" outlineLevel="1" collapsed="1" x14ac:dyDescent="0.3">
      <c r="A39" s="20"/>
      <c r="B39" s="11" t="str">
        <f>CONCATENATE("     ","*Payroll                                          ")</f>
        <v xml:space="preserve">     *Payroll                                          </v>
      </c>
      <c r="C39" s="11"/>
      <c r="D39" s="2">
        <f>SUM(OSRRefD22_1x_0)</f>
        <v>108223.4</v>
      </c>
      <c r="E39" s="2"/>
      <c r="F39" s="5">
        <f t="shared" si="4"/>
        <v>0.67608106945643276</v>
      </c>
      <c r="G39" s="2"/>
      <c r="H39" s="2">
        <f>SUM(OSRRefH22_1x_0)</f>
        <v>125964.4349538461</v>
      </c>
      <c r="I39" s="2"/>
      <c r="J39" s="5">
        <f t="shared" si="5"/>
        <v>0</v>
      </c>
      <c r="K39" s="2"/>
      <c r="L39" s="2">
        <f t="shared" si="6"/>
        <v>-17741.034953846101</v>
      </c>
      <c r="M39" s="2"/>
      <c r="N39" s="5">
        <f t="shared" si="7"/>
        <v>-0.14084161898830008</v>
      </c>
      <c r="O39" s="11"/>
      <c r="P39" s="2">
        <f>SUM(OSRRefP22_1x_0)</f>
        <v>2664761.58</v>
      </c>
      <c r="Q39" s="2"/>
      <c r="R39" s="5">
        <f t="shared" si="8"/>
        <v>0.22629485077045289</v>
      </c>
      <c r="S39" s="2"/>
      <c r="T39" s="2">
        <f>SUM(OSRRefT22_1x_0)</f>
        <v>2996304.1958999992</v>
      </c>
      <c r="U39" s="2"/>
      <c r="V39" s="5">
        <f t="shared" si="9"/>
        <v>0.33778681862148258</v>
      </c>
      <c r="W39" s="2"/>
      <c r="X39" s="2">
        <f t="shared" si="10"/>
        <v>-331542.61589999916</v>
      </c>
      <c r="Y39" s="2"/>
      <c r="Z39" s="5">
        <f t="shared" si="11"/>
        <v>-0.11065051951456277</v>
      </c>
    </row>
    <row r="40" spans="1:26" s="70" customFormat="1" ht="15" hidden="1" customHeight="1" outlineLevel="2" x14ac:dyDescent="0.3">
      <c r="A40" s="21"/>
      <c r="B40" s="9" t="str">
        <f>CONCATENATE("          ","6001"," - ","ADMINISTRATIVE SALARIES")</f>
        <v xml:space="preserve">          6001 - ADMINISTRATIVE SALARIES</v>
      </c>
      <c r="C40" s="9"/>
      <c r="D40" s="6">
        <v>9317.92</v>
      </c>
      <c r="E40" s="3"/>
      <c r="F40" s="7">
        <f t="shared" si="4"/>
        <v>5.8209863289357795E-2</v>
      </c>
      <c r="G40" s="3"/>
      <c r="H40" s="6">
        <v>0</v>
      </c>
      <c r="I40" s="3"/>
      <c r="J40" s="7">
        <f t="shared" si="5"/>
        <v>0</v>
      </c>
      <c r="K40" s="3"/>
      <c r="L40" s="6">
        <f t="shared" si="6"/>
        <v>9317.92</v>
      </c>
      <c r="M40" s="3"/>
      <c r="N40" s="7">
        <f t="shared" si="7"/>
        <v>0</v>
      </c>
      <c r="O40" s="9"/>
      <c r="P40" s="6">
        <v>113051.4</v>
      </c>
      <c r="Q40" s="3"/>
      <c r="R40" s="7">
        <f t="shared" si="8"/>
        <v>9.600464778687921E-3</v>
      </c>
      <c r="S40" s="3"/>
      <c r="T40" s="6">
        <v>0</v>
      </c>
      <c r="U40" s="3"/>
      <c r="V40" s="7">
        <f t="shared" si="9"/>
        <v>0</v>
      </c>
      <c r="W40" s="3"/>
      <c r="X40" s="6">
        <f t="shared" si="10"/>
        <v>113051.4</v>
      </c>
      <c r="Y40" s="3"/>
      <c r="Z40" s="7">
        <f t="shared" si="11"/>
        <v>0</v>
      </c>
    </row>
    <row r="41" spans="1:26" s="70" customFormat="1" ht="15" hidden="1" customHeight="1" outlineLevel="2" x14ac:dyDescent="0.3">
      <c r="A41" s="21"/>
      <c r="B41" s="9" t="str">
        <f>CONCATENATE("          ","6002"," - ","STAFF SALARIES")</f>
        <v xml:space="preserve">          6002 - STAFF SALARIES</v>
      </c>
      <c r="C41" s="9"/>
      <c r="D41" s="6">
        <v>25577.84</v>
      </c>
      <c r="E41" s="3"/>
      <c r="F41" s="7">
        <f t="shared" si="4"/>
        <v>0.15978700929360495</v>
      </c>
      <c r="G41" s="3"/>
      <c r="H41" s="6">
        <v>42229.279353846097</v>
      </c>
      <c r="I41" s="3"/>
      <c r="J41" s="7">
        <f t="shared" si="5"/>
        <v>0</v>
      </c>
      <c r="K41" s="3"/>
      <c r="L41" s="6">
        <f t="shared" si="6"/>
        <v>-16651.439353846097</v>
      </c>
      <c r="M41" s="3"/>
      <c r="N41" s="7">
        <f t="shared" si="7"/>
        <v>-0.39431028917924316</v>
      </c>
      <c r="O41" s="9"/>
      <c r="P41" s="6">
        <v>436929.85</v>
      </c>
      <c r="Q41" s="3"/>
      <c r="R41" s="7">
        <f t="shared" si="8"/>
        <v>3.7104623522418979E-2</v>
      </c>
      <c r="S41" s="3"/>
      <c r="T41" s="6">
        <v>547321.16209999903</v>
      </c>
      <c r="U41" s="3"/>
      <c r="V41" s="7">
        <f t="shared" si="9"/>
        <v>6.1701970835587913E-2</v>
      </c>
      <c r="W41" s="3"/>
      <c r="X41" s="6">
        <f t="shared" si="10"/>
        <v>-110391.31209999905</v>
      </c>
      <c r="Y41" s="3"/>
      <c r="Z41" s="7">
        <f t="shared" si="11"/>
        <v>-0.20169384950591379</v>
      </c>
    </row>
    <row r="42" spans="1:26" s="70" customFormat="1" ht="15" hidden="1" customHeight="1" outlineLevel="2" x14ac:dyDescent="0.3">
      <c r="A42" s="21"/>
      <c r="B42" s="9" t="str">
        <f>CONCATENATE("          ","6003"," - ","STAFF HOURLY-9 MONTH")</f>
        <v xml:space="preserve">          6003 - STAFF HOURLY-9 MONTH</v>
      </c>
      <c r="C42" s="9"/>
      <c r="D42" s="6"/>
      <c r="E42" s="3"/>
      <c r="F42" s="7">
        <f t="shared" si="4"/>
        <v>0</v>
      </c>
      <c r="G42" s="3"/>
      <c r="H42" s="6">
        <v>0</v>
      </c>
      <c r="I42" s="3"/>
      <c r="J42" s="7">
        <f t="shared" si="5"/>
        <v>0</v>
      </c>
      <c r="K42" s="3"/>
      <c r="L42" s="6">
        <f t="shared" si="6"/>
        <v>0</v>
      </c>
      <c r="M42" s="3"/>
      <c r="N42" s="7">
        <f t="shared" si="7"/>
        <v>0</v>
      </c>
      <c r="O42" s="9"/>
      <c r="P42" s="6"/>
      <c r="Q42" s="3"/>
      <c r="R42" s="7">
        <f t="shared" si="8"/>
        <v>0</v>
      </c>
      <c r="S42" s="3"/>
      <c r="T42" s="6">
        <v>0</v>
      </c>
      <c r="U42" s="3"/>
      <c r="V42" s="7">
        <f t="shared" si="9"/>
        <v>0</v>
      </c>
      <c r="W42" s="3"/>
      <c r="X42" s="6">
        <f t="shared" si="10"/>
        <v>0</v>
      </c>
      <c r="Y42" s="3"/>
      <c r="Z42" s="7">
        <f t="shared" si="11"/>
        <v>0</v>
      </c>
    </row>
    <row r="43" spans="1:26" s="70" customFormat="1" ht="15" hidden="1" customHeight="1" outlineLevel="2" x14ac:dyDescent="0.3">
      <c r="A43" s="21"/>
      <c r="B43" s="9" t="str">
        <f>CONCATENATE("          ","6004"," - ","STAFF HOURLY")</f>
        <v xml:space="preserve">          6004 - STAFF HOURLY</v>
      </c>
      <c r="C43" s="9"/>
      <c r="D43" s="6">
        <v>58849.919999999998</v>
      </c>
      <c r="E43" s="3"/>
      <c r="F43" s="7">
        <f t="shared" si="4"/>
        <v>0.36764061054287256</v>
      </c>
      <c r="G43" s="3"/>
      <c r="H43" s="6">
        <v>79318.745599999995</v>
      </c>
      <c r="I43" s="3"/>
      <c r="J43" s="7">
        <f t="shared" si="5"/>
        <v>0</v>
      </c>
      <c r="K43" s="3"/>
      <c r="L43" s="6">
        <f t="shared" si="6"/>
        <v>-20468.825599999996</v>
      </c>
      <c r="M43" s="3"/>
      <c r="N43" s="7">
        <f t="shared" si="7"/>
        <v>-0.25805785814141768</v>
      </c>
      <c r="O43" s="9"/>
      <c r="P43" s="6">
        <v>912140.52</v>
      </c>
      <c r="Q43" s="3"/>
      <c r="R43" s="7">
        <f t="shared" si="8"/>
        <v>7.7460101648224491E-2</v>
      </c>
      <c r="S43" s="3"/>
      <c r="T43" s="6">
        <v>1240243.6928000001</v>
      </c>
      <c r="U43" s="3"/>
      <c r="V43" s="7">
        <f t="shared" si="9"/>
        <v>0.13981823737373739</v>
      </c>
      <c r="W43" s="3"/>
      <c r="X43" s="6">
        <f t="shared" si="10"/>
        <v>-328103.17280000006</v>
      </c>
      <c r="Y43" s="3"/>
      <c r="Z43" s="7">
        <f t="shared" si="11"/>
        <v>-0.26454734235274963</v>
      </c>
    </row>
    <row r="44" spans="1:26" s="70" customFormat="1" ht="15" hidden="1" customHeight="1" outlineLevel="2" x14ac:dyDescent="0.3">
      <c r="A44" s="21"/>
      <c r="B44" s="9" t="str">
        <f>CONCATENATE("          ","6005"," - ","TEMPORARY WAGES-HOURLY")</f>
        <v xml:space="preserve">          6005 - TEMPORARY WAGES-HOURLY</v>
      </c>
      <c r="C44" s="9"/>
      <c r="D44" s="6">
        <v>10082.799999999999</v>
      </c>
      <c r="E44" s="3"/>
      <c r="F44" s="7">
        <f t="shared" si="4"/>
        <v>6.2988135718479735E-2</v>
      </c>
      <c r="G44" s="3"/>
      <c r="H44" s="6">
        <v>4416.41</v>
      </c>
      <c r="I44" s="3"/>
      <c r="J44" s="7">
        <f t="shared" si="5"/>
        <v>0</v>
      </c>
      <c r="K44" s="3"/>
      <c r="L44" s="6">
        <f t="shared" si="6"/>
        <v>5666.3899999999994</v>
      </c>
      <c r="M44" s="3"/>
      <c r="N44" s="7">
        <f t="shared" si="7"/>
        <v>1.2830307874495348</v>
      </c>
      <c r="O44" s="9"/>
      <c r="P44" s="6">
        <v>393423.89</v>
      </c>
      <c r="Q44" s="3"/>
      <c r="R44" s="7">
        <f t="shared" si="8"/>
        <v>3.3410043564603281E-2</v>
      </c>
      <c r="S44" s="3"/>
      <c r="T44" s="6">
        <v>227579.94500000001</v>
      </c>
      <c r="U44" s="3"/>
      <c r="V44" s="7">
        <f t="shared" si="9"/>
        <v>2.5656108518217893E-2</v>
      </c>
      <c r="W44" s="3"/>
      <c r="X44" s="6">
        <f t="shared" si="10"/>
        <v>165843.94500000001</v>
      </c>
      <c r="Y44" s="3"/>
      <c r="Z44" s="7">
        <f t="shared" si="11"/>
        <v>0.72872829369916581</v>
      </c>
    </row>
    <row r="45" spans="1:26" s="70" customFormat="1" ht="15" hidden="1" customHeight="1" outlineLevel="2" x14ac:dyDescent="0.3">
      <c r="A45" s="21"/>
      <c r="B45" s="9" t="str">
        <f>CONCATENATE("          ","6006"," - ","TEMPORARY PART TIME")</f>
        <v xml:space="preserve">          6006 - TEMPORARY PART TIME</v>
      </c>
      <c r="C45" s="9"/>
      <c r="D45" s="6">
        <v>463.45</v>
      </c>
      <c r="E45" s="3"/>
      <c r="F45" s="7">
        <f t="shared" si="4"/>
        <v>2.8952127879883997E-3</v>
      </c>
      <c r="G45" s="3"/>
      <c r="H45" s="6">
        <v>0</v>
      </c>
      <c r="I45" s="3"/>
      <c r="J45" s="7">
        <f t="shared" si="5"/>
        <v>0</v>
      </c>
      <c r="K45" s="3"/>
      <c r="L45" s="6">
        <f t="shared" si="6"/>
        <v>463.45</v>
      </c>
      <c r="M45" s="3"/>
      <c r="N45" s="7">
        <f t="shared" si="7"/>
        <v>0</v>
      </c>
      <c r="O45" s="9"/>
      <c r="P45" s="6">
        <v>9661.67</v>
      </c>
      <c r="Q45" s="3"/>
      <c r="R45" s="7">
        <f t="shared" si="8"/>
        <v>8.2048097182614045E-4</v>
      </c>
      <c r="S45" s="3"/>
      <c r="T45" s="6">
        <v>0</v>
      </c>
      <c r="U45" s="3"/>
      <c r="V45" s="7">
        <f t="shared" si="9"/>
        <v>0</v>
      </c>
      <c r="W45" s="3"/>
      <c r="X45" s="6">
        <f t="shared" si="10"/>
        <v>9661.67</v>
      </c>
      <c r="Y45" s="3"/>
      <c r="Z45" s="7">
        <f t="shared" si="11"/>
        <v>0</v>
      </c>
    </row>
    <row r="46" spans="1:26" s="70" customFormat="1" ht="15" hidden="1" customHeight="1" outlineLevel="2" x14ac:dyDescent="0.3">
      <c r="A46" s="21"/>
      <c r="B46" s="9" t="str">
        <f>CONCATENATE("          ","6007"," - ","STUDENT HOURLY")</f>
        <v xml:space="preserve">          6007 - STUDENT HOURLY</v>
      </c>
      <c r="C46" s="9"/>
      <c r="D46" s="6">
        <v>2175.87</v>
      </c>
      <c r="E46" s="3"/>
      <c r="F46" s="7">
        <f t="shared" si="4"/>
        <v>1.3592850682922255E-2</v>
      </c>
      <c r="G46" s="3"/>
      <c r="H46" s="6">
        <v>0</v>
      </c>
      <c r="I46" s="3"/>
      <c r="J46" s="7">
        <f t="shared" si="5"/>
        <v>0</v>
      </c>
      <c r="K46" s="3"/>
      <c r="L46" s="6">
        <f t="shared" si="6"/>
        <v>2175.87</v>
      </c>
      <c r="M46" s="3"/>
      <c r="N46" s="7">
        <f t="shared" si="7"/>
        <v>0</v>
      </c>
      <c r="O46" s="9"/>
      <c r="P46" s="6">
        <v>557063.43999999994</v>
      </c>
      <c r="Q46" s="3"/>
      <c r="R46" s="7">
        <f t="shared" si="8"/>
        <v>4.730651663946428E-2</v>
      </c>
      <c r="S46" s="3"/>
      <c r="T46" s="6">
        <v>42825.5</v>
      </c>
      <c r="U46" s="3"/>
      <c r="V46" s="7">
        <f t="shared" si="9"/>
        <v>4.8279108044733043E-3</v>
      </c>
      <c r="W46" s="3"/>
      <c r="X46" s="6">
        <f t="shared" si="10"/>
        <v>514237.93999999994</v>
      </c>
      <c r="Y46" s="3"/>
      <c r="Z46" s="7">
        <f t="shared" si="11"/>
        <v>12.007750989480565</v>
      </c>
    </row>
    <row r="47" spans="1:26" s="70" customFormat="1" ht="15" hidden="1" customHeight="1" outlineLevel="2" x14ac:dyDescent="0.3">
      <c r="A47" s="21"/>
      <c r="B47" s="9" t="str">
        <f>CONCATENATE("          ","6008"," - ","STUDENT HOURLY-FICA EXEMPT")</f>
        <v xml:space="preserve">          6008 - STUDENT HOURLY-FICA EXEMPT</v>
      </c>
      <c r="C47" s="9"/>
      <c r="D47" s="6">
        <v>1755.6</v>
      </c>
      <c r="E47" s="3"/>
      <c r="F47" s="7">
        <f t="shared" si="4"/>
        <v>1.0967387141207109E-2</v>
      </c>
      <c r="G47" s="3"/>
      <c r="H47" s="6">
        <v>0</v>
      </c>
      <c r="I47" s="3"/>
      <c r="J47" s="7">
        <f t="shared" si="5"/>
        <v>0</v>
      </c>
      <c r="K47" s="3"/>
      <c r="L47" s="6">
        <f t="shared" si="6"/>
        <v>1755.6</v>
      </c>
      <c r="M47" s="3"/>
      <c r="N47" s="7">
        <f t="shared" si="7"/>
        <v>0</v>
      </c>
      <c r="O47" s="9"/>
      <c r="P47" s="6">
        <v>242490.81</v>
      </c>
      <c r="Q47" s="3"/>
      <c r="R47" s="7">
        <f t="shared" si="8"/>
        <v>2.0592619645227791E-2</v>
      </c>
      <c r="S47" s="3"/>
      <c r="T47" s="6">
        <v>938333.89599999995</v>
      </c>
      <c r="U47" s="3"/>
      <c r="V47" s="7">
        <f t="shared" si="9"/>
        <v>0.10578259108946608</v>
      </c>
      <c r="W47" s="3"/>
      <c r="X47" s="6">
        <f t="shared" si="10"/>
        <v>-695843.08599999989</v>
      </c>
      <c r="Y47" s="3"/>
      <c r="Z47" s="7">
        <f t="shared" si="11"/>
        <v>-0.7415730039874846</v>
      </c>
    </row>
    <row r="48" spans="1:26" s="70" customFormat="1" ht="15" hidden="1" customHeight="1" outlineLevel="2" x14ac:dyDescent="0.3">
      <c r="A48" s="21"/>
      <c r="B48" s="9" t="str">
        <f>CONCATENATE("          ","6009"," - ","TEMPORARY-SEASONAL")</f>
        <v xml:space="preserve">          6009 - TEMPORARY-SEASONAL</v>
      </c>
      <c r="C48" s="9"/>
      <c r="D48" s="6"/>
      <c r="E48" s="3"/>
      <c r="F48" s="7">
        <f t="shared" si="4"/>
        <v>0</v>
      </c>
      <c r="G48" s="3"/>
      <c r="H48" s="6">
        <v>0</v>
      </c>
      <c r="I48" s="3"/>
      <c r="J48" s="7">
        <f t="shared" si="5"/>
        <v>0</v>
      </c>
      <c r="K48" s="3"/>
      <c r="L48" s="6">
        <f t="shared" si="6"/>
        <v>0</v>
      </c>
      <c r="M48" s="3"/>
      <c r="N48" s="7">
        <f t="shared" si="7"/>
        <v>0</v>
      </c>
      <c r="O48" s="9"/>
      <c r="P48" s="6"/>
      <c r="Q48" s="3"/>
      <c r="R48" s="7">
        <f t="shared" si="8"/>
        <v>0</v>
      </c>
      <c r="S48" s="3"/>
      <c r="T48" s="6">
        <v>0</v>
      </c>
      <c r="U48" s="3"/>
      <c r="V48" s="7">
        <f t="shared" si="9"/>
        <v>0</v>
      </c>
      <c r="W48" s="3"/>
      <c r="X48" s="6">
        <f t="shared" si="10"/>
        <v>0</v>
      </c>
      <c r="Y48" s="3"/>
      <c r="Z48" s="7">
        <f t="shared" si="11"/>
        <v>0</v>
      </c>
    </row>
    <row r="49" spans="1:26" s="70" customFormat="1" ht="15" hidden="1" customHeight="1" outlineLevel="2" x14ac:dyDescent="0.3">
      <c r="A49" s="21"/>
      <c r="B49" s="9" t="str">
        <f>CONCATENATE("          ","6010"," - ","GRATUITY")</f>
        <v xml:space="preserve">          6010 - GRATUITY</v>
      </c>
      <c r="C49" s="9"/>
      <c r="D49" s="6"/>
      <c r="E49" s="3"/>
      <c r="F49" s="7">
        <f t="shared" si="4"/>
        <v>0</v>
      </c>
      <c r="G49" s="3"/>
      <c r="H49" s="6">
        <v>0</v>
      </c>
      <c r="I49" s="3"/>
      <c r="J49" s="7">
        <f t="shared" si="5"/>
        <v>0</v>
      </c>
      <c r="K49" s="3"/>
      <c r="L49" s="6">
        <f t="shared" si="6"/>
        <v>0</v>
      </c>
      <c r="M49" s="3"/>
      <c r="N49" s="7">
        <f t="shared" si="7"/>
        <v>0</v>
      </c>
      <c r="O49" s="9"/>
      <c r="P49" s="6"/>
      <c r="Q49" s="3"/>
      <c r="R49" s="7">
        <f t="shared" si="8"/>
        <v>0</v>
      </c>
      <c r="S49" s="3"/>
      <c r="T49" s="6">
        <v>0</v>
      </c>
      <c r="U49" s="3"/>
      <c r="V49" s="7">
        <f t="shared" si="9"/>
        <v>0</v>
      </c>
      <c r="W49" s="3"/>
      <c r="X49" s="6">
        <f t="shared" si="10"/>
        <v>0</v>
      </c>
      <c r="Y49" s="3"/>
      <c r="Z49" s="7">
        <f t="shared" si="11"/>
        <v>0</v>
      </c>
    </row>
    <row r="50" spans="1:26" s="69" customFormat="1" ht="15" customHeight="1" outlineLevel="1" collapsed="1" x14ac:dyDescent="0.3">
      <c r="A50" s="20"/>
      <c r="B50" s="11" t="str">
        <f>CONCATENATE("     ","Advertising/Promo                                 ")</f>
        <v xml:space="preserve">     Advertising/Promo                                 </v>
      </c>
      <c r="C50" s="11"/>
      <c r="D50" s="2">
        <f>SUM(OSRRefD22_2x_0)</f>
        <v>388.12</v>
      </c>
      <c r="E50" s="2"/>
      <c r="F50" s="5">
        <f t="shared" si="4"/>
        <v>2.4246196726163721E-3</v>
      </c>
      <c r="G50" s="2"/>
      <c r="H50" s="2">
        <f>SUM(OSRRefH22_2x_0)</f>
        <v>969</v>
      </c>
      <c r="I50" s="2"/>
      <c r="J50" s="5">
        <f t="shared" si="5"/>
        <v>0</v>
      </c>
      <c r="K50" s="2"/>
      <c r="L50" s="2">
        <f t="shared" si="6"/>
        <v>-580.88</v>
      </c>
      <c r="M50" s="2"/>
      <c r="N50" s="5">
        <f t="shared" si="7"/>
        <v>-0.59946336429308567</v>
      </c>
      <c r="O50" s="11"/>
      <c r="P50" s="2">
        <f>SUM(OSRRefP22_2x_0)</f>
        <v>5579.53</v>
      </c>
      <c r="Q50" s="2"/>
      <c r="R50" s="5">
        <f t="shared" si="8"/>
        <v>4.7382059175412792E-4</v>
      </c>
      <c r="S50" s="2"/>
      <c r="T50" s="2">
        <f>SUM(OSRRefT22_2x_0)</f>
        <v>15478</v>
      </c>
      <c r="U50" s="2"/>
      <c r="V50" s="5">
        <f t="shared" si="9"/>
        <v>1.7449044011544012E-3</v>
      </c>
      <c r="W50" s="2"/>
      <c r="X50" s="2">
        <f t="shared" si="10"/>
        <v>-9898.4700000000012</v>
      </c>
      <c r="Y50" s="2"/>
      <c r="Z50" s="5">
        <f t="shared" si="11"/>
        <v>-0.63951867166300558</v>
      </c>
    </row>
    <row r="51" spans="1:26" s="70" customFormat="1" ht="15" hidden="1" customHeight="1" outlineLevel="2" x14ac:dyDescent="0.3">
      <c r="A51" s="21"/>
      <c r="B51" s="9" t="str">
        <f>CONCATENATE("          ","6362"," - ","ADVERTISING EXPENSE")</f>
        <v xml:space="preserve">          6362 - ADVERTISING EXPENSE</v>
      </c>
      <c r="C51" s="9"/>
      <c r="D51" s="6">
        <v>388.12</v>
      </c>
      <c r="E51" s="3"/>
      <c r="F51" s="7">
        <f t="shared" si="4"/>
        <v>2.4246196726163721E-3</v>
      </c>
      <c r="G51" s="3"/>
      <c r="H51" s="6">
        <v>969</v>
      </c>
      <c r="I51" s="3"/>
      <c r="J51" s="7">
        <f t="shared" si="5"/>
        <v>0</v>
      </c>
      <c r="K51" s="3"/>
      <c r="L51" s="6">
        <f t="shared" si="6"/>
        <v>-580.88</v>
      </c>
      <c r="M51" s="3"/>
      <c r="N51" s="7">
        <f t="shared" si="7"/>
        <v>-0.59946336429308567</v>
      </c>
      <c r="O51" s="9"/>
      <c r="P51" s="6">
        <v>5579.53</v>
      </c>
      <c r="Q51" s="3"/>
      <c r="R51" s="7">
        <f t="shared" si="8"/>
        <v>4.7382059175412792E-4</v>
      </c>
      <c r="S51" s="3"/>
      <c r="T51" s="6">
        <v>15478</v>
      </c>
      <c r="U51" s="3"/>
      <c r="V51" s="7">
        <f t="shared" si="9"/>
        <v>1.7449044011544012E-3</v>
      </c>
      <c r="W51" s="3"/>
      <c r="X51" s="6">
        <f t="shared" si="10"/>
        <v>-9898.4700000000012</v>
      </c>
      <c r="Y51" s="3"/>
      <c r="Z51" s="7">
        <f t="shared" si="11"/>
        <v>-0.63951867166300558</v>
      </c>
    </row>
    <row r="52" spans="1:26" s="69" customFormat="1" ht="15" customHeight="1" outlineLevel="1" collapsed="1" x14ac:dyDescent="0.3">
      <c r="A52" s="20"/>
      <c r="B52" s="11" t="str">
        <f>CONCATENATE("     ","Bad Debts/Over/Short                              ")</f>
        <v xml:space="preserve">     Bad Debts/Over/Short                              </v>
      </c>
      <c r="C52" s="11"/>
      <c r="D52" s="2">
        <f>SUM(OSRRefD22_3x_0)</f>
        <v>4.24</v>
      </c>
      <c r="E52" s="2"/>
      <c r="F52" s="5">
        <f t="shared" si="4"/>
        <v>2.6487651787832161E-5</v>
      </c>
      <c r="G52" s="2"/>
      <c r="H52" s="2">
        <f>SUM(OSRRefH22_3x_0)</f>
        <v>15</v>
      </c>
      <c r="I52" s="2"/>
      <c r="J52" s="5">
        <f t="shared" si="5"/>
        <v>0</v>
      </c>
      <c r="K52" s="2"/>
      <c r="L52" s="2">
        <f t="shared" si="6"/>
        <v>-10.76</v>
      </c>
      <c r="M52" s="2"/>
      <c r="N52" s="5">
        <f t="shared" si="7"/>
        <v>-0.71733333333333327</v>
      </c>
      <c r="O52" s="11"/>
      <c r="P52" s="2">
        <f>SUM(OSRRefP22_3x_0)</f>
        <v>-3.76</v>
      </c>
      <c r="Q52" s="2"/>
      <c r="R52" s="5">
        <f t="shared" si="8"/>
        <v>-3.1930385265345305E-7</v>
      </c>
      <c r="S52" s="2"/>
      <c r="T52" s="2">
        <f>SUM(OSRRefT22_3x_0)</f>
        <v>360</v>
      </c>
      <c r="U52" s="2"/>
      <c r="V52" s="5">
        <f t="shared" si="9"/>
        <v>4.0584415584415584E-5</v>
      </c>
      <c r="W52" s="2"/>
      <c r="X52" s="2">
        <f t="shared" si="10"/>
        <v>-363.76</v>
      </c>
      <c r="Y52" s="2"/>
      <c r="Z52" s="5">
        <f t="shared" si="11"/>
        <v>-1.0104444444444445</v>
      </c>
    </row>
    <row r="53" spans="1:26" s="70" customFormat="1" ht="15" hidden="1" customHeight="1" outlineLevel="2" x14ac:dyDescent="0.3">
      <c r="A53" s="21"/>
      <c r="B53" s="9" t="str">
        <f>CONCATENATE("          ","6272"," - ","CASH (OVER/SHORT)")</f>
        <v xml:space="preserve">          6272 - CASH (OVER/SHORT)</v>
      </c>
      <c r="C53" s="9"/>
      <c r="D53" s="6">
        <v>4.24</v>
      </c>
      <c r="E53" s="3"/>
      <c r="F53" s="7">
        <f t="shared" si="4"/>
        <v>2.6487651787832161E-5</v>
      </c>
      <c r="G53" s="3"/>
      <c r="H53" s="6">
        <v>15</v>
      </c>
      <c r="I53" s="3"/>
      <c r="J53" s="7">
        <f t="shared" si="5"/>
        <v>0</v>
      </c>
      <c r="K53" s="3"/>
      <c r="L53" s="6">
        <f t="shared" si="6"/>
        <v>-10.76</v>
      </c>
      <c r="M53" s="3"/>
      <c r="N53" s="7">
        <f t="shared" si="7"/>
        <v>-0.71733333333333327</v>
      </c>
      <c r="O53" s="9"/>
      <c r="P53" s="6">
        <v>-3.76</v>
      </c>
      <c r="Q53" s="3"/>
      <c r="R53" s="7">
        <f t="shared" si="8"/>
        <v>-3.1930385265345305E-7</v>
      </c>
      <c r="S53" s="3"/>
      <c r="T53" s="6">
        <v>360</v>
      </c>
      <c r="U53" s="3"/>
      <c r="V53" s="7">
        <f t="shared" si="9"/>
        <v>4.0584415584415584E-5</v>
      </c>
      <c r="W53" s="3"/>
      <c r="X53" s="6">
        <f t="shared" si="10"/>
        <v>-363.76</v>
      </c>
      <c r="Y53" s="3"/>
      <c r="Z53" s="7">
        <f t="shared" si="11"/>
        <v>-1.0104444444444445</v>
      </c>
    </row>
    <row r="54" spans="1:26" s="69" customFormat="1" ht="15" customHeight="1" outlineLevel="1" collapsed="1" x14ac:dyDescent="0.3">
      <c r="A54" s="20"/>
      <c r="B54" s="11" t="str">
        <f>CONCATENATE("     ","Bank/card Fees                                    ")</f>
        <v xml:space="preserve">     Bank/card Fees                                    </v>
      </c>
      <c r="C54" s="11"/>
      <c r="D54" s="2">
        <f>SUM(OSRRefD22_4x_0)</f>
        <v>162.91</v>
      </c>
      <c r="E54" s="2"/>
      <c r="F54" s="5">
        <f t="shared" si="4"/>
        <v>1.0177130548952211E-3</v>
      </c>
      <c r="G54" s="2"/>
      <c r="H54" s="2">
        <f>SUM(OSRRefH22_4x_0)</f>
        <v>385</v>
      </c>
      <c r="I54" s="2"/>
      <c r="J54" s="5">
        <f t="shared" si="5"/>
        <v>0</v>
      </c>
      <c r="K54" s="2"/>
      <c r="L54" s="2">
        <f t="shared" si="6"/>
        <v>-222.09</v>
      </c>
      <c r="M54" s="2"/>
      <c r="N54" s="5">
        <f t="shared" si="7"/>
        <v>-0.57685714285714285</v>
      </c>
      <c r="O54" s="11"/>
      <c r="P54" s="2">
        <f>SUM(OSRRefP22_4x_0)</f>
        <v>1977.06</v>
      </c>
      <c r="Q54" s="2"/>
      <c r="R54" s="5">
        <f t="shared" si="8"/>
        <v>1.6789438162953085E-4</v>
      </c>
      <c r="S54" s="2"/>
      <c r="T54" s="2">
        <f>SUM(OSRRefT22_4x_0)</f>
        <v>4870</v>
      </c>
      <c r="U54" s="2"/>
      <c r="V54" s="5">
        <f t="shared" si="9"/>
        <v>5.4901695526695532E-4</v>
      </c>
      <c r="W54" s="2"/>
      <c r="X54" s="2">
        <f t="shared" si="10"/>
        <v>-2892.94</v>
      </c>
      <c r="Y54" s="2"/>
      <c r="Z54" s="5">
        <f t="shared" si="11"/>
        <v>-0.59403285420944563</v>
      </c>
    </row>
    <row r="55" spans="1:26" s="70" customFormat="1" ht="15" hidden="1" customHeight="1" outlineLevel="2" x14ac:dyDescent="0.3">
      <c r="A55" s="21"/>
      <c r="B55" s="9" t="str">
        <f>CONCATENATE("          ","6381"," - ","BANK/CREDIT CARD FEES")</f>
        <v xml:space="preserve">          6381 - BANK/CREDIT CARD FEES</v>
      </c>
      <c r="C55" s="9"/>
      <c r="D55" s="6">
        <v>162.91</v>
      </c>
      <c r="E55" s="3"/>
      <c r="F55" s="7">
        <f t="shared" si="4"/>
        <v>1.0177130548952211E-3</v>
      </c>
      <c r="G55" s="3"/>
      <c r="H55" s="6">
        <v>385</v>
      </c>
      <c r="I55" s="3"/>
      <c r="J55" s="7">
        <f t="shared" si="5"/>
        <v>0</v>
      </c>
      <c r="K55" s="3"/>
      <c r="L55" s="6">
        <f t="shared" si="6"/>
        <v>-222.09</v>
      </c>
      <c r="M55" s="3"/>
      <c r="N55" s="7">
        <f t="shared" si="7"/>
        <v>-0.57685714285714285</v>
      </c>
      <c r="O55" s="9"/>
      <c r="P55" s="6">
        <v>1977.06</v>
      </c>
      <c r="Q55" s="3"/>
      <c r="R55" s="7">
        <f t="shared" si="8"/>
        <v>1.6789438162953085E-4</v>
      </c>
      <c r="S55" s="3"/>
      <c r="T55" s="6">
        <v>4870</v>
      </c>
      <c r="U55" s="3"/>
      <c r="V55" s="7">
        <f t="shared" si="9"/>
        <v>5.4901695526695532E-4</v>
      </c>
      <c r="W55" s="3"/>
      <c r="X55" s="6">
        <f t="shared" si="10"/>
        <v>-2892.94</v>
      </c>
      <c r="Y55" s="3"/>
      <c r="Z55" s="7">
        <f t="shared" si="11"/>
        <v>-0.59403285420944563</v>
      </c>
    </row>
    <row r="56" spans="1:26" s="69" customFormat="1" ht="15" customHeight="1" outlineLevel="1" collapsed="1" x14ac:dyDescent="0.3">
      <c r="A56" s="20"/>
      <c r="B56" s="11" t="str">
        <f>CONCATENATE("     ","Depreciation                                      ")</f>
        <v xml:space="preserve">     Depreciation                                      </v>
      </c>
      <c r="C56" s="11"/>
      <c r="D56" s="2">
        <f>SUM(OSRRefD22_5x_0)</f>
        <v>760.05</v>
      </c>
      <c r="E56" s="2"/>
      <c r="F56" s="5">
        <f t="shared" si="4"/>
        <v>4.7480989955994892E-3</v>
      </c>
      <c r="G56" s="2"/>
      <c r="H56" s="2">
        <f>SUM(OSRRefH22_5x_0)</f>
        <v>486</v>
      </c>
      <c r="I56" s="2"/>
      <c r="J56" s="5">
        <f t="shared" si="5"/>
        <v>0</v>
      </c>
      <c r="K56" s="2"/>
      <c r="L56" s="2">
        <f t="shared" si="6"/>
        <v>274.04999999999995</v>
      </c>
      <c r="M56" s="2"/>
      <c r="N56" s="5">
        <f t="shared" si="7"/>
        <v>0.56388888888888877</v>
      </c>
      <c r="O56" s="11"/>
      <c r="P56" s="2">
        <f>SUM(OSRRefP22_5x_0)</f>
        <v>9120.49</v>
      </c>
      <c r="Q56" s="2"/>
      <c r="R56" s="5">
        <f t="shared" si="8"/>
        <v>7.7452329656576917E-4</v>
      </c>
      <c r="S56" s="2"/>
      <c r="T56" s="2">
        <f>SUM(OSRRefT22_5x_0)</f>
        <v>5832</v>
      </c>
      <c r="U56" s="2"/>
      <c r="V56" s="5">
        <f t="shared" si="9"/>
        <v>6.5746753246753243E-4</v>
      </c>
      <c r="W56" s="2"/>
      <c r="X56" s="2">
        <f t="shared" si="10"/>
        <v>3288.49</v>
      </c>
      <c r="Y56" s="2"/>
      <c r="Z56" s="5">
        <f t="shared" si="11"/>
        <v>0.56387002743484216</v>
      </c>
    </row>
    <row r="57" spans="1:26" s="70" customFormat="1" ht="15" hidden="1" customHeight="1" outlineLevel="2" x14ac:dyDescent="0.3">
      <c r="A57" s="21"/>
      <c r="B57" s="9" t="str">
        <f>CONCATENATE("          ","6322"," - ","EQUIPMENT DEPRECIATION EXPENSE")</f>
        <v xml:space="preserve">          6322 - EQUIPMENT DEPRECIATION EXPENSE</v>
      </c>
      <c r="C57" s="9"/>
      <c r="D57" s="6">
        <v>760.05</v>
      </c>
      <c r="E57" s="3"/>
      <c r="F57" s="7">
        <f t="shared" si="4"/>
        <v>4.7480989955994892E-3</v>
      </c>
      <c r="G57" s="3"/>
      <c r="H57" s="6">
        <v>486</v>
      </c>
      <c r="I57" s="3"/>
      <c r="J57" s="7">
        <f t="shared" si="5"/>
        <v>0</v>
      </c>
      <c r="K57" s="3"/>
      <c r="L57" s="6">
        <f t="shared" si="6"/>
        <v>274.04999999999995</v>
      </c>
      <c r="M57" s="3"/>
      <c r="N57" s="7">
        <f t="shared" si="7"/>
        <v>0.56388888888888877</v>
      </c>
      <c r="O57" s="9"/>
      <c r="P57" s="6">
        <v>9120.49</v>
      </c>
      <c r="Q57" s="3"/>
      <c r="R57" s="7">
        <f t="shared" si="8"/>
        <v>7.7452329656576917E-4</v>
      </c>
      <c r="S57" s="3"/>
      <c r="T57" s="6">
        <v>5832</v>
      </c>
      <c r="U57" s="3"/>
      <c r="V57" s="7">
        <f t="shared" si="9"/>
        <v>6.5746753246753243E-4</v>
      </c>
      <c r="W57" s="3"/>
      <c r="X57" s="6">
        <f t="shared" si="10"/>
        <v>3288.49</v>
      </c>
      <c r="Y57" s="3"/>
      <c r="Z57" s="7">
        <f t="shared" si="11"/>
        <v>0.56387002743484216</v>
      </c>
    </row>
    <row r="58" spans="1:26" s="69" customFormat="1" ht="15" customHeight="1" outlineLevel="1" collapsed="1" x14ac:dyDescent="0.3">
      <c r="A58" s="20"/>
      <c r="B58" s="11" t="str">
        <f>CONCATENATE("     ","Donations                                         ")</f>
        <v xml:space="preserve">     Donations                                         </v>
      </c>
      <c r="C58" s="11"/>
      <c r="D58" s="2">
        <f>SUM(OSRRefD22_6x_0)</f>
        <v>337.65</v>
      </c>
      <c r="E58" s="2"/>
      <c r="F58" s="5">
        <f t="shared" si="4"/>
        <v>2.1093291571135679E-3</v>
      </c>
      <c r="G58" s="2"/>
      <c r="H58" s="2">
        <f>SUM(OSRRefH22_6x_0)</f>
        <v>0</v>
      </c>
      <c r="I58" s="2"/>
      <c r="J58" s="5">
        <f t="shared" si="5"/>
        <v>0</v>
      </c>
      <c r="K58" s="2"/>
      <c r="L58" s="2">
        <f t="shared" si="6"/>
        <v>337.65</v>
      </c>
      <c r="M58" s="2"/>
      <c r="N58" s="5">
        <f t="shared" si="7"/>
        <v>0</v>
      </c>
      <c r="O58" s="11"/>
      <c r="P58" s="2">
        <f>SUM(OSRRefP22_6x_0)</f>
        <v>70891.38</v>
      </c>
      <c r="Q58" s="2"/>
      <c r="R58" s="5">
        <f t="shared" si="8"/>
        <v>6.0201837111489237E-3</v>
      </c>
      <c r="S58" s="2"/>
      <c r="T58" s="2">
        <f>SUM(OSRRefT22_6x_0)</f>
        <v>155000</v>
      </c>
      <c r="U58" s="2"/>
      <c r="V58" s="5">
        <f t="shared" si="9"/>
        <v>1.74738455988456E-2</v>
      </c>
      <c r="W58" s="2"/>
      <c r="X58" s="2">
        <f t="shared" si="10"/>
        <v>-84108.62</v>
      </c>
      <c r="Y58" s="2"/>
      <c r="Z58" s="5">
        <f t="shared" si="11"/>
        <v>-0.5426362580645161</v>
      </c>
    </row>
    <row r="59" spans="1:26" s="70" customFormat="1" ht="15" hidden="1" customHeight="1" outlineLevel="2" x14ac:dyDescent="0.3">
      <c r="A59" s="21"/>
      <c r="B59" s="9" t="str">
        <f>CONCATENATE("          ","6399"," - ","DONATION-ON CAMPUS")</f>
        <v xml:space="preserve">          6399 - DONATION-ON CAMPUS</v>
      </c>
      <c r="C59" s="9"/>
      <c r="D59" s="6">
        <v>337.65</v>
      </c>
      <c r="E59" s="3"/>
      <c r="F59" s="7">
        <f t="shared" ref="F59:F90" si="12">IF(D$12=0,0,D59/D$12)</f>
        <v>2.1093291571135679E-3</v>
      </c>
      <c r="G59" s="3"/>
      <c r="H59" s="6"/>
      <c r="I59" s="3"/>
      <c r="J59" s="7">
        <f t="shared" ref="J59:J90" si="13">IF(H$12=0,0,H59/H$12)</f>
        <v>0</v>
      </c>
      <c r="K59" s="3"/>
      <c r="L59" s="6">
        <f t="shared" ref="L59:L90" si="14">+D59-H59</f>
        <v>337.65</v>
      </c>
      <c r="M59" s="3"/>
      <c r="N59" s="7">
        <f t="shared" ref="N59:N90" si="15">IF(H59=0,0,L59/H59)</f>
        <v>0</v>
      </c>
      <c r="O59" s="9"/>
      <c r="P59" s="6">
        <v>70891.38</v>
      </c>
      <c r="Q59" s="3"/>
      <c r="R59" s="7">
        <f t="shared" ref="R59:R90" si="16">IF(P$12=0,0,P59/P$12)</f>
        <v>6.0201837111489237E-3</v>
      </c>
      <c r="S59" s="3"/>
      <c r="T59" s="6">
        <v>155000</v>
      </c>
      <c r="U59" s="3"/>
      <c r="V59" s="7">
        <f t="shared" ref="V59:V90" si="17">IF(T$12=0,0,T59/T$12)</f>
        <v>1.74738455988456E-2</v>
      </c>
      <c r="W59" s="3"/>
      <c r="X59" s="6">
        <f t="shared" ref="X59:X90" si="18">+P59-T59</f>
        <v>-84108.62</v>
      </c>
      <c r="Y59" s="3"/>
      <c r="Z59" s="7">
        <f t="shared" ref="Z59:Z90" si="19">IF(T59=0,0,X59/T59)</f>
        <v>-0.5426362580645161</v>
      </c>
    </row>
    <row r="60" spans="1:26" s="69" customFormat="1" ht="15" customHeight="1" outlineLevel="1" collapsed="1" x14ac:dyDescent="0.3">
      <c r="A60" s="20"/>
      <c r="B60" s="11" t="str">
        <f>CONCATENATE("     ","Employees' Appreciation                           ")</f>
        <v xml:space="preserve">     Employees' Appreciation                           </v>
      </c>
      <c r="C60" s="11"/>
      <c r="D60" s="2">
        <f>SUM(OSRRefD22_7x_0)</f>
        <v>0</v>
      </c>
      <c r="E60" s="2"/>
      <c r="F60" s="5">
        <f t="shared" si="12"/>
        <v>0</v>
      </c>
      <c r="G60" s="2"/>
      <c r="H60" s="2">
        <f>SUM(OSRRefH22_7x_0)</f>
        <v>200</v>
      </c>
      <c r="I60" s="2"/>
      <c r="J60" s="5">
        <f t="shared" si="13"/>
        <v>0</v>
      </c>
      <c r="K60" s="2"/>
      <c r="L60" s="2">
        <f t="shared" si="14"/>
        <v>-200</v>
      </c>
      <c r="M60" s="2"/>
      <c r="N60" s="5">
        <f t="shared" si="15"/>
        <v>-1</v>
      </c>
      <c r="O60" s="11"/>
      <c r="P60" s="2">
        <f>SUM(OSRRefP22_7x_0)</f>
        <v>325.70999999999998</v>
      </c>
      <c r="Q60" s="2"/>
      <c r="R60" s="5">
        <f t="shared" si="16"/>
        <v>2.7659696236105373E-5</v>
      </c>
      <c r="S60" s="2"/>
      <c r="T60" s="2">
        <f>SUM(OSRRefT22_7x_0)</f>
        <v>3100</v>
      </c>
      <c r="U60" s="2"/>
      <c r="V60" s="5">
        <f t="shared" si="17"/>
        <v>3.49476911976912E-4</v>
      </c>
      <c r="W60" s="2"/>
      <c r="X60" s="2">
        <f t="shared" si="18"/>
        <v>-2774.29</v>
      </c>
      <c r="Y60" s="2"/>
      <c r="Z60" s="5">
        <f t="shared" si="19"/>
        <v>-0.89493225806451615</v>
      </c>
    </row>
    <row r="61" spans="1:26" s="70" customFormat="1" ht="15" hidden="1" customHeight="1" outlineLevel="2" x14ac:dyDescent="0.3">
      <c r="A61" s="21"/>
      <c r="B61" s="9" t="str">
        <f>CONCATENATE("          ","6277"," - ","EMPLOYEE APPRECIATION")</f>
        <v xml:space="preserve">          6277 - EMPLOYEE APPRECIATION</v>
      </c>
      <c r="C61" s="9"/>
      <c r="D61" s="6"/>
      <c r="E61" s="3"/>
      <c r="F61" s="7">
        <f t="shared" si="12"/>
        <v>0</v>
      </c>
      <c r="G61" s="3"/>
      <c r="H61" s="6">
        <v>200</v>
      </c>
      <c r="I61" s="3"/>
      <c r="J61" s="7">
        <f t="shared" si="13"/>
        <v>0</v>
      </c>
      <c r="K61" s="3"/>
      <c r="L61" s="6">
        <f t="shared" si="14"/>
        <v>-200</v>
      </c>
      <c r="M61" s="3"/>
      <c r="N61" s="7">
        <f t="shared" si="15"/>
        <v>-1</v>
      </c>
      <c r="O61" s="9"/>
      <c r="P61" s="6">
        <v>325.70999999999998</v>
      </c>
      <c r="Q61" s="3"/>
      <c r="R61" s="7">
        <f t="shared" si="16"/>
        <v>2.7659696236105373E-5</v>
      </c>
      <c r="S61" s="3"/>
      <c r="T61" s="6">
        <v>3100</v>
      </c>
      <c r="U61" s="3"/>
      <c r="V61" s="7">
        <f t="shared" si="17"/>
        <v>3.49476911976912E-4</v>
      </c>
      <c r="W61" s="3"/>
      <c r="X61" s="6">
        <f t="shared" si="18"/>
        <v>-2774.29</v>
      </c>
      <c r="Y61" s="3"/>
      <c r="Z61" s="7">
        <f t="shared" si="19"/>
        <v>-0.89493225806451615</v>
      </c>
    </row>
    <row r="62" spans="1:26" s="69" customFormat="1" ht="15" customHeight="1" outlineLevel="1" collapsed="1" x14ac:dyDescent="0.3">
      <c r="A62" s="20"/>
      <c r="B62" s="11" t="str">
        <f>CONCATENATE("     ","Equipment Rental                                  ")</f>
        <v xml:space="preserve">     Equipment Rental                                  </v>
      </c>
      <c r="C62" s="11"/>
      <c r="D62" s="2">
        <f>SUM(OSRRefD22_8x_0)</f>
        <v>234.52</v>
      </c>
      <c r="E62" s="2"/>
      <c r="F62" s="5">
        <f t="shared" si="12"/>
        <v>1.4650670040760375E-3</v>
      </c>
      <c r="G62" s="2"/>
      <c r="H62" s="2">
        <f>SUM(OSRRefH22_8x_0)</f>
        <v>795</v>
      </c>
      <c r="I62" s="2"/>
      <c r="J62" s="5">
        <f t="shared" si="13"/>
        <v>0</v>
      </c>
      <c r="K62" s="2"/>
      <c r="L62" s="2">
        <f t="shared" si="14"/>
        <v>-560.48</v>
      </c>
      <c r="M62" s="2"/>
      <c r="N62" s="5">
        <f t="shared" si="15"/>
        <v>-0.7050062893081761</v>
      </c>
      <c r="O62" s="11"/>
      <c r="P62" s="2">
        <f>SUM(OSRRefP22_8x_0)</f>
        <v>11479.53</v>
      </c>
      <c r="Q62" s="2"/>
      <c r="R62" s="5">
        <f t="shared" si="16"/>
        <v>9.7485589246034429E-4</v>
      </c>
      <c r="S62" s="2"/>
      <c r="T62" s="2">
        <f>SUM(OSRRefT22_8x_0)</f>
        <v>9540</v>
      </c>
      <c r="U62" s="2"/>
      <c r="V62" s="5">
        <f t="shared" si="17"/>
        <v>1.0754870129870129E-3</v>
      </c>
      <c r="W62" s="2"/>
      <c r="X62" s="2">
        <f t="shared" si="18"/>
        <v>1939.5300000000007</v>
      </c>
      <c r="Y62" s="2"/>
      <c r="Z62" s="5">
        <f t="shared" si="19"/>
        <v>0.20330503144654094</v>
      </c>
    </row>
    <row r="63" spans="1:26" s="70" customFormat="1" ht="15" hidden="1" customHeight="1" outlineLevel="2" x14ac:dyDescent="0.3">
      <c r="A63" s="21"/>
      <c r="B63" s="9" t="str">
        <f>CONCATENATE("          ","6351"," - ","EQUIPMENT RENTAL")</f>
        <v xml:space="preserve">          6351 - EQUIPMENT RENTAL</v>
      </c>
      <c r="C63" s="9"/>
      <c r="D63" s="6">
        <v>234.52</v>
      </c>
      <c r="E63" s="3"/>
      <c r="F63" s="7">
        <f t="shared" si="12"/>
        <v>1.4650670040760375E-3</v>
      </c>
      <c r="G63" s="3"/>
      <c r="H63" s="6">
        <v>795</v>
      </c>
      <c r="I63" s="3"/>
      <c r="J63" s="7">
        <f t="shared" si="13"/>
        <v>0</v>
      </c>
      <c r="K63" s="3"/>
      <c r="L63" s="6">
        <f t="shared" si="14"/>
        <v>-560.48</v>
      </c>
      <c r="M63" s="3"/>
      <c r="N63" s="7">
        <f t="shared" si="15"/>
        <v>-0.7050062893081761</v>
      </c>
      <c r="O63" s="9"/>
      <c r="P63" s="6">
        <v>11479.53</v>
      </c>
      <c r="Q63" s="3"/>
      <c r="R63" s="7">
        <f t="shared" si="16"/>
        <v>9.7485589246034429E-4</v>
      </c>
      <c r="S63" s="3"/>
      <c r="T63" s="6">
        <v>9540</v>
      </c>
      <c r="U63" s="3"/>
      <c r="V63" s="7">
        <f t="shared" si="17"/>
        <v>1.0754870129870129E-3</v>
      </c>
      <c r="W63" s="3"/>
      <c r="X63" s="6">
        <f t="shared" si="18"/>
        <v>1939.5300000000007</v>
      </c>
      <c r="Y63" s="3"/>
      <c r="Z63" s="7">
        <f t="shared" si="19"/>
        <v>0.20330503144654094</v>
      </c>
    </row>
    <row r="64" spans="1:26" s="69" customFormat="1" ht="15" customHeight="1" outlineLevel="1" collapsed="1" x14ac:dyDescent="0.3">
      <c r="A64" s="20"/>
      <c r="B64" s="11" t="str">
        <f>CONCATENATE("     ","General                                           ")</f>
        <v xml:space="preserve">     General                                           </v>
      </c>
      <c r="C64" s="11"/>
      <c r="D64" s="2">
        <f>SUM(OSRRefD22_9x_0)</f>
        <v>141.56</v>
      </c>
      <c r="E64" s="2"/>
      <c r="F64" s="5">
        <f t="shared" si="12"/>
        <v>8.843377328031888E-4</v>
      </c>
      <c r="G64" s="2"/>
      <c r="H64" s="2">
        <f>SUM(OSRRefH22_9x_0)</f>
        <v>540</v>
      </c>
      <c r="I64" s="2"/>
      <c r="J64" s="5">
        <f t="shared" si="13"/>
        <v>0</v>
      </c>
      <c r="K64" s="2"/>
      <c r="L64" s="2">
        <f t="shared" si="14"/>
        <v>-398.44</v>
      </c>
      <c r="M64" s="2"/>
      <c r="N64" s="5">
        <f t="shared" si="15"/>
        <v>-0.73785185185185187</v>
      </c>
      <c r="O64" s="11"/>
      <c r="P64" s="2">
        <f>SUM(OSRRefP22_9x_0)</f>
        <v>19688.47</v>
      </c>
      <c r="Q64" s="2"/>
      <c r="R64" s="5">
        <f t="shared" si="16"/>
        <v>1.6719692350670031E-3</v>
      </c>
      <c r="S64" s="2"/>
      <c r="T64" s="2">
        <f>SUM(OSRRefT22_9x_0)</f>
        <v>11950</v>
      </c>
      <c r="U64" s="2"/>
      <c r="V64" s="5">
        <f t="shared" si="17"/>
        <v>1.3471771284271285E-3</v>
      </c>
      <c r="W64" s="2"/>
      <c r="X64" s="2">
        <f t="shared" si="18"/>
        <v>7738.4700000000012</v>
      </c>
      <c r="Y64" s="2"/>
      <c r="Z64" s="5">
        <f t="shared" si="19"/>
        <v>0.64757071129707122</v>
      </c>
    </row>
    <row r="65" spans="1:26" s="70" customFormat="1" ht="15" hidden="1" customHeight="1" outlineLevel="2" x14ac:dyDescent="0.3">
      <c r="A65" s="21"/>
      <c r="B65" s="9" t="str">
        <f>CONCATENATE("          ","6279"," - ","GENERAL EXPENSE")</f>
        <v xml:space="preserve">          6279 - GENERAL EXPENSE</v>
      </c>
      <c r="C65" s="9"/>
      <c r="D65" s="6">
        <v>141.56</v>
      </c>
      <c r="E65" s="3"/>
      <c r="F65" s="7">
        <f t="shared" si="12"/>
        <v>8.843377328031888E-4</v>
      </c>
      <c r="G65" s="3"/>
      <c r="H65" s="6">
        <v>540</v>
      </c>
      <c r="I65" s="3"/>
      <c r="J65" s="7">
        <f t="shared" si="13"/>
        <v>0</v>
      </c>
      <c r="K65" s="3"/>
      <c r="L65" s="6">
        <f t="shared" si="14"/>
        <v>-398.44</v>
      </c>
      <c r="M65" s="3"/>
      <c r="N65" s="7">
        <f t="shared" si="15"/>
        <v>-0.73785185185185187</v>
      </c>
      <c r="O65" s="9"/>
      <c r="P65" s="6">
        <v>19688.47</v>
      </c>
      <c r="Q65" s="3"/>
      <c r="R65" s="7">
        <f t="shared" si="16"/>
        <v>1.6719692350670031E-3</v>
      </c>
      <c r="S65" s="3"/>
      <c r="T65" s="6">
        <v>11950</v>
      </c>
      <c r="U65" s="3"/>
      <c r="V65" s="7">
        <f t="shared" si="17"/>
        <v>1.3471771284271285E-3</v>
      </c>
      <c r="W65" s="3"/>
      <c r="X65" s="6">
        <f t="shared" si="18"/>
        <v>7738.4700000000012</v>
      </c>
      <c r="Y65" s="3"/>
      <c r="Z65" s="7">
        <f t="shared" si="19"/>
        <v>0.64757071129707122</v>
      </c>
    </row>
    <row r="66" spans="1:26" s="69" customFormat="1" ht="15" customHeight="1" outlineLevel="1" collapsed="1" x14ac:dyDescent="0.3">
      <c r="A66" s="20"/>
      <c r="B66" s="11" t="str">
        <f>CONCATENATE("     ","Insurance                                         ")</f>
        <v xml:space="preserve">     Insurance                                         </v>
      </c>
      <c r="C66" s="11"/>
      <c r="D66" s="2">
        <f>SUM(OSRRefD22_10x_0)</f>
        <v>5.32</v>
      </c>
      <c r="E66" s="2"/>
      <c r="F66" s="5">
        <f t="shared" si="12"/>
        <v>3.3234506488506389E-5</v>
      </c>
      <c r="G66" s="2"/>
      <c r="H66" s="2">
        <f>SUM(OSRRefH22_10x_0)</f>
        <v>10</v>
      </c>
      <c r="I66" s="2"/>
      <c r="J66" s="5">
        <f t="shared" si="13"/>
        <v>0</v>
      </c>
      <c r="K66" s="2"/>
      <c r="L66" s="2">
        <f t="shared" si="14"/>
        <v>-4.68</v>
      </c>
      <c r="M66" s="2"/>
      <c r="N66" s="5">
        <f t="shared" si="15"/>
        <v>-0.46799999999999997</v>
      </c>
      <c r="O66" s="11"/>
      <c r="P66" s="2">
        <f>SUM(OSRRefP22_10x_0)</f>
        <v>62.64</v>
      </c>
      <c r="Q66" s="2"/>
      <c r="R66" s="5">
        <f t="shared" si="16"/>
        <v>5.3194663112266761E-6</v>
      </c>
      <c r="S66" s="2"/>
      <c r="T66" s="2">
        <f>SUM(OSRRefT22_10x_0)</f>
        <v>120</v>
      </c>
      <c r="U66" s="2"/>
      <c r="V66" s="5">
        <f t="shared" si="17"/>
        <v>1.3528138528138528E-5</v>
      </c>
      <c r="W66" s="2"/>
      <c r="X66" s="2">
        <f t="shared" si="18"/>
        <v>-57.36</v>
      </c>
      <c r="Y66" s="2"/>
      <c r="Z66" s="5">
        <f t="shared" si="19"/>
        <v>-0.47799999999999998</v>
      </c>
    </row>
    <row r="67" spans="1:26" s="70" customFormat="1" ht="15" hidden="1" customHeight="1" outlineLevel="2" x14ac:dyDescent="0.3">
      <c r="A67" s="21"/>
      <c r="B67" s="9" t="str">
        <f>CONCATENATE("          ","6314"," - ","LIABILITY INSURANCE")</f>
        <v xml:space="preserve">          6314 - LIABILITY INSURANCE</v>
      </c>
      <c r="C67" s="9"/>
      <c r="D67" s="6">
        <v>5.32</v>
      </c>
      <c r="E67" s="3"/>
      <c r="F67" s="7">
        <f t="shared" si="12"/>
        <v>3.3234506488506389E-5</v>
      </c>
      <c r="G67" s="3"/>
      <c r="H67" s="6">
        <v>10</v>
      </c>
      <c r="I67" s="3"/>
      <c r="J67" s="7">
        <f t="shared" si="13"/>
        <v>0</v>
      </c>
      <c r="K67" s="3"/>
      <c r="L67" s="6">
        <f t="shared" si="14"/>
        <v>-4.68</v>
      </c>
      <c r="M67" s="3"/>
      <c r="N67" s="7">
        <f t="shared" si="15"/>
        <v>-0.46799999999999997</v>
      </c>
      <c r="O67" s="9"/>
      <c r="P67" s="6">
        <v>62.64</v>
      </c>
      <c r="Q67" s="3"/>
      <c r="R67" s="7">
        <f t="shared" si="16"/>
        <v>5.3194663112266761E-6</v>
      </c>
      <c r="S67" s="3"/>
      <c r="T67" s="6">
        <v>120</v>
      </c>
      <c r="U67" s="3"/>
      <c r="V67" s="7">
        <f t="shared" si="17"/>
        <v>1.3528138528138528E-5</v>
      </c>
      <c r="W67" s="3"/>
      <c r="X67" s="6">
        <f t="shared" si="18"/>
        <v>-57.36</v>
      </c>
      <c r="Y67" s="3"/>
      <c r="Z67" s="7">
        <f t="shared" si="19"/>
        <v>-0.47799999999999998</v>
      </c>
    </row>
    <row r="68" spans="1:26" s="69" customFormat="1" ht="15" customHeight="1" outlineLevel="1" collapsed="1" x14ac:dyDescent="0.3">
      <c r="A68" s="20"/>
      <c r="B68" s="11" t="str">
        <f>CONCATENATE("     ","R/H Commissions                                   ")</f>
        <v xml:space="preserve">     R/H Commissions                                   </v>
      </c>
      <c r="C68" s="11"/>
      <c r="D68" s="2">
        <f>SUM(OSRRefD22_11x_0)</f>
        <v>12924.29</v>
      </c>
      <c r="E68" s="2"/>
      <c r="F68" s="5">
        <f t="shared" si="12"/>
        <v>8.0739172906830498E-2</v>
      </c>
      <c r="G68" s="2"/>
      <c r="H68" s="2">
        <f>SUM(OSRRefH22_11x_0)</f>
        <v>0</v>
      </c>
      <c r="I68" s="2"/>
      <c r="J68" s="5">
        <f t="shared" si="13"/>
        <v>0</v>
      </c>
      <c r="K68" s="2"/>
      <c r="L68" s="2">
        <f t="shared" si="14"/>
        <v>12924.29</v>
      </c>
      <c r="M68" s="2"/>
      <c r="N68" s="5">
        <f t="shared" si="15"/>
        <v>0</v>
      </c>
      <c r="O68" s="11"/>
      <c r="P68" s="2">
        <f>SUM(OSRRefP22_11x_0)</f>
        <v>925163.37</v>
      </c>
      <c r="Q68" s="2"/>
      <c r="R68" s="5">
        <f t="shared" si="16"/>
        <v>7.8566018184801092E-2</v>
      </c>
      <c r="S68" s="2"/>
      <c r="T68" s="2">
        <f>SUM(OSRRefT22_11x_0)</f>
        <v>703152</v>
      </c>
      <c r="U68" s="2"/>
      <c r="V68" s="5">
        <f t="shared" si="17"/>
        <v>7.9269480519480517E-2</v>
      </c>
      <c r="W68" s="2"/>
      <c r="X68" s="2">
        <f t="shared" si="18"/>
        <v>222011.37</v>
      </c>
      <c r="Y68" s="2"/>
      <c r="Z68" s="5">
        <f t="shared" si="19"/>
        <v>0.31573737968462012</v>
      </c>
    </row>
    <row r="69" spans="1:26" s="70" customFormat="1" ht="15" hidden="1" customHeight="1" outlineLevel="2" x14ac:dyDescent="0.3">
      <c r="A69" s="21"/>
      <c r="B69" s="9" t="str">
        <f>CONCATENATE("          ","6387"," - ","COMMISSION DUE HOUSING")</f>
        <v xml:space="preserve">          6387 - COMMISSION DUE HOUSING</v>
      </c>
      <c r="C69" s="9"/>
      <c r="D69" s="6">
        <v>12924.29</v>
      </c>
      <c r="E69" s="3"/>
      <c r="F69" s="7">
        <f t="shared" si="12"/>
        <v>8.0739172906830498E-2</v>
      </c>
      <c r="G69" s="3"/>
      <c r="H69" s="6"/>
      <c r="I69" s="3"/>
      <c r="J69" s="7">
        <f t="shared" si="13"/>
        <v>0</v>
      </c>
      <c r="K69" s="3"/>
      <c r="L69" s="6">
        <f t="shared" si="14"/>
        <v>12924.29</v>
      </c>
      <c r="M69" s="3"/>
      <c r="N69" s="7">
        <f t="shared" si="15"/>
        <v>0</v>
      </c>
      <c r="O69" s="9"/>
      <c r="P69" s="6">
        <v>925163.37</v>
      </c>
      <c r="Q69" s="3"/>
      <c r="R69" s="7">
        <f t="shared" si="16"/>
        <v>7.8566018184801092E-2</v>
      </c>
      <c r="S69" s="3"/>
      <c r="T69" s="6">
        <v>703152</v>
      </c>
      <c r="U69" s="3"/>
      <c r="V69" s="7">
        <f t="shared" si="17"/>
        <v>7.9269480519480517E-2</v>
      </c>
      <c r="W69" s="3"/>
      <c r="X69" s="6">
        <f t="shared" si="18"/>
        <v>222011.37</v>
      </c>
      <c r="Y69" s="3"/>
      <c r="Z69" s="7">
        <f t="shared" si="19"/>
        <v>0.31573737968462012</v>
      </c>
    </row>
    <row r="70" spans="1:26" s="69" customFormat="1" ht="15" customHeight="1" outlineLevel="1" collapsed="1" x14ac:dyDescent="0.3">
      <c r="A70" s="20"/>
      <c r="B70" s="11" t="str">
        <f>CONCATENATE("     ","Repair and Maintenance                            ")</f>
        <v xml:space="preserve">     Repair and Maintenance                            </v>
      </c>
      <c r="C70" s="11"/>
      <c r="D70" s="2">
        <f>SUM(OSRRefD22_12x_0)</f>
        <v>5706.2699999999995</v>
      </c>
      <c r="E70" s="2"/>
      <c r="F70" s="5">
        <f t="shared" si="12"/>
        <v>3.564756904890401E-2</v>
      </c>
      <c r="G70" s="2"/>
      <c r="H70" s="2">
        <f>SUM(OSRRefH22_12x_0)</f>
        <v>4050</v>
      </c>
      <c r="I70" s="2"/>
      <c r="J70" s="5">
        <f t="shared" si="13"/>
        <v>0</v>
      </c>
      <c r="K70" s="2"/>
      <c r="L70" s="2">
        <f t="shared" si="14"/>
        <v>1656.2699999999995</v>
      </c>
      <c r="M70" s="2"/>
      <c r="N70" s="5">
        <f t="shared" si="15"/>
        <v>0.40895555555555546</v>
      </c>
      <c r="O70" s="11"/>
      <c r="P70" s="2">
        <f>SUM(OSRRefP22_12x_0)</f>
        <v>56355.560000000005</v>
      </c>
      <c r="Q70" s="2"/>
      <c r="R70" s="5">
        <f t="shared" si="16"/>
        <v>4.7857838900113928E-3</v>
      </c>
      <c r="S70" s="2"/>
      <c r="T70" s="2">
        <f>SUM(OSRRefT22_12x_0)</f>
        <v>66300</v>
      </c>
      <c r="U70" s="2"/>
      <c r="V70" s="5">
        <f t="shared" si="17"/>
        <v>7.474296536796537E-3</v>
      </c>
      <c r="W70" s="2"/>
      <c r="X70" s="2">
        <f t="shared" si="18"/>
        <v>-9944.4399999999951</v>
      </c>
      <c r="Y70" s="2"/>
      <c r="Z70" s="5">
        <f t="shared" si="19"/>
        <v>-0.14999155354449464</v>
      </c>
    </row>
    <row r="71" spans="1:26" s="70" customFormat="1" ht="15" hidden="1" customHeight="1" outlineLevel="2" x14ac:dyDescent="0.3">
      <c r="A71" s="21"/>
      <c r="B71" s="9" t="str">
        <f>CONCATENATE("          ","6371"," - ","COMPUTER SOFTWARE MAINTENANCE")</f>
        <v xml:space="preserve">          6371 - COMPUTER SOFTWARE MAINTENANCE</v>
      </c>
      <c r="C71" s="9"/>
      <c r="D71" s="6">
        <v>3500</v>
      </c>
      <c r="E71" s="3"/>
      <c r="F71" s="7">
        <f t="shared" si="12"/>
        <v>2.1864806900333152E-2</v>
      </c>
      <c r="G71" s="3"/>
      <c r="H71" s="6">
        <v>3500</v>
      </c>
      <c r="I71" s="3"/>
      <c r="J71" s="7">
        <f t="shared" si="13"/>
        <v>0</v>
      </c>
      <c r="K71" s="3"/>
      <c r="L71" s="6">
        <f t="shared" si="14"/>
        <v>0</v>
      </c>
      <c r="M71" s="3"/>
      <c r="N71" s="7">
        <f t="shared" si="15"/>
        <v>0</v>
      </c>
      <c r="O71" s="9"/>
      <c r="P71" s="6">
        <v>42000</v>
      </c>
      <c r="Q71" s="3"/>
      <c r="R71" s="7">
        <f t="shared" si="16"/>
        <v>3.5666919711289974E-3</v>
      </c>
      <c r="S71" s="3"/>
      <c r="T71" s="6">
        <v>42000</v>
      </c>
      <c r="U71" s="3"/>
      <c r="V71" s="7">
        <f t="shared" si="17"/>
        <v>4.734848484848485E-3</v>
      </c>
      <c r="W71" s="3"/>
      <c r="X71" s="6">
        <f t="shared" si="18"/>
        <v>0</v>
      </c>
      <c r="Y71" s="3"/>
      <c r="Z71" s="7">
        <f t="shared" si="19"/>
        <v>0</v>
      </c>
    </row>
    <row r="72" spans="1:26" s="70" customFormat="1" ht="15" hidden="1" customHeight="1" outlineLevel="2" x14ac:dyDescent="0.3">
      <c r="A72" s="21"/>
      <c r="B72" s="9" t="str">
        <f>CONCATENATE("          ","6373"," - ","MAINTENANCE CONTRACTS")</f>
        <v xml:space="preserve">          6373 - MAINTENANCE CONTRACTS</v>
      </c>
      <c r="C72" s="9"/>
      <c r="D72" s="6">
        <v>2076.12</v>
      </c>
      <c r="E72" s="3"/>
      <c r="F72" s="7">
        <f t="shared" si="12"/>
        <v>1.2969703686262759E-2</v>
      </c>
      <c r="G72" s="3"/>
      <c r="H72" s="6"/>
      <c r="I72" s="3"/>
      <c r="J72" s="7">
        <f t="shared" si="13"/>
        <v>0</v>
      </c>
      <c r="K72" s="3"/>
      <c r="L72" s="6">
        <f t="shared" si="14"/>
        <v>2076.12</v>
      </c>
      <c r="M72" s="3"/>
      <c r="N72" s="7">
        <f t="shared" si="15"/>
        <v>0</v>
      </c>
      <c r="O72" s="9"/>
      <c r="P72" s="6">
        <v>6567.76</v>
      </c>
      <c r="Q72" s="3"/>
      <c r="R72" s="7">
        <f t="shared" si="16"/>
        <v>5.5774230619767102E-4</v>
      </c>
      <c r="S72" s="3"/>
      <c r="T72" s="6">
        <v>17700</v>
      </c>
      <c r="U72" s="3"/>
      <c r="V72" s="7">
        <f t="shared" si="17"/>
        <v>1.995400432900433E-3</v>
      </c>
      <c r="W72" s="3"/>
      <c r="X72" s="6">
        <f t="shared" si="18"/>
        <v>-11132.24</v>
      </c>
      <c r="Y72" s="3"/>
      <c r="Z72" s="7">
        <f t="shared" si="19"/>
        <v>-0.62894011299435026</v>
      </c>
    </row>
    <row r="73" spans="1:26" s="70" customFormat="1" ht="15" hidden="1" customHeight="1" outlineLevel="2" x14ac:dyDescent="0.3">
      <c r="A73" s="21"/>
      <c r="B73" s="9" t="str">
        <f>CONCATENATE("          ","6375"," - ","OUTSIDE REPAIRS &amp; MAINTENANCE")</f>
        <v xml:space="preserve">          6375 - OUTSIDE REPAIRS &amp; MAINTENANCE</v>
      </c>
      <c r="C73" s="9"/>
      <c r="D73" s="6">
        <v>130.15</v>
      </c>
      <c r="E73" s="3"/>
      <c r="F73" s="7">
        <f t="shared" si="12"/>
        <v>8.1305846230810279E-4</v>
      </c>
      <c r="G73" s="3"/>
      <c r="H73" s="6">
        <v>550</v>
      </c>
      <c r="I73" s="3"/>
      <c r="J73" s="7">
        <f t="shared" si="13"/>
        <v>0</v>
      </c>
      <c r="K73" s="3"/>
      <c r="L73" s="6">
        <f t="shared" si="14"/>
        <v>-419.85</v>
      </c>
      <c r="M73" s="3"/>
      <c r="N73" s="7">
        <f t="shared" si="15"/>
        <v>-0.76336363636363636</v>
      </c>
      <c r="O73" s="9"/>
      <c r="P73" s="6">
        <v>7787.8</v>
      </c>
      <c r="Q73" s="3"/>
      <c r="R73" s="7">
        <f t="shared" si="16"/>
        <v>6.6134961268472391E-4</v>
      </c>
      <c r="S73" s="3"/>
      <c r="T73" s="6">
        <v>6600</v>
      </c>
      <c r="U73" s="3"/>
      <c r="V73" s="7">
        <f t="shared" si="17"/>
        <v>7.4404761904761901E-4</v>
      </c>
      <c r="W73" s="3"/>
      <c r="X73" s="6">
        <f t="shared" si="18"/>
        <v>1187.8000000000002</v>
      </c>
      <c r="Y73" s="3"/>
      <c r="Z73" s="7">
        <f t="shared" si="19"/>
        <v>0.179969696969697</v>
      </c>
    </row>
    <row r="74" spans="1:26" s="69" customFormat="1" ht="15" customHeight="1" outlineLevel="1" collapsed="1" x14ac:dyDescent="0.3">
      <c r="A74" s="20"/>
      <c r="B74" s="11" t="str">
        <f>CONCATENATE("     ","Services                                          ")</f>
        <v xml:space="preserve">     Services                                          </v>
      </c>
      <c r="C74" s="11"/>
      <c r="D74" s="2">
        <f>SUM(OSRRefD22_13x_0)</f>
        <v>13523.02</v>
      </c>
      <c r="E74" s="2"/>
      <c r="F74" s="5">
        <f t="shared" si="12"/>
        <v>8.4479491716955207E-2</v>
      </c>
      <c r="G74" s="2"/>
      <c r="H74" s="2">
        <f>SUM(OSRRefH22_13x_0)</f>
        <v>21792</v>
      </c>
      <c r="I74" s="2"/>
      <c r="J74" s="5">
        <f t="shared" si="13"/>
        <v>0</v>
      </c>
      <c r="K74" s="2"/>
      <c r="L74" s="2">
        <f t="shared" si="14"/>
        <v>-8268.98</v>
      </c>
      <c r="M74" s="2"/>
      <c r="N74" s="5">
        <f t="shared" si="15"/>
        <v>-0.3794502569750367</v>
      </c>
      <c r="O74" s="11"/>
      <c r="P74" s="2">
        <f>SUM(OSRRefP22_13x_0)</f>
        <v>204833.56</v>
      </c>
      <c r="Q74" s="2"/>
      <c r="R74" s="5">
        <f t="shared" si="16"/>
        <v>1.7394719377851659E-2</v>
      </c>
      <c r="S74" s="2"/>
      <c r="T74" s="2">
        <f>SUM(OSRRefT22_13x_0)</f>
        <v>256804</v>
      </c>
      <c r="U74" s="2"/>
      <c r="V74" s="5">
        <f t="shared" si="17"/>
        <v>2.8950667388167386E-2</v>
      </c>
      <c r="W74" s="2"/>
      <c r="X74" s="2">
        <f t="shared" si="18"/>
        <v>-51970.44</v>
      </c>
      <c r="Y74" s="2"/>
      <c r="Z74" s="5">
        <f t="shared" si="19"/>
        <v>-0.20237395056151775</v>
      </c>
    </row>
    <row r="75" spans="1:26" s="70" customFormat="1" ht="15" hidden="1" customHeight="1" outlineLevel="2" x14ac:dyDescent="0.3">
      <c r="A75" s="21"/>
      <c r="B75" s="9" t="str">
        <f>CONCATENATE("          ","6282"," - ","JANITORIAL/EXTERMINATOR EXPENS")</f>
        <v xml:space="preserve">          6282 - JANITORIAL/EXTERMINATOR EXPENS</v>
      </c>
      <c r="C75" s="9"/>
      <c r="D75" s="6">
        <v>2374.1</v>
      </c>
      <c r="E75" s="3"/>
      <c r="F75" s="7">
        <f t="shared" si="12"/>
        <v>1.4831210874880266E-2</v>
      </c>
      <c r="G75" s="3"/>
      <c r="H75" s="6">
        <v>1570</v>
      </c>
      <c r="I75" s="3"/>
      <c r="J75" s="7">
        <f t="shared" si="13"/>
        <v>0</v>
      </c>
      <c r="K75" s="3"/>
      <c r="L75" s="6">
        <f t="shared" si="14"/>
        <v>804.09999999999991</v>
      </c>
      <c r="M75" s="3"/>
      <c r="N75" s="7">
        <f t="shared" si="15"/>
        <v>0.51216560509554132</v>
      </c>
      <c r="O75" s="9"/>
      <c r="P75" s="6">
        <v>20901.419999999998</v>
      </c>
      <c r="Q75" s="3"/>
      <c r="R75" s="7">
        <f t="shared" si="16"/>
        <v>1.7749744499808342E-3</v>
      </c>
      <c r="S75" s="3"/>
      <c r="T75" s="6">
        <v>18840</v>
      </c>
      <c r="U75" s="3"/>
      <c r="V75" s="7">
        <f t="shared" si="17"/>
        <v>2.1239177489177489E-3</v>
      </c>
      <c r="W75" s="3"/>
      <c r="X75" s="6">
        <f t="shared" si="18"/>
        <v>2061.4199999999983</v>
      </c>
      <c r="Y75" s="3"/>
      <c r="Z75" s="7">
        <f t="shared" si="19"/>
        <v>0.10941719745222921</v>
      </c>
    </row>
    <row r="76" spans="1:26" s="70" customFormat="1" ht="15" hidden="1" customHeight="1" outlineLevel="2" x14ac:dyDescent="0.3">
      <c r="A76" s="21"/>
      <c r="B76" s="9" t="str">
        <f>CONCATENATE("          ","6284"," - ","TRASH REMOVAL EXPENSE")</f>
        <v xml:space="preserve">          6284 - TRASH REMOVAL EXPENSE</v>
      </c>
      <c r="C76" s="9"/>
      <c r="D76" s="6"/>
      <c r="E76" s="3"/>
      <c r="F76" s="7">
        <f t="shared" si="12"/>
        <v>0</v>
      </c>
      <c r="G76" s="3"/>
      <c r="H76" s="6">
        <v>600</v>
      </c>
      <c r="I76" s="3"/>
      <c r="J76" s="7">
        <f t="shared" si="13"/>
        <v>0</v>
      </c>
      <c r="K76" s="3"/>
      <c r="L76" s="6">
        <f t="shared" si="14"/>
        <v>-600</v>
      </c>
      <c r="M76" s="3"/>
      <c r="N76" s="7">
        <f t="shared" si="15"/>
        <v>-1</v>
      </c>
      <c r="O76" s="9"/>
      <c r="P76" s="6"/>
      <c r="Q76" s="3"/>
      <c r="R76" s="7">
        <f t="shared" si="16"/>
        <v>0</v>
      </c>
      <c r="S76" s="3"/>
      <c r="T76" s="6">
        <v>7200</v>
      </c>
      <c r="U76" s="3"/>
      <c r="V76" s="7">
        <f t="shared" si="17"/>
        <v>8.1168831168831174E-4</v>
      </c>
      <c r="W76" s="3"/>
      <c r="X76" s="6">
        <f t="shared" si="18"/>
        <v>-7200</v>
      </c>
      <c r="Y76" s="3"/>
      <c r="Z76" s="7">
        <f t="shared" si="19"/>
        <v>-1</v>
      </c>
    </row>
    <row r="77" spans="1:26" s="70" customFormat="1" ht="15" hidden="1" customHeight="1" outlineLevel="2" x14ac:dyDescent="0.3">
      <c r="A77" s="21"/>
      <c r="B77" s="9" t="str">
        <f>CONCATENATE("          ","6285"," - ","JANITORIAL SERVICES")</f>
        <v xml:space="preserve">          6285 - JANITORIAL SERVICES</v>
      </c>
      <c r="C77" s="9"/>
      <c r="D77" s="6">
        <v>8580.7199999999993</v>
      </c>
      <c r="E77" s="3"/>
      <c r="F77" s="7">
        <f t="shared" si="12"/>
        <v>5.3604510247379049E-2</v>
      </c>
      <c r="G77" s="3"/>
      <c r="H77" s="6">
        <v>14859</v>
      </c>
      <c r="I77" s="3"/>
      <c r="J77" s="7">
        <f t="shared" si="13"/>
        <v>0</v>
      </c>
      <c r="K77" s="3"/>
      <c r="L77" s="6">
        <f t="shared" si="14"/>
        <v>-6278.2800000000007</v>
      </c>
      <c r="M77" s="3"/>
      <c r="N77" s="7">
        <f t="shared" si="15"/>
        <v>-0.42252372299616398</v>
      </c>
      <c r="O77" s="9"/>
      <c r="P77" s="6">
        <v>148798.57</v>
      </c>
      <c r="Q77" s="3"/>
      <c r="R77" s="7">
        <f t="shared" si="16"/>
        <v>1.2636158688916098E-2</v>
      </c>
      <c r="S77" s="3"/>
      <c r="T77" s="6">
        <v>175164</v>
      </c>
      <c r="U77" s="3"/>
      <c r="V77" s="7">
        <f t="shared" si="17"/>
        <v>1.9747023809523808E-2</v>
      </c>
      <c r="W77" s="3"/>
      <c r="X77" s="6">
        <f t="shared" si="18"/>
        <v>-26365.429999999993</v>
      </c>
      <c r="Y77" s="3"/>
      <c r="Z77" s="7">
        <f t="shared" si="19"/>
        <v>-0.15051854262291334</v>
      </c>
    </row>
    <row r="78" spans="1:26" s="70" customFormat="1" ht="15" hidden="1" customHeight="1" outlineLevel="2" x14ac:dyDescent="0.3">
      <c r="A78" s="21"/>
      <c r="B78" s="9" t="str">
        <f>CONCATENATE("          ","6286"," - ","LAUNDRY EXPENSE")</f>
        <v xml:space="preserve">          6286 - LAUNDRY EXPENSE</v>
      </c>
      <c r="C78" s="9"/>
      <c r="D78" s="6">
        <v>2568.1999999999998</v>
      </c>
      <c r="E78" s="3"/>
      <c r="F78" s="7">
        <f t="shared" si="12"/>
        <v>1.6043770594695885E-2</v>
      </c>
      <c r="G78" s="3"/>
      <c r="H78" s="6">
        <v>4763</v>
      </c>
      <c r="I78" s="3"/>
      <c r="J78" s="7">
        <f t="shared" si="13"/>
        <v>0</v>
      </c>
      <c r="K78" s="3"/>
      <c r="L78" s="6">
        <f t="shared" si="14"/>
        <v>-2194.8000000000002</v>
      </c>
      <c r="M78" s="3"/>
      <c r="N78" s="7">
        <f t="shared" si="15"/>
        <v>-0.46080201553642663</v>
      </c>
      <c r="O78" s="9"/>
      <c r="P78" s="6">
        <v>35133.57</v>
      </c>
      <c r="Q78" s="3"/>
      <c r="R78" s="7">
        <f t="shared" si="16"/>
        <v>2.9835862389547287E-3</v>
      </c>
      <c r="S78" s="3"/>
      <c r="T78" s="6">
        <v>55600</v>
      </c>
      <c r="U78" s="3"/>
      <c r="V78" s="7">
        <f t="shared" si="17"/>
        <v>6.268037518037518E-3</v>
      </c>
      <c r="W78" s="3"/>
      <c r="X78" s="6">
        <f t="shared" si="18"/>
        <v>-20466.43</v>
      </c>
      <c r="Y78" s="3"/>
      <c r="Z78" s="7">
        <f t="shared" si="19"/>
        <v>-0.36810125899280577</v>
      </c>
    </row>
    <row r="79" spans="1:26" s="69" customFormat="1" ht="15" customHeight="1" outlineLevel="1" collapsed="1" x14ac:dyDescent="0.3">
      <c r="A79" s="20"/>
      <c r="B79" s="11" t="str">
        <f>CONCATENATE("     ","Subscriptions &amp; Dues                              ")</f>
        <v xml:space="preserve">     Subscriptions &amp; Dues                              </v>
      </c>
      <c r="C79" s="11"/>
      <c r="D79" s="2">
        <f>SUM(OSRRefD22_14x_0)</f>
        <v>0</v>
      </c>
      <c r="E79" s="2"/>
      <c r="F79" s="5">
        <f t="shared" si="12"/>
        <v>0</v>
      </c>
      <c r="G79" s="2"/>
      <c r="H79" s="2">
        <f>SUM(OSRRefH22_14x_0)</f>
        <v>0</v>
      </c>
      <c r="I79" s="2"/>
      <c r="J79" s="5">
        <f t="shared" si="13"/>
        <v>0</v>
      </c>
      <c r="K79" s="2"/>
      <c r="L79" s="2">
        <f t="shared" si="14"/>
        <v>0</v>
      </c>
      <c r="M79" s="2"/>
      <c r="N79" s="5">
        <f t="shared" si="15"/>
        <v>0</v>
      </c>
      <c r="O79" s="11"/>
      <c r="P79" s="2">
        <f>SUM(OSRRefP22_14x_0)</f>
        <v>0</v>
      </c>
      <c r="Q79" s="2"/>
      <c r="R79" s="5">
        <f t="shared" si="16"/>
        <v>0</v>
      </c>
      <c r="S79" s="2"/>
      <c r="T79" s="2">
        <f>SUM(OSRRefT22_14x_0)</f>
        <v>795</v>
      </c>
      <c r="U79" s="2"/>
      <c r="V79" s="5">
        <f t="shared" si="17"/>
        <v>8.9623917748917747E-5</v>
      </c>
      <c r="W79" s="2"/>
      <c r="X79" s="2">
        <f t="shared" si="18"/>
        <v>-795</v>
      </c>
      <c r="Y79" s="2"/>
      <c r="Z79" s="5">
        <f t="shared" si="19"/>
        <v>-1</v>
      </c>
    </row>
    <row r="80" spans="1:26" s="70" customFormat="1" ht="15" hidden="1" customHeight="1" outlineLevel="2" x14ac:dyDescent="0.3">
      <c r="A80" s="21"/>
      <c r="B80" s="9" t="str">
        <f>CONCATENATE("          ","6258"," - ","MEMBERSHIP DUES")</f>
        <v xml:space="preserve">          6258 - MEMBERSHIP DUES</v>
      </c>
      <c r="C80" s="9"/>
      <c r="D80" s="6"/>
      <c r="E80" s="3"/>
      <c r="F80" s="7">
        <f t="shared" si="12"/>
        <v>0</v>
      </c>
      <c r="G80" s="3"/>
      <c r="H80" s="6"/>
      <c r="I80" s="3"/>
      <c r="J80" s="7">
        <f t="shared" si="13"/>
        <v>0</v>
      </c>
      <c r="K80" s="3"/>
      <c r="L80" s="6">
        <f t="shared" si="14"/>
        <v>0</v>
      </c>
      <c r="M80" s="3"/>
      <c r="N80" s="7">
        <f t="shared" si="15"/>
        <v>0</v>
      </c>
      <c r="O80" s="9"/>
      <c r="P80" s="6"/>
      <c r="Q80" s="3"/>
      <c r="R80" s="7">
        <f t="shared" si="16"/>
        <v>0</v>
      </c>
      <c r="S80" s="3"/>
      <c r="T80" s="6">
        <v>795</v>
      </c>
      <c r="U80" s="3"/>
      <c r="V80" s="7">
        <f t="shared" si="17"/>
        <v>8.9623917748917747E-5</v>
      </c>
      <c r="W80" s="3"/>
      <c r="X80" s="6">
        <f t="shared" si="18"/>
        <v>-795</v>
      </c>
      <c r="Y80" s="3"/>
      <c r="Z80" s="7">
        <f t="shared" si="19"/>
        <v>-1</v>
      </c>
    </row>
    <row r="81" spans="1:26" s="69" customFormat="1" ht="15" customHeight="1" outlineLevel="1" collapsed="1" x14ac:dyDescent="0.3">
      <c r="A81" s="20"/>
      <c r="B81" s="11" t="str">
        <f>CONCATENATE("     ","Supplies                                          ")</f>
        <v xml:space="preserve">     Supplies                                          </v>
      </c>
      <c r="C81" s="11"/>
      <c r="D81" s="2">
        <f>SUM(OSRRefD22_15x_0)</f>
        <v>5939.6299999999992</v>
      </c>
      <c r="E81" s="2"/>
      <c r="F81" s="5">
        <f t="shared" si="12"/>
        <v>3.7105389431264506E-2</v>
      </c>
      <c r="G81" s="2"/>
      <c r="H81" s="2">
        <f>SUM(OSRRefH22_15x_0)</f>
        <v>25240</v>
      </c>
      <c r="I81" s="2"/>
      <c r="J81" s="5">
        <f t="shared" si="13"/>
        <v>0</v>
      </c>
      <c r="K81" s="2"/>
      <c r="L81" s="2">
        <f t="shared" si="14"/>
        <v>-19300.370000000003</v>
      </c>
      <c r="M81" s="2"/>
      <c r="N81" s="5">
        <f t="shared" si="15"/>
        <v>-0.76467393026941377</v>
      </c>
      <c r="O81" s="11"/>
      <c r="P81" s="2">
        <f>SUM(OSRRefP22_15x_0)</f>
        <v>331039.84000000003</v>
      </c>
      <c r="Q81" s="2"/>
      <c r="R81" s="5">
        <f t="shared" si="16"/>
        <v>2.8112312844091141E-2</v>
      </c>
      <c r="S81" s="2"/>
      <c r="T81" s="2">
        <f>SUM(OSRRefT22_15x_0)</f>
        <v>357090</v>
      </c>
      <c r="U81" s="2"/>
      <c r="V81" s="5">
        <f t="shared" si="17"/>
        <v>4.0256358225108223E-2</v>
      </c>
      <c r="W81" s="2"/>
      <c r="X81" s="2">
        <f t="shared" si="18"/>
        <v>-26050.159999999974</v>
      </c>
      <c r="Y81" s="2"/>
      <c r="Z81" s="5">
        <f t="shared" si="19"/>
        <v>-7.2951244784228E-2</v>
      </c>
    </row>
    <row r="82" spans="1:26" s="70" customFormat="1" ht="15" hidden="1" customHeight="1" outlineLevel="2" x14ac:dyDescent="0.3">
      <c r="A82" s="21"/>
      <c r="B82" s="9" t="str">
        <f>CONCATENATE("          ","6234"," - ","EXPENDABLE SUPPLIES &amp; EQUIPMEN")</f>
        <v xml:space="preserve">          6234 - EXPENDABLE SUPPLIES &amp; EQUIPMEN</v>
      </c>
      <c r="C82" s="9"/>
      <c r="D82" s="6">
        <v>525.74</v>
      </c>
      <c r="E82" s="3"/>
      <c r="F82" s="7">
        <f t="shared" si="12"/>
        <v>3.2843438799374717E-3</v>
      </c>
      <c r="G82" s="3"/>
      <c r="H82" s="6">
        <v>338</v>
      </c>
      <c r="I82" s="3"/>
      <c r="J82" s="7">
        <f t="shared" si="13"/>
        <v>0</v>
      </c>
      <c r="K82" s="3"/>
      <c r="L82" s="6">
        <f t="shared" si="14"/>
        <v>187.74</v>
      </c>
      <c r="M82" s="3"/>
      <c r="N82" s="7">
        <f t="shared" si="15"/>
        <v>0.5554437869822485</v>
      </c>
      <c r="O82" s="9"/>
      <c r="P82" s="6">
        <v>862.72</v>
      </c>
      <c r="Q82" s="3"/>
      <c r="R82" s="7">
        <f t="shared" si="16"/>
        <v>7.3263249936485916E-5</v>
      </c>
      <c r="S82" s="3"/>
      <c r="T82" s="6">
        <v>4100</v>
      </c>
      <c r="U82" s="3"/>
      <c r="V82" s="7">
        <f t="shared" si="17"/>
        <v>4.6221139971139969E-4</v>
      </c>
      <c r="W82" s="3"/>
      <c r="X82" s="6">
        <f t="shared" si="18"/>
        <v>-3237.2799999999997</v>
      </c>
      <c r="Y82" s="3"/>
      <c r="Z82" s="7">
        <f t="shared" si="19"/>
        <v>-0.789580487804878</v>
      </c>
    </row>
    <row r="83" spans="1:26" s="70" customFormat="1" ht="15" hidden="1" customHeight="1" outlineLevel="2" x14ac:dyDescent="0.3">
      <c r="A83" s="21"/>
      <c r="B83" s="9" t="str">
        <f>CONCATENATE("          ","6235"," - ","COVID-19 EXPENSES")</f>
        <v xml:space="preserve">          6235 - COVID-19 EXPENSES</v>
      </c>
      <c r="C83" s="9"/>
      <c r="D83" s="6"/>
      <c r="E83" s="3"/>
      <c r="F83" s="7">
        <f t="shared" si="12"/>
        <v>0</v>
      </c>
      <c r="G83" s="3"/>
      <c r="H83" s="6"/>
      <c r="I83" s="3"/>
      <c r="J83" s="7">
        <f t="shared" si="13"/>
        <v>0</v>
      </c>
      <c r="K83" s="3"/>
      <c r="L83" s="6">
        <f t="shared" si="14"/>
        <v>0</v>
      </c>
      <c r="M83" s="3"/>
      <c r="N83" s="7">
        <f t="shared" si="15"/>
        <v>0</v>
      </c>
      <c r="O83" s="9"/>
      <c r="P83" s="6">
        <v>158.76</v>
      </c>
      <c r="Q83" s="3"/>
      <c r="R83" s="7">
        <f t="shared" si="16"/>
        <v>1.3482095650867608E-5</v>
      </c>
      <c r="S83" s="3"/>
      <c r="T83" s="6"/>
      <c r="U83" s="3"/>
      <c r="V83" s="7">
        <f t="shared" si="17"/>
        <v>0</v>
      </c>
      <c r="W83" s="3"/>
      <c r="X83" s="6">
        <f t="shared" si="18"/>
        <v>158.76</v>
      </c>
      <c r="Y83" s="3"/>
      <c r="Z83" s="7">
        <f t="shared" si="19"/>
        <v>0</v>
      </c>
    </row>
    <row r="84" spans="1:26" s="70" customFormat="1" ht="15" hidden="1" customHeight="1" outlineLevel="2" x14ac:dyDescent="0.3">
      <c r="A84" s="21"/>
      <c r="B84" s="9" t="str">
        <f>CONCATENATE("          ","6237"," - ","JANITORIAL SUPPLIES")</f>
        <v xml:space="preserve">          6237 - JANITORIAL SUPPLIES</v>
      </c>
      <c r="C84" s="9"/>
      <c r="D84" s="6">
        <v>2837.83</v>
      </c>
      <c r="E84" s="3"/>
      <c r="F84" s="7">
        <f t="shared" si="12"/>
        <v>1.7728172847420693E-2</v>
      </c>
      <c r="G84" s="3"/>
      <c r="H84" s="6">
        <v>7750</v>
      </c>
      <c r="I84" s="3"/>
      <c r="J84" s="7">
        <f t="shared" si="13"/>
        <v>0</v>
      </c>
      <c r="K84" s="3"/>
      <c r="L84" s="6">
        <f t="shared" si="14"/>
        <v>-4912.17</v>
      </c>
      <c r="M84" s="3"/>
      <c r="N84" s="7">
        <f t="shared" si="15"/>
        <v>-0.63382838709677425</v>
      </c>
      <c r="O84" s="9"/>
      <c r="P84" s="6">
        <v>82723.539999999994</v>
      </c>
      <c r="Q84" s="3"/>
      <c r="R84" s="7">
        <f t="shared" si="16"/>
        <v>7.0249853795563907E-3</v>
      </c>
      <c r="S84" s="3"/>
      <c r="T84" s="6">
        <v>118000</v>
      </c>
      <c r="U84" s="3"/>
      <c r="V84" s="7">
        <f t="shared" si="17"/>
        <v>1.3302669552669552E-2</v>
      </c>
      <c r="W84" s="3"/>
      <c r="X84" s="6">
        <f t="shared" si="18"/>
        <v>-35276.460000000006</v>
      </c>
      <c r="Y84" s="3"/>
      <c r="Z84" s="7">
        <f t="shared" si="19"/>
        <v>-0.29895305084745766</v>
      </c>
    </row>
    <row r="85" spans="1:26" s="70" customFormat="1" ht="15" hidden="1" customHeight="1" outlineLevel="2" x14ac:dyDescent="0.3">
      <c r="A85" s="21"/>
      <c r="B85" s="9" t="str">
        <f>CONCATENATE("          ","6239"," - ","KITCHEN SUPPLIES")</f>
        <v xml:space="preserve">          6239 - KITCHEN SUPPLIES</v>
      </c>
      <c r="C85" s="9"/>
      <c r="D85" s="6">
        <v>246.88</v>
      </c>
      <c r="E85" s="3"/>
      <c r="F85" s="7">
        <f t="shared" si="12"/>
        <v>1.5422810078726424E-3</v>
      </c>
      <c r="G85" s="3"/>
      <c r="H85" s="6">
        <v>3300</v>
      </c>
      <c r="I85" s="3"/>
      <c r="J85" s="7">
        <f t="shared" si="13"/>
        <v>0</v>
      </c>
      <c r="K85" s="3"/>
      <c r="L85" s="6">
        <f t="shared" si="14"/>
        <v>-3053.12</v>
      </c>
      <c r="M85" s="3"/>
      <c r="N85" s="7">
        <f t="shared" si="15"/>
        <v>-0.92518787878787878</v>
      </c>
      <c r="O85" s="9"/>
      <c r="P85" s="6">
        <v>36647.040000000001</v>
      </c>
      <c r="Q85" s="3"/>
      <c r="R85" s="7">
        <f t="shared" si="16"/>
        <v>3.112111984134362E-3</v>
      </c>
      <c r="S85" s="3"/>
      <c r="T85" s="6">
        <v>48700</v>
      </c>
      <c r="U85" s="3"/>
      <c r="V85" s="7">
        <f t="shared" si="17"/>
        <v>5.490169552669553E-3</v>
      </c>
      <c r="W85" s="3"/>
      <c r="X85" s="6">
        <f t="shared" si="18"/>
        <v>-12052.96</v>
      </c>
      <c r="Y85" s="3"/>
      <c r="Z85" s="7">
        <f t="shared" si="19"/>
        <v>-0.24749404517453796</v>
      </c>
    </row>
    <row r="86" spans="1:26" s="70" customFormat="1" ht="15" hidden="1" customHeight="1" outlineLevel="2" x14ac:dyDescent="0.3">
      <c r="A86" s="21"/>
      <c r="B86" s="9" t="str">
        <f>CONCATENATE("          ","6241"," - ","OFFICE EXPENSE")</f>
        <v xml:space="preserve">          6241 - OFFICE EXPENSE</v>
      </c>
      <c r="C86" s="9"/>
      <c r="D86" s="6">
        <v>56.45</v>
      </c>
      <c r="E86" s="3"/>
      <c r="F86" s="7">
        <f t="shared" si="12"/>
        <v>3.526480998639447E-4</v>
      </c>
      <c r="G86" s="3"/>
      <c r="H86" s="6">
        <v>1445</v>
      </c>
      <c r="I86" s="3"/>
      <c r="J86" s="7">
        <f t="shared" si="13"/>
        <v>0</v>
      </c>
      <c r="K86" s="3"/>
      <c r="L86" s="6">
        <f t="shared" si="14"/>
        <v>-1388.55</v>
      </c>
      <c r="M86" s="3"/>
      <c r="N86" s="7">
        <f t="shared" si="15"/>
        <v>-0.96093425605536331</v>
      </c>
      <c r="O86" s="9"/>
      <c r="P86" s="6">
        <v>19084.009999999998</v>
      </c>
      <c r="Q86" s="3"/>
      <c r="R86" s="7">
        <f t="shared" si="16"/>
        <v>1.6206377439034641E-3</v>
      </c>
      <c r="S86" s="3"/>
      <c r="T86" s="6">
        <v>17340</v>
      </c>
      <c r="U86" s="3"/>
      <c r="V86" s="7">
        <f t="shared" si="17"/>
        <v>1.9548160173160174E-3</v>
      </c>
      <c r="W86" s="3"/>
      <c r="X86" s="6">
        <f t="shared" si="18"/>
        <v>1744.0099999999984</v>
      </c>
      <c r="Y86" s="3"/>
      <c r="Z86" s="7">
        <f t="shared" si="19"/>
        <v>0.10057727797001144</v>
      </c>
    </row>
    <row r="87" spans="1:26" s="70" customFormat="1" ht="15" hidden="1" customHeight="1" outlineLevel="2" x14ac:dyDescent="0.3">
      <c r="A87" s="21"/>
      <c r="B87" s="9" t="str">
        <f>CONCATENATE("          ","6243"," - ","PAPER SUPPLIES")</f>
        <v xml:space="preserve">          6243 - PAPER SUPPLIES</v>
      </c>
      <c r="C87" s="9"/>
      <c r="D87" s="6">
        <v>2272.73</v>
      </c>
      <c r="E87" s="3"/>
      <c r="F87" s="7">
        <f t="shared" si="12"/>
        <v>1.419794359616976E-2</v>
      </c>
      <c r="G87" s="3"/>
      <c r="H87" s="6">
        <v>11300</v>
      </c>
      <c r="I87" s="3"/>
      <c r="J87" s="7">
        <f t="shared" si="13"/>
        <v>0</v>
      </c>
      <c r="K87" s="3"/>
      <c r="L87" s="6">
        <f t="shared" si="14"/>
        <v>-9027.27</v>
      </c>
      <c r="M87" s="3"/>
      <c r="N87" s="7">
        <f t="shared" si="15"/>
        <v>-0.7988734513274337</v>
      </c>
      <c r="O87" s="9"/>
      <c r="P87" s="6">
        <v>183326.83</v>
      </c>
      <c r="Q87" s="3"/>
      <c r="R87" s="7">
        <f t="shared" si="16"/>
        <v>1.5568341253655488E-2</v>
      </c>
      <c r="S87" s="3"/>
      <c r="T87" s="6">
        <v>155600</v>
      </c>
      <c r="U87" s="3"/>
      <c r="V87" s="7">
        <f t="shared" si="17"/>
        <v>1.7541486291486292E-2</v>
      </c>
      <c r="W87" s="3"/>
      <c r="X87" s="6">
        <f t="shared" si="18"/>
        <v>27726.829999999987</v>
      </c>
      <c r="Y87" s="3"/>
      <c r="Z87" s="7">
        <f t="shared" si="19"/>
        <v>0.17819299485861173</v>
      </c>
    </row>
    <row r="88" spans="1:26" s="70" customFormat="1" ht="15" hidden="1" customHeight="1" outlineLevel="2" x14ac:dyDescent="0.3">
      <c r="A88" s="21"/>
      <c r="B88" s="9" t="str">
        <f>CONCATENATE("          ","6244"," - ","SAFETY SUPPLY EXPENSE")</f>
        <v xml:space="preserve">          6244 - SAFETY SUPPLY EXPENSE</v>
      </c>
      <c r="C88" s="9"/>
      <c r="D88" s="6"/>
      <c r="E88" s="3"/>
      <c r="F88" s="7">
        <f t="shared" si="12"/>
        <v>0</v>
      </c>
      <c r="G88" s="3"/>
      <c r="H88" s="6">
        <v>525</v>
      </c>
      <c r="I88" s="3"/>
      <c r="J88" s="7">
        <f t="shared" si="13"/>
        <v>0</v>
      </c>
      <c r="K88" s="3"/>
      <c r="L88" s="6">
        <f t="shared" si="14"/>
        <v>-525</v>
      </c>
      <c r="M88" s="3"/>
      <c r="N88" s="7">
        <f t="shared" si="15"/>
        <v>-1</v>
      </c>
      <c r="O88" s="9"/>
      <c r="P88" s="6"/>
      <c r="Q88" s="3"/>
      <c r="R88" s="7">
        <f t="shared" si="16"/>
        <v>0</v>
      </c>
      <c r="S88" s="3"/>
      <c r="T88" s="6">
        <v>6300</v>
      </c>
      <c r="U88" s="3"/>
      <c r="V88" s="7">
        <f t="shared" si="17"/>
        <v>7.1022727272727275E-4</v>
      </c>
      <c r="W88" s="3"/>
      <c r="X88" s="6">
        <f t="shared" si="18"/>
        <v>-6300</v>
      </c>
      <c r="Y88" s="3"/>
      <c r="Z88" s="7">
        <f t="shared" si="19"/>
        <v>-1</v>
      </c>
    </row>
    <row r="89" spans="1:26" s="70" customFormat="1" ht="15" hidden="1" customHeight="1" outlineLevel="2" x14ac:dyDescent="0.3">
      <c r="A89" s="21"/>
      <c r="B89" s="9" t="str">
        <f>CONCATENATE("          ","6247"," - ","STORE SUPPLIES")</f>
        <v xml:space="preserve">          6247 - STORE SUPPLIES</v>
      </c>
      <c r="C89" s="9"/>
      <c r="D89" s="6"/>
      <c r="E89" s="3"/>
      <c r="F89" s="7">
        <f t="shared" si="12"/>
        <v>0</v>
      </c>
      <c r="G89" s="3"/>
      <c r="H89" s="6"/>
      <c r="I89" s="3"/>
      <c r="J89" s="7">
        <f t="shared" si="13"/>
        <v>0</v>
      </c>
      <c r="K89" s="3"/>
      <c r="L89" s="6">
        <f t="shared" si="14"/>
        <v>0</v>
      </c>
      <c r="M89" s="3"/>
      <c r="N89" s="7">
        <f t="shared" si="15"/>
        <v>0</v>
      </c>
      <c r="O89" s="9"/>
      <c r="P89" s="6">
        <v>1693.55</v>
      </c>
      <c r="Q89" s="3"/>
      <c r="R89" s="7">
        <f t="shared" si="16"/>
        <v>1.4381836161203603E-4</v>
      </c>
      <c r="S89" s="3"/>
      <c r="T89" s="6"/>
      <c r="U89" s="3"/>
      <c r="V89" s="7">
        <f t="shared" si="17"/>
        <v>0</v>
      </c>
      <c r="W89" s="3"/>
      <c r="X89" s="6">
        <f t="shared" si="18"/>
        <v>1693.55</v>
      </c>
      <c r="Y89" s="3"/>
      <c r="Z89" s="7">
        <f t="shared" si="19"/>
        <v>0</v>
      </c>
    </row>
    <row r="90" spans="1:26" s="70" customFormat="1" ht="15" hidden="1" customHeight="1" outlineLevel="2" x14ac:dyDescent="0.3">
      <c r="A90" s="21"/>
      <c r="B90" s="9" t="str">
        <f>CONCATENATE("          ","6248"," - ","UNIFORMS")</f>
        <v xml:space="preserve">          6248 - UNIFORMS</v>
      </c>
      <c r="C90" s="9"/>
      <c r="D90" s="6"/>
      <c r="E90" s="3"/>
      <c r="F90" s="7">
        <f t="shared" si="12"/>
        <v>0</v>
      </c>
      <c r="G90" s="3"/>
      <c r="H90" s="6">
        <v>582</v>
      </c>
      <c r="I90" s="3"/>
      <c r="J90" s="7">
        <f t="shared" si="13"/>
        <v>0</v>
      </c>
      <c r="K90" s="3"/>
      <c r="L90" s="6">
        <f t="shared" si="14"/>
        <v>-582</v>
      </c>
      <c r="M90" s="3"/>
      <c r="N90" s="7">
        <f t="shared" si="15"/>
        <v>-1</v>
      </c>
      <c r="O90" s="9"/>
      <c r="P90" s="6">
        <v>6543.39</v>
      </c>
      <c r="Q90" s="3"/>
      <c r="R90" s="7">
        <f t="shared" si="16"/>
        <v>5.5567277564204213E-4</v>
      </c>
      <c r="S90" s="3"/>
      <c r="T90" s="6">
        <v>7050</v>
      </c>
      <c r="U90" s="3"/>
      <c r="V90" s="7">
        <f t="shared" si="17"/>
        <v>7.947781385281385E-4</v>
      </c>
      <c r="W90" s="3"/>
      <c r="X90" s="6">
        <f t="shared" si="18"/>
        <v>-506.60999999999967</v>
      </c>
      <c r="Y90" s="3"/>
      <c r="Z90" s="7">
        <f t="shared" si="19"/>
        <v>-7.1859574468085066E-2</v>
      </c>
    </row>
    <row r="91" spans="1:26" s="69" customFormat="1" ht="15" customHeight="1" outlineLevel="1" collapsed="1" x14ac:dyDescent="0.3">
      <c r="A91" s="20"/>
      <c r="B91" s="11" t="str">
        <f>CONCATENATE("     ","Telephone/Data Lines                              ")</f>
        <v xml:space="preserve">     Telephone/Data Lines                              </v>
      </c>
      <c r="C91" s="11"/>
      <c r="D91" s="2">
        <f>SUM(OSRRefD22_16x_0)</f>
        <v>288</v>
      </c>
      <c r="E91" s="2"/>
      <c r="F91" s="5">
        <f t="shared" ref="F91:F98" si="20">IF(D$12=0,0,D91/D$12)</f>
        <v>1.7991612535131279E-3</v>
      </c>
      <c r="G91" s="2"/>
      <c r="H91" s="2">
        <f>SUM(OSRRefH22_16x_0)</f>
        <v>605</v>
      </c>
      <c r="I91" s="2"/>
      <c r="J91" s="5">
        <f t="shared" ref="J91:J98" si="21">IF(H$12=0,0,H91/H$12)</f>
        <v>0</v>
      </c>
      <c r="K91" s="2"/>
      <c r="L91" s="2">
        <f t="shared" ref="L91:L98" si="22">+D91-H91</f>
        <v>-317</v>
      </c>
      <c r="M91" s="2"/>
      <c r="N91" s="5">
        <f t="shared" ref="N91:N98" si="23">IF(H91=0,0,L91/H91)</f>
        <v>-0.52396694214876038</v>
      </c>
      <c r="O91" s="11"/>
      <c r="P91" s="2">
        <f>SUM(OSRRefP22_16x_0)</f>
        <v>8693.85</v>
      </c>
      <c r="Q91" s="2"/>
      <c r="R91" s="5">
        <f t="shared" ref="R91:R98" si="24">IF(P$12=0,0,P91/P$12)</f>
        <v>7.3829249983809126E-4</v>
      </c>
      <c r="S91" s="2"/>
      <c r="T91" s="2">
        <f>SUM(OSRRefT22_16x_0)</f>
        <v>7216</v>
      </c>
      <c r="U91" s="2"/>
      <c r="V91" s="5">
        <f t="shared" ref="V91:V98" si="25">IF(T$12=0,0,T91/T$12)</f>
        <v>8.1349206349206346E-4</v>
      </c>
      <c r="W91" s="2"/>
      <c r="X91" s="2">
        <f t="shared" ref="X91:X98" si="26">+P91-T91</f>
        <v>1477.8500000000004</v>
      </c>
      <c r="Y91" s="2"/>
      <c r="Z91" s="5">
        <f t="shared" ref="Z91:Z98" si="27">IF(T91=0,0,X91/T91)</f>
        <v>0.20480182926829274</v>
      </c>
    </row>
    <row r="92" spans="1:26" s="70" customFormat="1" ht="15" hidden="1" customHeight="1" outlineLevel="2" x14ac:dyDescent="0.3">
      <c r="A92" s="21"/>
      <c r="B92" s="9" t="str">
        <f>CONCATENATE("          ","6303"," - ","DATA PHONE LINES")</f>
        <v xml:space="preserve">          6303 - DATA PHONE LINES</v>
      </c>
      <c r="C92" s="9"/>
      <c r="D92" s="6"/>
      <c r="E92" s="3"/>
      <c r="F92" s="7">
        <f t="shared" si="20"/>
        <v>0</v>
      </c>
      <c r="G92" s="3"/>
      <c r="H92" s="6">
        <v>62</v>
      </c>
      <c r="I92" s="3"/>
      <c r="J92" s="7">
        <f t="shared" si="21"/>
        <v>0</v>
      </c>
      <c r="K92" s="3"/>
      <c r="L92" s="6">
        <f t="shared" si="22"/>
        <v>-62</v>
      </c>
      <c r="M92" s="3"/>
      <c r="N92" s="7">
        <f t="shared" si="23"/>
        <v>-1</v>
      </c>
      <c r="O92" s="9"/>
      <c r="P92" s="6"/>
      <c r="Q92" s="3"/>
      <c r="R92" s="7">
        <f t="shared" si="24"/>
        <v>0</v>
      </c>
      <c r="S92" s="3"/>
      <c r="T92" s="6">
        <v>700</v>
      </c>
      <c r="U92" s="3"/>
      <c r="V92" s="7">
        <f t="shared" si="25"/>
        <v>7.8914141414141421E-5</v>
      </c>
      <c r="W92" s="3"/>
      <c r="X92" s="6">
        <f t="shared" si="26"/>
        <v>-700</v>
      </c>
      <c r="Y92" s="3"/>
      <c r="Z92" s="7">
        <f t="shared" si="27"/>
        <v>-1</v>
      </c>
    </row>
    <row r="93" spans="1:26" s="70" customFormat="1" ht="15" hidden="1" customHeight="1" outlineLevel="2" x14ac:dyDescent="0.3">
      <c r="A93" s="21"/>
      <c r="B93" s="9" t="str">
        <f>CONCATENATE("          ","6309"," - ","TELEPHONE")</f>
        <v xml:space="preserve">          6309 - TELEPHONE</v>
      </c>
      <c r="C93" s="9"/>
      <c r="D93" s="6">
        <v>288</v>
      </c>
      <c r="E93" s="3"/>
      <c r="F93" s="7">
        <f t="shared" si="20"/>
        <v>1.7991612535131279E-3</v>
      </c>
      <c r="G93" s="3"/>
      <c r="H93" s="6">
        <v>543</v>
      </c>
      <c r="I93" s="3"/>
      <c r="J93" s="7">
        <f t="shared" si="21"/>
        <v>0</v>
      </c>
      <c r="K93" s="3"/>
      <c r="L93" s="6">
        <f t="shared" si="22"/>
        <v>-255</v>
      </c>
      <c r="M93" s="3"/>
      <c r="N93" s="7">
        <f t="shared" si="23"/>
        <v>-0.46961325966850831</v>
      </c>
      <c r="O93" s="9"/>
      <c r="P93" s="6">
        <v>8693.85</v>
      </c>
      <c r="Q93" s="3"/>
      <c r="R93" s="7">
        <f t="shared" si="24"/>
        <v>7.3829249983809126E-4</v>
      </c>
      <c r="S93" s="3"/>
      <c r="T93" s="6">
        <v>6516</v>
      </c>
      <c r="U93" s="3"/>
      <c r="V93" s="7">
        <f t="shared" si="25"/>
        <v>7.3457792207792208E-4</v>
      </c>
      <c r="W93" s="3"/>
      <c r="X93" s="6">
        <f t="shared" si="26"/>
        <v>2177.8500000000004</v>
      </c>
      <c r="Y93" s="3"/>
      <c r="Z93" s="7">
        <f t="shared" si="27"/>
        <v>0.33423112338858202</v>
      </c>
    </row>
    <row r="94" spans="1:26" s="69" customFormat="1" ht="15" customHeight="1" outlineLevel="1" collapsed="1" x14ac:dyDescent="0.3">
      <c r="A94" s="20"/>
      <c r="B94" s="11" t="str">
        <f>CONCATENATE("     ","Training                                          ")</f>
        <v xml:space="preserve">     Training                                          </v>
      </c>
      <c r="C94" s="11"/>
      <c r="D94" s="2">
        <f>SUM(OSRRefD22_17x_0)</f>
        <v>901.61</v>
      </c>
      <c r="E94" s="2"/>
      <c r="F94" s="5">
        <f t="shared" si="20"/>
        <v>5.6324367284026778E-3</v>
      </c>
      <c r="G94" s="2"/>
      <c r="H94" s="2">
        <f>SUM(OSRRefH22_17x_0)</f>
        <v>1615</v>
      </c>
      <c r="I94" s="2"/>
      <c r="J94" s="5">
        <f t="shared" si="21"/>
        <v>0</v>
      </c>
      <c r="K94" s="2"/>
      <c r="L94" s="2">
        <f t="shared" si="22"/>
        <v>-713.39</v>
      </c>
      <c r="M94" s="2"/>
      <c r="N94" s="5">
        <f t="shared" si="23"/>
        <v>-0.44172755417956655</v>
      </c>
      <c r="O94" s="11"/>
      <c r="P94" s="2">
        <f>SUM(OSRRefP22_17x_0)</f>
        <v>17736.96</v>
      </c>
      <c r="Q94" s="2"/>
      <c r="R94" s="5">
        <f t="shared" si="24"/>
        <v>1.5062445910532423E-3</v>
      </c>
      <c r="S94" s="2"/>
      <c r="T94" s="2">
        <f>SUM(OSRRefT22_17x_0)</f>
        <v>9600</v>
      </c>
      <c r="U94" s="2"/>
      <c r="V94" s="5">
        <f t="shared" si="25"/>
        <v>1.0822510822510823E-3</v>
      </c>
      <c r="W94" s="2"/>
      <c r="X94" s="2">
        <f t="shared" si="26"/>
        <v>8136.9599999999991</v>
      </c>
      <c r="Y94" s="2"/>
      <c r="Z94" s="5">
        <f t="shared" si="27"/>
        <v>0.84759999999999991</v>
      </c>
    </row>
    <row r="95" spans="1:26" s="70" customFormat="1" ht="15" hidden="1" customHeight="1" outlineLevel="2" x14ac:dyDescent="0.3">
      <c r="A95" s="21"/>
      <c r="B95" s="9" t="str">
        <f>CONCATENATE("          ","6376"," - ","TRAINING")</f>
        <v xml:space="preserve">          6376 - TRAINING</v>
      </c>
      <c r="C95" s="9"/>
      <c r="D95" s="6">
        <v>901.61</v>
      </c>
      <c r="E95" s="3"/>
      <c r="F95" s="7">
        <f t="shared" si="20"/>
        <v>5.6324367284026778E-3</v>
      </c>
      <c r="G95" s="3"/>
      <c r="H95" s="6">
        <v>1615</v>
      </c>
      <c r="I95" s="3"/>
      <c r="J95" s="7">
        <f t="shared" si="21"/>
        <v>0</v>
      </c>
      <c r="K95" s="3"/>
      <c r="L95" s="6">
        <f t="shared" si="22"/>
        <v>-713.39</v>
      </c>
      <c r="M95" s="3"/>
      <c r="N95" s="7">
        <f t="shared" si="23"/>
        <v>-0.44172755417956655</v>
      </c>
      <c r="O95" s="9"/>
      <c r="P95" s="6">
        <v>17736.96</v>
      </c>
      <c r="Q95" s="3"/>
      <c r="R95" s="7">
        <f t="shared" si="24"/>
        <v>1.5062445910532423E-3</v>
      </c>
      <c r="S95" s="3"/>
      <c r="T95" s="6">
        <v>9600</v>
      </c>
      <c r="U95" s="3"/>
      <c r="V95" s="7">
        <f t="shared" si="25"/>
        <v>1.0822510822510823E-3</v>
      </c>
      <c r="W95" s="3"/>
      <c r="X95" s="6">
        <f t="shared" si="26"/>
        <v>8136.9599999999991</v>
      </c>
      <c r="Y95" s="3"/>
      <c r="Z95" s="7">
        <f t="shared" si="27"/>
        <v>0.84759999999999991</v>
      </c>
    </row>
    <row r="96" spans="1:26" s="69" customFormat="1" ht="15" customHeight="1" outlineLevel="1" collapsed="1" x14ac:dyDescent="0.3">
      <c r="A96" s="20"/>
      <c r="B96" s="11" t="str">
        <f>CONCATENATE("     ","Travel                                            ")</f>
        <v xml:space="preserve">     Travel                                            </v>
      </c>
      <c r="C96" s="11"/>
      <c r="D96" s="2">
        <f>SUM(OSRRefD22_18x_0)</f>
        <v>0</v>
      </c>
      <c r="E96" s="2"/>
      <c r="F96" s="5">
        <f t="shared" si="20"/>
        <v>0</v>
      </c>
      <c r="G96" s="2"/>
      <c r="H96" s="2">
        <f>SUM(OSRRefH22_18x_0)</f>
        <v>0</v>
      </c>
      <c r="I96" s="2"/>
      <c r="J96" s="5">
        <f t="shared" si="21"/>
        <v>0</v>
      </c>
      <c r="K96" s="2"/>
      <c r="L96" s="2">
        <f t="shared" si="22"/>
        <v>0</v>
      </c>
      <c r="M96" s="2"/>
      <c r="N96" s="5">
        <f t="shared" si="23"/>
        <v>0</v>
      </c>
      <c r="O96" s="11"/>
      <c r="P96" s="2">
        <f>SUM(OSRRefP22_18x_0)</f>
        <v>970.41000000000008</v>
      </c>
      <c r="Q96" s="2"/>
      <c r="R96" s="5">
        <f t="shared" si="24"/>
        <v>8.2408417992935486E-5</v>
      </c>
      <c r="S96" s="2"/>
      <c r="T96" s="2">
        <f>SUM(OSRRefT22_18x_0)</f>
        <v>0</v>
      </c>
      <c r="U96" s="2"/>
      <c r="V96" s="5">
        <f t="shared" si="25"/>
        <v>0</v>
      </c>
      <c r="W96" s="2"/>
      <c r="X96" s="2">
        <f t="shared" si="26"/>
        <v>970.41000000000008</v>
      </c>
      <c r="Y96" s="2"/>
      <c r="Z96" s="5">
        <f t="shared" si="27"/>
        <v>0</v>
      </c>
    </row>
    <row r="97" spans="1:26" s="70" customFormat="1" ht="15" hidden="1" customHeight="1" outlineLevel="2" x14ac:dyDescent="0.3">
      <c r="A97" s="21"/>
      <c r="B97" s="9" t="str">
        <f>CONCATENATE("          ","6292"," - ","TRAVEL/CONFERENCE")</f>
        <v xml:space="preserve">          6292 - TRAVEL/CONFERENCE</v>
      </c>
      <c r="C97" s="9"/>
      <c r="D97" s="6"/>
      <c r="E97" s="3"/>
      <c r="F97" s="7">
        <f t="shared" si="20"/>
        <v>0</v>
      </c>
      <c r="G97" s="3"/>
      <c r="H97" s="6"/>
      <c r="I97" s="3"/>
      <c r="J97" s="7">
        <f t="shared" si="21"/>
        <v>0</v>
      </c>
      <c r="K97" s="3"/>
      <c r="L97" s="6">
        <f t="shared" si="22"/>
        <v>0</v>
      </c>
      <c r="M97" s="3"/>
      <c r="N97" s="7">
        <f t="shared" si="23"/>
        <v>0</v>
      </c>
      <c r="O97" s="9"/>
      <c r="P97" s="6">
        <v>610</v>
      </c>
      <c r="Q97" s="3"/>
      <c r="R97" s="7">
        <f t="shared" si="24"/>
        <v>5.180195481877829E-5</v>
      </c>
      <c r="S97" s="3"/>
      <c r="T97" s="6"/>
      <c r="U97" s="3"/>
      <c r="V97" s="7">
        <f t="shared" si="25"/>
        <v>0</v>
      </c>
      <c r="W97" s="3"/>
      <c r="X97" s="6">
        <f t="shared" si="26"/>
        <v>610</v>
      </c>
      <c r="Y97" s="3"/>
      <c r="Z97" s="7">
        <f t="shared" si="27"/>
        <v>0</v>
      </c>
    </row>
    <row r="98" spans="1:26" s="70" customFormat="1" ht="15" hidden="1" customHeight="1" outlineLevel="2" x14ac:dyDescent="0.3">
      <c r="A98" s="21"/>
      <c r="B98" s="9" t="str">
        <f>CONCATENATE("          ","6298"," - ","VEHICLE MILEAGE")</f>
        <v xml:space="preserve">          6298 - VEHICLE MILEAGE</v>
      </c>
      <c r="C98" s="9"/>
      <c r="D98" s="6"/>
      <c r="E98" s="3"/>
      <c r="F98" s="7">
        <f t="shared" si="20"/>
        <v>0</v>
      </c>
      <c r="G98" s="3"/>
      <c r="H98" s="6"/>
      <c r="I98" s="3"/>
      <c r="J98" s="7">
        <f t="shared" si="21"/>
        <v>0</v>
      </c>
      <c r="K98" s="3"/>
      <c r="L98" s="6">
        <f t="shared" si="22"/>
        <v>0</v>
      </c>
      <c r="M98" s="3"/>
      <c r="N98" s="7">
        <f t="shared" si="23"/>
        <v>0</v>
      </c>
      <c r="O98" s="9"/>
      <c r="P98" s="6">
        <v>360.41</v>
      </c>
      <c r="Q98" s="3"/>
      <c r="R98" s="7">
        <f t="shared" si="24"/>
        <v>3.0606463174157189E-5</v>
      </c>
      <c r="S98" s="3"/>
      <c r="T98" s="6"/>
      <c r="U98" s="3"/>
      <c r="V98" s="7">
        <f t="shared" si="25"/>
        <v>0</v>
      </c>
      <c r="W98" s="3"/>
      <c r="X98" s="6">
        <f t="shared" si="26"/>
        <v>360.41</v>
      </c>
      <c r="Y98" s="3"/>
      <c r="Z98" s="7">
        <f t="shared" si="27"/>
        <v>0</v>
      </c>
    </row>
    <row r="99" spans="1:26" s="65" customFormat="1" ht="15" customHeight="1" x14ac:dyDescent="0.3">
      <c r="A99" s="36"/>
      <c r="B99" s="36"/>
      <c r="C99" s="36"/>
      <c r="D99" s="2"/>
      <c r="E99" s="2"/>
      <c r="F99" s="5"/>
      <c r="G99" s="2"/>
      <c r="H99" s="2"/>
      <c r="I99" s="2"/>
      <c r="J99" s="5"/>
      <c r="K99" s="2"/>
      <c r="L99" s="2"/>
      <c r="M99" s="2"/>
      <c r="N99" s="5"/>
      <c r="O99" s="36"/>
      <c r="P99" s="2"/>
      <c r="Q99" s="2"/>
      <c r="R99" s="5"/>
      <c r="S99" s="2"/>
      <c r="T99" s="2"/>
      <c r="U99" s="2"/>
      <c r="V99" s="5"/>
      <c r="W99" s="2"/>
      <c r="X99" s="2"/>
      <c r="Y99" s="2"/>
      <c r="Z99" s="5"/>
    </row>
    <row r="100" spans="1:26" s="63" customFormat="1" ht="15" customHeight="1" x14ac:dyDescent="0.3">
      <c r="A100" s="13"/>
      <c r="B100" s="28" t="s">
        <v>291</v>
      </c>
      <c r="C100" s="13"/>
      <c r="D100" s="8">
        <f>SUM(0)</f>
        <v>0</v>
      </c>
      <c r="E100" s="8"/>
      <c r="F100" s="14">
        <f>IF(D$12=0,0,D100/D$12)</f>
        <v>0</v>
      </c>
      <c r="G100" s="8"/>
      <c r="H100" s="8">
        <f>SUM(0)</f>
        <v>0</v>
      </c>
      <c r="I100" s="8"/>
      <c r="J100" s="14">
        <f>IF(H$12=0,0,H100/H$12)</f>
        <v>0</v>
      </c>
      <c r="K100" s="8"/>
      <c r="L100" s="8">
        <f>+D100-H100</f>
        <v>0</v>
      </c>
      <c r="M100" s="8"/>
      <c r="N100" s="14">
        <f>IF(H100=0,0,L100/H100)</f>
        <v>0</v>
      </c>
      <c r="O100" s="13"/>
      <c r="P100" s="8">
        <f>SUM(0)</f>
        <v>0</v>
      </c>
      <c r="Q100" s="8"/>
      <c r="R100" s="14">
        <f>IF(P$12=0,0,P100/P$12)</f>
        <v>0</v>
      </c>
      <c r="S100" s="8"/>
      <c r="T100" s="8">
        <f>SUM(0)</f>
        <v>0</v>
      </c>
      <c r="U100" s="8"/>
      <c r="V100" s="14">
        <f>IF(T$12=0,0,T100/T$12)</f>
        <v>0</v>
      </c>
      <c r="W100" s="8"/>
      <c r="X100" s="8">
        <f>+P100-T100</f>
        <v>0</v>
      </c>
      <c r="Y100" s="8"/>
      <c r="Z100" s="14">
        <f>IF(T100=0,0,X100/T100)</f>
        <v>0</v>
      </c>
    </row>
    <row r="101" spans="1:26" ht="15" customHeight="1" x14ac:dyDescent="0.3">
      <c r="A101" s="12"/>
      <c r="B101" s="13"/>
      <c r="C101" s="13"/>
      <c r="D101" s="4"/>
      <c r="E101" s="4"/>
      <c r="F101" s="10"/>
      <c r="G101" s="4"/>
      <c r="H101" s="4"/>
      <c r="I101" s="4"/>
      <c r="J101" s="10"/>
      <c r="K101" s="4"/>
      <c r="L101" s="4"/>
      <c r="M101" s="4"/>
      <c r="N101" s="10"/>
      <c r="O101" s="13"/>
      <c r="P101" s="4"/>
      <c r="Q101" s="4"/>
      <c r="R101" s="10"/>
      <c r="S101" s="4"/>
      <c r="T101" s="4"/>
      <c r="U101" s="4"/>
      <c r="V101" s="10"/>
      <c r="W101" s="4"/>
      <c r="X101" s="4"/>
      <c r="Y101" s="4"/>
      <c r="Z101" s="10"/>
    </row>
    <row r="102" spans="1:26" s="63" customFormat="1" ht="15" customHeight="1" x14ac:dyDescent="0.3">
      <c r="A102" s="13"/>
      <c r="B102" s="27" t="s">
        <v>292</v>
      </c>
      <c r="C102" s="27"/>
      <c r="D102" s="23">
        <f>+D25-D27+D100</f>
        <v>-78373.419999999984</v>
      </c>
      <c r="E102" s="15"/>
      <c r="F102" s="22">
        <f>IF(D$12=0,0,D102/D$12)</f>
        <v>-0.48960562697677368</v>
      </c>
      <c r="G102" s="15"/>
      <c r="H102" s="23">
        <f>+H25-H27+H100</f>
        <v>-278265.06823726604</v>
      </c>
      <c r="I102" s="15"/>
      <c r="J102" s="22">
        <f>IF(H$12=0,0,H102/H$12)</f>
        <v>0</v>
      </c>
      <c r="K102" s="17"/>
      <c r="L102" s="23">
        <f>+D102-H102</f>
        <v>199891.64823726605</v>
      </c>
      <c r="M102" s="17"/>
      <c r="N102" s="22">
        <f>IF(H102=0,0,L102/H102)</f>
        <v>-0.71834977168900715</v>
      </c>
      <c r="O102" s="28"/>
      <c r="P102" s="23">
        <f>+P25-P27+P100</f>
        <v>3637901.2900000019</v>
      </c>
      <c r="Q102" s="15"/>
      <c r="R102" s="22">
        <f>IF(P$12=0,0,P102/P$12)</f>
        <v>0.30893507911435308</v>
      </c>
      <c r="S102" s="15"/>
      <c r="T102" s="23">
        <f>+T25-T27+T100</f>
        <v>462029.52984484099</v>
      </c>
      <c r="U102" s="15"/>
      <c r="V102" s="22">
        <f>IF(T$12=0,0,T102/T$12)</f>
        <v>5.2086662365264359E-2</v>
      </c>
      <c r="W102" s="17"/>
      <c r="X102" s="23">
        <f>+P102-T102</f>
        <v>3175871.7601551609</v>
      </c>
      <c r="Y102" s="17"/>
      <c r="Z102" s="22">
        <f>IF(T102=0,0,X102/T102)</f>
        <v>6.8737419472337278</v>
      </c>
    </row>
    <row r="103" spans="1:26" ht="15" customHeight="1" x14ac:dyDescent="0.3">
      <c r="A103" s="12"/>
      <c r="B103" s="13"/>
      <c r="C103" s="12"/>
      <c r="D103" s="4"/>
      <c r="E103" s="4"/>
      <c r="F103" s="10"/>
      <c r="G103" s="4"/>
      <c r="H103" s="4"/>
      <c r="I103" s="4"/>
      <c r="J103" s="10"/>
      <c r="K103" s="4"/>
      <c r="L103" s="4"/>
      <c r="M103" s="4"/>
      <c r="N103" s="10"/>
      <c r="P103" s="4"/>
      <c r="Q103" s="4"/>
      <c r="R103" s="10"/>
      <c r="S103" s="4"/>
      <c r="T103" s="4"/>
      <c r="U103" s="4"/>
      <c r="V103" s="10"/>
      <c r="W103" s="4"/>
      <c r="X103" s="4"/>
      <c r="Y103" s="4"/>
      <c r="Z103" s="10"/>
    </row>
    <row r="104" spans="1:26" s="63" customFormat="1" ht="15" customHeight="1" x14ac:dyDescent="0.3">
      <c r="A104" s="49"/>
      <c r="B104" s="13" t="s">
        <v>293</v>
      </c>
      <c r="C104" s="13"/>
      <c r="D104" s="8">
        <v>-2663477.4500000002</v>
      </c>
      <c r="E104" s="8"/>
      <c r="F104" s="14">
        <f>IF(D$12=0,0,D104/D$12)</f>
        <v>-16.638977179326215</v>
      </c>
      <c r="G104" s="8"/>
      <c r="H104" s="8">
        <v>-93744</v>
      </c>
      <c r="I104" s="8"/>
      <c r="J104" s="14">
        <f>IF(H$12=0,0,H104/H$12)</f>
        <v>0</v>
      </c>
      <c r="K104" s="8"/>
      <c r="L104" s="8">
        <f>+D104-H104</f>
        <v>-2569733.4500000002</v>
      </c>
      <c r="M104" s="8"/>
      <c r="N104" s="14">
        <f>IF(H104=0,0,L104/H104)</f>
        <v>27.412244516982422</v>
      </c>
      <c r="O104" s="13"/>
      <c r="P104" s="8">
        <v>-1357595.93</v>
      </c>
      <c r="Q104" s="8"/>
      <c r="R104" s="14">
        <f>IF(P$12=0,0,P104/P$12)</f>
        <v>-0.11528872627543819</v>
      </c>
      <c r="S104" s="8"/>
      <c r="T104" s="8">
        <v>1005850</v>
      </c>
      <c r="U104" s="8"/>
      <c r="V104" s="14">
        <f>IF(T$12=0,0,T104/T$12)</f>
        <v>0.11339398448773448</v>
      </c>
      <c r="W104" s="8"/>
      <c r="X104" s="8">
        <f>+P104-T104</f>
        <v>-2363445.9299999997</v>
      </c>
      <c r="Y104" s="8"/>
      <c r="Z104" s="14">
        <f>IF(T104=0,0,X104/T104)</f>
        <v>-2.3497001839240439</v>
      </c>
    </row>
    <row r="105" spans="1:26" ht="15" customHeight="1" x14ac:dyDescent="0.3">
      <c r="A105" s="12"/>
      <c r="B105" s="13"/>
      <c r="C105" s="13"/>
      <c r="D105" s="4"/>
      <c r="E105" s="4"/>
      <c r="F105" s="10"/>
      <c r="G105" s="4"/>
      <c r="H105" s="4"/>
      <c r="I105" s="4"/>
      <c r="J105" s="10"/>
      <c r="K105" s="4"/>
      <c r="L105" s="4"/>
      <c r="M105" s="4"/>
      <c r="N105" s="10"/>
      <c r="O105" s="13"/>
      <c r="P105" s="4"/>
      <c r="Q105" s="4"/>
      <c r="R105" s="10"/>
      <c r="S105" s="4"/>
      <c r="T105" s="4"/>
      <c r="U105" s="4"/>
      <c r="V105" s="10"/>
      <c r="W105" s="4"/>
      <c r="X105" s="4"/>
      <c r="Y105" s="4"/>
      <c r="Z105" s="10"/>
    </row>
    <row r="106" spans="1:26" s="63" customFormat="1" ht="15" customHeight="1" x14ac:dyDescent="0.3">
      <c r="A106" s="13"/>
      <c r="B106" s="27" t="s">
        <v>294</v>
      </c>
      <c r="C106" s="27"/>
      <c r="D106" s="30">
        <f>+D102-D104</f>
        <v>2585104.0300000003</v>
      </c>
      <c r="E106" s="15"/>
      <c r="F106" s="35">
        <f>IF(D$12=0,0,D106/D$12)</f>
        <v>16.149371552349439</v>
      </c>
      <c r="G106" s="15"/>
      <c r="H106" s="30">
        <f>+H102-H104</f>
        <v>-184521.06823726604</v>
      </c>
      <c r="I106" s="15"/>
      <c r="J106" s="35">
        <f>IF(H$12=0,0,H106/H$12)</f>
        <v>0</v>
      </c>
      <c r="K106" s="17"/>
      <c r="L106" s="30">
        <f>D106-H106</f>
        <v>2769625.0982372663</v>
      </c>
      <c r="M106" s="17"/>
      <c r="N106" s="35">
        <f>IF(H106=0,0,L106/H106)</f>
        <v>-15.009804163261995</v>
      </c>
      <c r="O106" s="28"/>
      <c r="P106" s="30">
        <f>+P102-P104</f>
        <v>4995497.2200000016</v>
      </c>
      <c r="Q106" s="15"/>
      <c r="R106" s="35">
        <f>IF(P$12=0,0,P106/P$12)</f>
        <v>0.42422380538979121</v>
      </c>
      <c r="S106" s="15"/>
      <c r="T106" s="30">
        <f>+T102-T104</f>
        <v>-543820.47015515901</v>
      </c>
      <c r="U106" s="15"/>
      <c r="V106" s="35">
        <f>IF(T$12=0,0,T106/T$12)</f>
        <v>-6.1307322122470129E-2</v>
      </c>
      <c r="W106" s="17"/>
      <c r="X106" s="30">
        <f>P106-T106</f>
        <v>5539317.6901551606</v>
      </c>
      <c r="Y106" s="17"/>
      <c r="Z106" s="35">
        <f>IF(T106=0,0,X106/T106)</f>
        <v>-10.185930824881824</v>
      </c>
    </row>
    <row r="107" spans="1:26" ht="15" customHeight="1" x14ac:dyDescent="0.3">
      <c r="A107" s="12"/>
      <c r="B107" s="12"/>
      <c r="C107" s="12"/>
      <c r="D107" s="4"/>
      <c r="E107" s="4"/>
      <c r="F107" s="10"/>
      <c r="G107" s="4"/>
      <c r="H107" s="4"/>
      <c r="I107" s="4"/>
      <c r="J107" s="10"/>
      <c r="K107" s="4"/>
      <c r="L107" s="4"/>
      <c r="M107" s="4"/>
      <c r="N107" s="10"/>
      <c r="P107" s="4"/>
      <c r="Q107" s="4"/>
      <c r="R107" s="10"/>
      <c r="S107" s="4"/>
      <c r="T107" s="4"/>
      <c r="U107" s="4"/>
      <c r="V107" s="10"/>
      <c r="W107" s="4"/>
      <c r="X107" s="4"/>
      <c r="Y107" s="4"/>
      <c r="Z107" s="10"/>
    </row>
    <row r="108" spans="1:26" ht="15" customHeight="1" x14ac:dyDescent="0.3">
      <c r="A108" s="12"/>
      <c r="B108" s="12"/>
      <c r="C108" s="12"/>
      <c r="D108" s="4"/>
      <c r="E108" s="4"/>
      <c r="F108" s="10"/>
      <c r="G108" s="4"/>
      <c r="H108" s="4"/>
      <c r="I108" s="4"/>
      <c r="J108" s="10"/>
      <c r="K108" s="4"/>
      <c r="L108" s="4"/>
      <c r="M108" s="4"/>
      <c r="N108" s="10"/>
      <c r="P108" s="4"/>
      <c r="Q108" s="4"/>
      <c r="R108" s="10"/>
      <c r="S108" s="4"/>
      <c r="T108" s="4"/>
      <c r="U108" s="4"/>
      <c r="V108" s="10"/>
      <c r="W108" s="4"/>
      <c r="X108" s="4"/>
      <c r="Y108" s="4"/>
      <c r="Z108" s="10"/>
    </row>
    <row r="109" spans="1:26" s="63" customFormat="1" ht="15" customHeight="1" x14ac:dyDescent="0.3">
      <c r="A109" s="13"/>
      <c r="B109" s="27" t="s">
        <v>297</v>
      </c>
      <c r="C109" s="27"/>
      <c r="D109" s="33">
        <f>SUM(D106:D108)</f>
        <v>2585104.0300000003</v>
      </c>
      <c r="E109" s="15"/>
      <c r="F109" s="31">
        <f>IF(D$12=0,0,D109/D$12)</f>
        <v>16.149371552349439</v>
      </c>
      <c r="G109" s="15"/>
      <c r="H109" s="33">
        <f>SUM(H106:H108)</f>
        <v>-184521.06823726604</v>
      </c>
      <c r="I109" s="15"/>
      <c r="J109" s="31">
        <f>IF(H$12=0,0,H109/H$12)</f>
        <v>0</v>
      </c>
      <c r="K109" s="17"/>
      <c r="L109" s="33">
        <f>+D109-H109</f>
        <v>2769625.0982372663</v>
      </c>
      <c r="M109" s="17"/>
      <c r="N109" s="31">
        <f>IF(H109=0,0,L109/H109)</f>
        <v>-15.009804163261995</v>
      </c>
      <c r="O109" s="28"/>
      <c r="P109" s="33">
        <f>SUM(P106:P108)</f>
        <v>4995497.2200000016</v>
      </c>
      <c r="Q109" s="15"/>
      <c r="R109" s="31">
        <f>IF(P$12=0,0,P109/P$12)</f>
        <v>0.42422380538979121</v>
      </c>
      <c r="S109" s="15"/>
      <c r="T109" s="33">
        <f>SUM(T106:T108)</f>
        <v>-543820.47015515901</v>
      </c>
      <c r="U109" s="15"/>
      <c r="V109" s="31">
        <f>IF(T$12=0,0,T109/T$12)</f>
        <v>-6.1307322122470129E-2</v>
      </c>
      <c r="W109" s="17"/>
      <c r="X109" s="33">
        <f>+P109-T109</f>
        <v>5539317.6901551606</v>
      </c>
      <c r="Y109" s="17"/>
      <c r="Z109" s="31">
        <f>IF(T109=0,0,X109/T109)</f>
        <v>-10.185930824881824</v>
      </c>
    </row>
    <row r="110" spans="1:26" ht="15" customHeight="1" x14ac:dyDescent="0.3">
      <c r="A110" s="12"/>
      <c r="C110" s="12"/>
      <c r="D110" s="19"/>
      <c r="E110" s="19"/>
      <c r="G110" s="19"/>
      <c r="H110" s="19"/>
      <c r="I110" s="19"/>
      <c r="J110" s="41"/>
      <c r="K110" s="19"/>
      <c r="L110" s="19"/>
      <c r="M110" s="19"/>
      <c r="P110" s="19"/>
      <c r="Q110" s="19"/>
      <c r="R110" s="41"/>
      <c r="S110" s="19"/>
      <c r="T110" s="19"/>
      <c r="U110" s="19"/>
      <c r="V110" s="41"/>
      <c r="W110" s="19"/>
      <c r="X110" s="19"/>
    </row>
    <row r="111" spans="1:26" ht="15" customHeight="1" x14ac:dyDescent="0.3">
      <c r="A111" s="12"/>
      <c r="B111" s="50">
        <v>44767.799509687502</v>
      </c>
      <c r="D111" s="19"/>
      <c r="E111" s="19"/>
      <c r="G111" s="19"/>
      <c r="H111" s="19"/>
      <c r="I111" s="19"/>
      <c r="J111" s="41"/>
      <c r="K111" s="19"/>
      <c r="L111" s="19"/>
      <c r="M111" s="19"/>
      <c r="P111" s="19"/>
      <c r="Q111" s="19"/>
      <c r="R111" s="41"/>
      <c r="S111" s="19"/>
      <c r="T111" s="19"/>
      <c r="U111" s="19"/>
      <c r="V111" s="41"/>
      <c r="W111" s="19"/>
      <c r="X111" s="19"/>
    </row>
    <row r="112" spans="1:26" ht="15" customHeight="1" x14ac:dyDescent="0.3">
      <c r="A112" s="12"/>
      <c r="B112" s="57" t="s">
        <v>298</v>
      </c>
      <c r="D112" s="19"/>
      <c r="E112" s="19"/>
      <c r="G112" s="19"/>
      <c r="H112" s="19"/>
      <c r="I112" s="19"/>
      <c r="J112" s="41"/>
      <c r="K112" s="19"/>
      <c r="L112" s="19"/>
      <c r="M112" s="19"/>
      <c r="P112" s="19"/>
      <c r="Q112" s="19"/>
      <c r="R112" s="41"/>
      <c r="S112" s="19"/>
      <c r="T112" s="19"/>
      <c r="U112" s="19"/>
      <c r="V112" s="41"/>
      <c r="W112" s="19"/>
      <c r="X112" s="19"/>
    </row>
    <row r="113" spans="1:24" ht="15" customHeight="1" x14ac:dyDescent="0.3">
      <c r="A113" s="12"/>
      <c r="B113" s="51"/>
      <c r="D113" s="19"/>
      <c r="E113" s="19"/>
      <c r="G113" s="19"/>
      <c r="H113" s="19"/>
      <c r="I113" s="19"/>
      <c r="J113" s="41"/>
      <c r="K113" s="19"/>
      <c r="L113" s="19"/>
      <c r="M113" s="19"/>
      <c r="P113" s="19"/>
      <c r="Q113" s="19"/>
      <c r="R113" s="41"/>
      <c r="S113" s="19"/>
      <c r="T113" s="19"/>
      <c r="U113" s="19"/>
      <c r="V113" s="41"/>
      <c r="W113" s="19"/>
      <c r="X113" s="19"/>
    </row>
    <row r="114" spans="1:24" ht="15" customHeight="1" x14ac:dyDescent="0.3">
      <c r="D114" s="19"/>
      <c r="E114" s="19"/>
      <c r="G114" s="19"/>
      <c r="H114" s="19"/>
      <c r="I114" s="19"/>
      <c r="J114" s="41"/>
      <c r="K114" s="19"/>
      <c r="L114" s="19"/>
      <c r="M114" s="19"/>
      <c r="P114" s="19"/>
      <c r="Q114" s="19"/>
      <c r="R114" s="41"/>
      <c r="S114" s="19"/>
      <c r="T114" s="19"/>
      <c r="U114" s="19"/>
      <c r="V114" s="41"/>
      <c r="W114" s="19"/>
      <c r="X114" s="19"/>
    </row>
  </sheetData>
  <pageMargins left="0.25" right="0.25" top="0.75" bottom="0.75" header="0.3" footer="0.3"/>
  <pageSetup scale="55" orientation="landscape" r:id="rId1"/>
  <headerFooter>
    <oddHeader>&amp;RPre-Audit</oddHeader>
    <oddFooter>&amp;L&amp;C&amp;R</oddFooter>
    <evenHeader>&amp;L&amp;C&amp;R</evenHeader>
    <evenFooter>&amp;L&amp;C&amp;R</evenFooter>
  </headerFooter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7A9251-58ED-EB3C-895E-C1C030211BF9}">
  <sheetPr>
    <tabColor rgb="FF92D050"/>
    <outlinePr summaryBelow="0" summaryRight="0"/>
  </sheetPr>
  <dimension ref="A2:Z72"/>
  <sheetViews>
    <sheetView showGridLines="0" defaultGridColor="0" colorId="8" zoomScale="80" workbookViewId="0">
      <pane xSplit="3" ySplit="10" topLeftCell="D11" activePane="bottomRight" state="frozen"/>
      <selection activeCell="D78" sqref="D78"/>
      <selection pane="topRight" activeCell="D78" sqref="D78"/>
      <selection pane="bottomLeft" activeCell="D78" sqref="D78"/>
      <selection pane="bottomRight" activeCell="D78" sqref="D78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3" t="s">
        <v>276</v>
      </c>
    </row>
    <row r="3" spans="1:26" ht="15" customHeight="1" x14ac:dyDescent="0.3">
      <c r="D3" s="53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3" t="str">
        <f>CONCATENATE("Period ",RIGHT(202212,2),", ",2022)</f>
        <v>Period 12,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5"/>
      <c r="D5" s="60">
        <v>44742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5"/>
      <c r="B6" s="47"/>
      <c r="C6" s="47"/>
      <c r="D6" s="25" t="str">
        <f>CONCATENATE("Department ","430"," - ","Res Hall Management")</f>
        <v>Department 430 - Res Hall Management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4"/>
    </row>
    <row r="8" spans="1:26" ht="15" customHeight="1" x14ac:dyDescent="0.3">
      <c r="B8" s="54"/>
    </row>
    <row r="9" spans="1:26" ht="15" customHeight="1" x14ac:dyDescent="0.3">
      <c r="B9" s="12"/>
      <c r="C9" s="12"/>
      <c r="D9" s="16" t="s">
        <v>279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280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ht="15" customHeight="1" x14ac:dyDescent="0.3">
      <c r="A10" s="13"/>
      <c r="B10" s="52"/>
      <c r="C10" s="13"/>
      <c r="D10" s="40" t="s">
        <v>281</v>
      </c>
      <c r="E10" s="32"/>
      <c r="F10" s="39" t="s">
        <v>282</v>
      </c>
      <c r="G10" s="32"/>
      <c r="H10" s="45" t="s">
        <v>283</v>
      </c>
      <c r="I10" s="32"/>
      <c r="J10" s="42" t="s">
        <v>284</v>
      </c>
      <c r="K10" s="13"/>
      <c r="L10" s="40" t="s">
        <v>285</v>
      </c>
      <c r="M10" s="13"/>
      <c r="N10" s="39" t="s">
        <v>286</v>
      </c>
      <c r="O10" s="13"/>
      <c r="P10" s="55" t="s">
        <v>281</v>
      </c>
      <c r="Q10" s="32"/>
      <c r="R10" s="39" t="s">
        <v>282</v>
      </c>
      <c r="S10" s="32"/>
      <c r="T10" s="45" t="s">
        <v>283</v>
      </c>
      <c r="U10" s="32"/>
      <c r="V10" s="42" t="s">
        <v>284</v>
      </c>
      <c r="W10" s="13"/>
      <c r="X10" s="40" t="s">
        <v>285</v>
      </c>
      <c r="Y10" s="13"/>
      <c r="Z10" s="39" t="s">
        <v>286</v>
      </c>
    </row>
    <row r="11" spans="1:26" ht="16.5" customHeight="1" x14ac:dyDescent="0.3">
      <c r="A11" s="12"/>
      <c r="B11" s="58"/>
      <c r="C11" s="12"/>
      <c r="D11" s="12"/>
      <c r="E11" s="12"/>
      <c r="F11" s="10"/>
      <c r="G11" s="12"/>
      <c r="H11" s="12"/>
      <c r="I11" s="12"/>
      <c r="J11" s="43"/>
      <c r="K11" s="12"/>
      <c r="L11" s="12"/>
      <c r="M11" s="12"/>
      <c r="N11" s="10"/>
      <c r="P11" s="12"/>
      <c r="Q11" s="12"/>
      <c r="R11" s="10"/>
      <c r="S11" s="12"/>
      <c r="T11" s="12"/>
      <c r="U11" s="12"/>
      <c r="V11" s="43"/>
      <c r="W11" s="12"/>
      <c r="X11" s="12"/>
      <c r="Y11" s="12"/>
      <c r="Z11" s="10"/>
    </row>
    <row r="12" spans="1:26" s="63" customFormat="1" ht="15" customHeight="1" x14ac:dyDescent="0.3">
      <c r="A12" s="13"/>
      <c r="B12" s="28" t="s">
        <v>287</v>
      </c>
      <c r="C12" s="13"/>
      <c r="D12" s="8">
        <f>SUM(0)</f>
        <v>0</v>
      </c>
      <c r="E12" s="8"/>
      <c r="F12" s="14"/>
      <c r="G12" s="8"/>
      <c r="H12" s="8">
        <f>SUM(0)</f>
        <v>0</v>
      </c>
      <c r="I12" s="8"/>
      <c r="J12" s="14"/>
      <c r="K12" s="8"/>
      <c r="L12" s="8">
        <f>+D12-H12</f>
        <v>0</v>
      </c>
      <c r="M12" s="8"/>
      <c r="N12" s="14">
        <f>IF(H12=0,0,L12/H12)</f>
        <v>0</v>
      </c>
      <c r="O12" s="13"/>
      <c r="P12" s="8">
        <f>SUM(0)</f>
        <v>0</v>
      </c>
      <c r="Q12" s="8"/>
      <c r="R12" s="14"/>
      <c r="S12" s="8"/>
      <c r="T12" s="8">
        <f>SUM(0)</f>
        <v>0</v>
      </c>
      <c r="U12" s="8"/>
      <c r="V12" s="14"/>
      <c r="W12" s="8"/>
      <c r="X12" s="8">
        <f>+P12-T12</f>
        <v>0</v>
      </c>
      <c r="Y12" s="8"/>
      <c r="Z12" s="14">
        <f>IF(T12=0,0,X12/T12)</f>
        <v>0</v>
      </c>
    </row>
    <row r="13" spans="1:26" ht="15" customHeight="1" x14ac:dyDescent="0.3">
      <c r="A13" s="12"/>
      <c r="B13" s="13"/>
      <c r="C13" s="12"/>
      <c r="D13" s="4"/>
      <c r="E13" s="4"/>
      <c r="F13" s="10"/>
      <c r="G13" s="4"/>
      <c r="H13" s="4"/>
      <c r="I13" s="4"/>
      <c r="J13" s="10"/>
      <c r="K13" s="4"/>
      <c r="L13" s="4"/>
      <c r="M13" s="4"/>
      <c r="N13" s="10"/>
      <c r="P13" s="4"/>
      <c r="Q13" s="4"/>
      <c r="R13" s="10"/>
      <c r="S13" s="4"/>
      <c r="T13" s="4"/>
      <c r="U13" s="4"/>
      <c r="V13" s="10"/>
      <c r="W13" s="4"/>
      <c r="X13" s="4"/>
      <c r="Y13" s="4"/>
      <c r="Z13" s="10"/>
    </row>
    <row r="14" spans="1:26" s="63" customFormat="1" ht="15" customHeight="1" x14ac:dyDescent="0.3">
      <c r="A14" s="13"/>
      <c r="B14" s="28" t="s">
        <v>288</v>
      </c>
      <c r="C14" s="13"/>
      <c r="D14" s="8">
        <f>SUM(0)</f>
        <v>0</v>
      </c>
      <c r="E14" s="8"/>
      <c r="F14" s="14">
        <f>IF(D$12=0,0,D14/D$12)</f>
        <v>0</v>
      </c>
      <c r="G14" s="8"/>
      <c r="H14" s="8">
        <f>SUM(0)</f>
        <v>0</v>
      </c>
      <c r="I14" s="8"/>
      <c r="J14" s="14">
        <f>IF(H$12=0,0,H14/H$12)</f>
        <v>0</v>
      </c>
      <c r="K14" s="8"/>
      <c r="L14" s="8">
        <f>+D14-H14</f>
        <v>0</v>
      </c>
      <c r="M14" s="8"/>
      <c r="N14" s="14">
        <f>IF(H14=0,0,L14/H14)</f>
        <v>0</v>
      </c>
      <c r="O14" s="13"/>
      <c r="P14" s="8">
        <f>SUM(0)</f>
        <v>0</v>
      </c>
      <c r="Q14" s="8"/>
      <c r="R14" s="14">
        <f>IF(P$12=0,0,P14/P$12)</f>
        <v>0</v>
      </c>
      <c r="S14" s="8"/>
      <c r="T14" s="8">
        <f>SUM(0)</f>
        <v>0</v>
      </c>
      <c r="U14" s="8"/>
      <c r="V14" s="14">
        <f>IF(T$12=0,0,T14/T$12)</f>
        <v>0</v>
      </c>
      <c r="W14" s="8"/>
      <c r="X14" s="8">
        <f>+P14-T14</f>
        <v>0</v>
      </c>
      <c r="Y14" s="8"/>
      <c r="Z14" s="14">
        <f>IF(T14=0,0,X14/T14)</f>
        <v>0</v>
      </c>
    </row>
    <row r="15" spans="1:26" ht="15" customHeight="1" x14ac:dyDescent="0.3">
      <c r="A15" s="12"/>
      <c r="B15" s="13"/>
      <c r="C15" s="13"/>
      <c r="D15" s="4"/>
      <c r="E15" s="4"/>
      <c r="F15" s="10"/>
      <c r="G15" s="4"/>
      <c r="H15" s="4"/>
      <c r="I15" s="4"/>
      <c r="J15" s="10"/>
      <c r="K15" s="4"/>
      <c r="L15" s="4"/>
      <c r="M15" s="4"/>
      <c r="N15" s="10"/>
      <c r="O15" s="13"/>
      <c r="P15" s="4"/>
      <c r="Q15" s="4"/>
      <c r="R15" s="10"/>
      <c r="S15" s="4"/>
      <c r="T15" s="4"/>
      <c r="U15" s="4"/>
      <c r="V15" s="10"/>
      <c r="W15" s="4"/>
      <c r="X15" s="4"/>
      <c r="Y15" s="4"/>
      <c r="Z15" s="10"/>
    </row>
    <row r="16" spans="1:26" s="63" customFormat="1" ht="15" customHeight="1" x14ac:dyDescent="0.3">
      <c r="A16" s="13"/>
      <c r="B16" s="27" t="s">
        <v>289</v>
      </c>
      <c r="C16" s="27"/>
      <c r="D16" s="23">
        <f>D12-D14</f>
        <v>0</v>
      </c>
      <c r="E16" s="15"/>
      <c r="F16" s="22">
        <f>IF(D$12=0,0,D16/D$12)</f>
        <v>0</v>
      </c>
      <c r="G16" s="15"/>
      <c r="H16" s="23">
        <f>H12-H14</f>
        <v>0</v>
      </c>
      <c r="I16" s="15"/>
      <c r="J16" s="22">
        <f>IF(H$12=0,0,H16/H$12)</f>
        <v>0</v>
      </c>
      <c r="K16" s="17"/>
      <c r="L16" s="23">
        <f>+D16-H16</f>
        <v>0</v>
      </c>
      <c r="M16" s="17"/>
      <c r="N16" s="22">
        <f>IF(H16=0,0,L16/H16)</f>
        <v>0</v>
      </c>
      <c r="O16" s="28"/>
      <c r="P16" s="23">
        <f>P12-P14</f>
        <v>0</v>
      </c>
      <c r="Q16" s="15"/>
      <c r="R16" s="22">
        <f>IF(P$12=0,0,P16/P$12)</f>
        <v>0</v>
      </c>
      <c r="S16" s="15"/>
      <c r="T16" s="23">
        <f>T12-T14</f>
        <v>0</v>
      </c>
      <c r="U16" s="15"/>
      <c r="V16" s="22">
        <f>IF(T$12=0,0,T16/T$12)</f>
        <v>0</v>
      </c>
      <c r="W16" s="17"/>
      <c r="X16" s="23">
        <f>+P16-T16</f>
        <v>0</v>
      </c>
      <c r="Y16" s="17"/>
      <c r="Z16" s="22">
        <f>IF(T16=0,0,X16/T16)</f>
        <v>0</v>
      </c>
    </row>
    <row r="17" spans="1:26" ht="15" customHeight="1" x14ac:dyDescent="0.3">
      <c r="A17" s="12"/>
      <c r="B17" s="13"/>
      <c r="C17" s="12"/>
      <c r="D17" s="2"/>
      <c r="E17" s="2"/>
      <c r="F17" s="5"/>
      <c r="G17" s="2"/>
      <c r="H17" s="2"/>
      <c r="I17" s="2"/>
      <c r="J17" s="5"/>
      <c r="K17" s="2"/>
      <c r="L17" s="2"/>
      <c r="M17" s="2"/>
      <c r="N17" s="5"/>
      <c r="O17" s="36"/>
      <c r="P17" s="2"/>
      <c r="Q17" s="2"/>
      <c r="R17" s="5"/>
      <c r="S17" s="2"/>
      <c r="T17" s="2"/>
      <c r="U17" s="2"/>
      <c r="V17" s="5"/>
      <c r="W17" s="2"/>
      <c r="X17" s="2"/>
      <c r="Y17" s="2"/>
      <c r="Z17" s="5"/>
    </row>
    <row r="18" spans="1:26" s="63" customFormat="1" ht="15" customHeight="1" x14ac:dyDescent="0.3">
      <c r="A18" s="13"/>
      <c r="B18" s="28" t="s">
        <v>290</v>
      </c>
      <c r="C18" s="13"/>
      <c r="D18" s="24" cm="1">
        <f t="array" ref="D18">SUM(OSRRefD22x_0)</f>
        <v>15087.93</v>
      </c>
      <c r="E18" s="24"/>
      <c r="F18" s="34">
        <f t="shared" ref="F18:F56" si="0">IF(D$12=0,0,D18/D$12)</f>
        <v>0</v>
      </c>
      <c r="G18" s="24"/>
      <c r="H18" s="24" cm="1">
        <f t="array" ref="H18">SUM(OSRRefH22x_0)</f>
        <v>17497.431652200001</v>
      </c>
      <c r="I18" s="24"/>
      <c r="J18" s="34">
        <f t="shared" ref="J18:J56" si="1">IF(H$12=0,0,H18/H$12)</f>
        <v>0</v>
      </c>
      <c r="K18" s="8"/>
      <c r="L18" s="24">
        <f t="shared" ref="L18:L56" si="2">+D18-H18</f>
        <v>-2409.5016522000005</v>
      </c>
      <c r="M18" s="8"/>
      <c r="N18" s="34">
        <f t="shared" ref="N18:N56" si="3">IF(H18=0,0,L18/H18)</f>
        <v>-0.1377060188085974</v>
      </c>
      <c r="O18" s="13"/>
      <c r="P18" s="24" cm="1">
        <f t="array" ref="P18">SUM(OSRRefP22x_0)</f>
        <v>245668.56000000003</v>
      </c>
      <c r="Q18" s="24"/>
      <c r="R18" s="34">
        <f t="shared" ref="R18:R56" si="4">IF(P$12=0,0,P18/P$12)</f>
        <v>0</v>
      </c>
      <c r="S18" s="24"/>
      <c r="T18" s="24" cm="1">
        <f t="array" ref="T18">SUM(OSRRefT22x_0)</f>
        <v>218964.02004929999</v>
      </c>
      <c r="U18" s="24"/>
      <c r="V18" s="34">
        <f t="shared" ref="V18:V56" si="5">IF(T$12=0,0,T18/T$12)</f>
        <v>0</v>
      </c>
      <c r="W18" s="8"/>
      <c r="X18" s="24">
        <f t="shared" ref="X18:X56" si="6">+P18-T18</f>
        <v>26704.53995070004</v>
      </c>
      <c r="Y18" s="8"/>
      <c r="Z18" s="34">
        <f t="shared" ref="Z18:Z56" si="7">IF(T18=0,0,X18/T18)</f>
        <v>0.12195857540744587</v>
      </c>
    </row>
    <row r="19" spans="1:26" s="69" customFormat="1" ht="15" customHeight="1" outlineLevel="1" collapsed="1" x14ac:dyDescent="0.3">
      <c r="A19" s="20"/>
      <c r="B19" s="11" t="str">
        <f>CONCATENATE("     ","*Benefits                                         ")</f>
        <v xml:space="preserve">     *Benefits                                         </v>
      </c>
      <c r="C19" s="11"/>
      <c r="D19" s="2">
        <f>SUM(OSRRefD22_0x_0)</f>
        <v>2021.7800000000002</v>
      </c>
      <c r="E19" s="2"/>
      <c r="F19" s="5">
        <f t="shared" si="0"/>
        <v>0</v>
      </c>
      <c r="G19" s="2"/>
      <c r="H19" s="2">
        <f>SUM(OSRRefH22_0x_0)</f>
        <v>4307.0286522000006</v>
      </c>
      <c r="I19" s="2"/>
      <c r="J19" s="5">
        <f t="shared" si="1"/>
        <v>0</v>
      </c>
      <c r="K19" s="2"/>
      <c r="L19" s="2">
        <f t="shared" si="2"/>
        <v>-2285.2486522000004</v>
      </c>
      <c r="M19" s="2"/>
      <c r="N19" s="5">
        <f t="shared" si="3"/>
        <v>-0.5305858949957788</v>
      </c>
      <c r="O19" s="11"/>
      <c r="P19" s="2">
        <f>SUM(OSRRefP22_0x_0)</f>
        <v>68562.850000000006</v>
      </c>
      <c r="Q19" s="2"/>
      <c r="R19" s="5">
        <f t="shared" si="4"/>
        <v>0</v>
      </c>
      <c r="S19" s="2"/>
      <c r="T19" s="2">
        <f>SUM(OSRRefT22_0x_0)</f>
        <v>53573.250549299992</v>
      </c>
      <c r="U19" s="2"/>
      <c r="V19" s="5">
        <f t="shared" si="5"/>
        <v>0</v>
      </c>
      <c r="W19" s="2"/>
      <c r="X19" s="2">
        <f t="shared" si="6"/>
        <v>14989.599450700014</v>
      </c>
      <c r="Y19" s="2"/>
      <c r="Z19" s="5">
        <f t="shared" si="7"/>
        <v>0.27979634046857127</v>
      </c>
    </row>
    <row r="20" spans="1:26" s="70" customFormat="1" ht="15" hidden="1" customHeight="1" outlineLevel="2" x14ac:dyDescent="0.3">
      <c r="A20" s="21"/>
      <c r="B20" s="9" t="str">
        <f>CONCATENATE("          ","6111"," - ","F.I.C.A.")</f>
        <v xml:space="preserve">          6111 - F.I.C.A.</v>
      </c>
      <c r="C20" s="9"/>
      <c r="D20" s="6">
        <v>712.82</v>
      </c>
      <c r="E20" s="3"/>
      <c r="F20" s="7">
        <f t="shared" si="0"/>
        <v>0</v>
      </c>
      <c r="G20" s="3"/>
      <c r="H20" s="6">
        <v>706.12241219999999</v>
      </c>
      <c r="I20" s="3"/>
      <c r="J20" s="7">
        <f t="shared" si="1"/>
        <v>0</v>
      </c>
      <c r="K20" s="3"/>
      <c r="L20" s="6">
        <f t="shared" si="2"/>
        <v>6.6975878000000648</v>
      </c>
      <c r="M20" s="3"/>
      <c r="N20" s="7">
        <f t="shared" si="3"/>
        <v>9.4850236790148222E-3</v>
      </c>
      <c r="O20" s="9"/>
      <c r="P20" s="6">
        <v>9224.09</v>
      </c>
      <c r="Q20" s="3"/>
      <c r="R20" s="7">
        <f t="shared" si="4"/>
        <v>0</v>
      </c>
      <c r="S20" s="3"/>
      <c r="T20" s="6">
        <v>9045.9079892999998</v>
      </c>
      <c r="U20" s="3"/>
      <c r="V20" s="7">
        <f t="shared" si="5"/>
        <v>0</v>
      </c>
      <c r="W20" s="3"/>
      <c r="X20" s="6">
        <f t="shared" si="6"/>
        <v>178.18201070000032</v>
      </c>
      <c r="Y20" s="3"/>
      <c r="Z20" s="7">
        <f t="shared" si="7"/>
        <v>1.9697526319167061E-2</v>
      </c>
    </row>
    <row r="21" spans="1:26" s="70" customFormat="1" ht="15" hidden="1" customHeight="1" outlineLevel="2" x14ac:dyDescent="0.3">
      <c r="A21" s="21"/>
      <c r="B21" s="9" t="str">
        <f>CONCATENATE("          ","6112"," - ","COMPENSATION INSURANCE")</f>
        <v xml:space="preserve">          6112 - COMPENSATION INSURANCE</v>
      </c>
      <c r="C21" s="9"/>
      <c r="D21" s="6">
        <v>-3229.86</v>
      </c>
      <c r="E21" s="3"/>
      <c r="F21" s="7">
        <f t="shared" si="0"/>
        <v>0</v>
      </c>
      <c r="G21" s="3"/>
      <c r="H21" s="6">
        <v>349.69344599999999</v>
      </c>
      <c r="I21" s="3"/>
      <c r="J21" s="7">
        <f t="shared" si="1"/>
        <v>0</v>
      </c>
      <c r="K21" s="3"/>
      <c r="L21" s="6">
        <f t="shared" si="2"/>
        <v>-3579.5534459999999</v>
      </c>
      <c r="M21" s="3"/>
      <c r="N21" s="7">
        <f t="shared" si="3"/>
        <v>-10.236261179456021</v>
      </c>
      <c r="O21" s="9"/>
      <c r="P21" s="6">
        <v>767.15</v>
      </c>
      <c r="Q21" s="3"/>
      <c r="R21" s="7">
        <f t="shared" si="4"/>
        <v>0</v>
      </c>
      <c r="S21" s="3"/>
      <c r="T21" s="6">
        <v>4479.8106989999997</v>
      </c>
      <c r="U21" s="3"/>
      <c r="V21" s="7">
        <f t="shared" si="5"/>
        <v>0</v>
      </c>
      <c r="W21" s="3"/>
      <c r="X21" s="6">
        <f t="shared" si="6"/>
        <v>-3712.6606989999996</v>
      </c>
      <c r="Y21" s="3"/>
      <c r="Z21" s="7">
        <f t="shared" si="7"/>
        <v>-0.82875392476489107</v>
      </c>
    </row>
    <row r="22" spans="1:26" s="70" customFormat="1" ht="15" hidden="1" customHeight="1" outlineLevel="2" x14ac:dyDescent="0.3">
      <c r="A22" s="21"/>
      <c r="B22" s="9" t="str">
        <f>CONCATENATE("          ","6113"," - ","GROUP INSURANCE")</f>
        <v xml:space="preserve">          6113 - GROUP INSURANCE</v>
      </c>
      <c r="C22" s="9"/>
      <c r="D22" s="6">
        <v>2467.5700000000002</v>
      </c>
      <c r="E22" s="3"/>
      <c r="F22" s="7">
        <f t="shared" si="0"/>
        <v>0</v>
      </c>
      <c r="G22" s="3"/>
      <c r="H22" s="6">
        <v>1977</v>
      </c>
      <c r="I22" s="3"/>
      <c r="J22" s="7">
        <f t="shared" si="1"/>
        <v>0</v>
      </c>
      <c r="K22" s="3"/>
      <c r="L22" s="6">
        <f t="shared" si="2"/>
        <v>490.57000000000016</v>
      </c>
      <c r="M22" s="3"/>
      <c r="N22" s="7">
        <f t="shared" si="3"/>
        <v>0.24813859382903397</v>
      </c>
      <c r="O22" s="9"/>
      <c r="P22" s="6">
        <v>30944.55</v>
      </c>
      <c r="Q22" s="3"/>
      <c r="R22" s="7">
        <f t="shared" si="4"/>
        <v>0</v>
      </c>
      <c r="S22" s="3"/>
      <c r="T22" s="6">
        <v>23724</v>
      </c>
      <c r="U22" s="3"/>
      <c r="V22" s="7">
        <f t="shared" si="5"/>
        <v>0</v>
      </c>
      <c r="W22" s="3"/>
      <c r="X22" s="6">
        <f t="shared" si="6"/>
        <v>7220.5499999999993</v>
      </c>
      <c r="Y22" s="3"/>
      <c r="Z22" s="7">
        <f t="shared" si="7"/>
        <v>0.30435634800202321</v>
      </c>
    </row>
    <row r="23" spans="1:26" s="70" customFormat="1" ht="15" hidden="1" customHeight="1" outlineLevel="2" x14ac:dyDescent="0.3">
      <c r="A23" s="21"/>
      <c r="B23" s="9" t="str">
        <f>CONCATENATE("          ","6114"," - ","STATE UNEMPLOYMENT INSURANCE")</f>
        <v xml:space="preserve">          6114 - STATE UNEMPLOYMENT INSURANCE</v>
      </c>
      <c r="C23" s="9"/>
      <c r="D23" s="6"/>
      <c r="E23" s="3"/>
      <c r="F23" s="7">
        <f t="shared" si="0"/>
        <v>0</v>
      </c>
      <c r="G23" s="3"/>
      <c r="H23" s="6">
        <v>19.376154</v>
      </c>
      <c r="I23" s="3"/>
      <c r="J23" s="7">
        <f t="shared" si="1"/>
        <v>0</v>
      </c>
      <c r="K23" s="3"/>
      <c r="L23" s="6">
        <f t="shared" si="2"/>
        <v>-19.376154</v>
      </c>
      <c r="M23" s="3"/>
      <c r="N23" s="7">
        <f t="shared" si="3"/>
        <v>-1</v>
      </c>
      <c r="O23" s="9"/>
      <c r="P23" s="6">
        <v>288.66000000000003</v>
      </c>
      <c r="Q23" s="3"/>
      <c r="R23" s="7">
        <f t="shared" si="4"/>
        <v>0</v>
      </c>
      <c r="S23" s="3"/>
      <c r="T23" s="6">
        <v>248.221701</v>
      </c>
      <c r="U23" s="3"/>
      <c r="V23" s="7">
        <f t="shared" si="5"/>
        <v>0</v>
      </c>
      <c r="W23" s="3"/>
      <c r="X23" s="6">
        <f t="shared" si="6"/>
        <v>40.438299000000029</v>
      </c>
      <c r="Y23" s="3"/>
      <c r="Z23" s="7">
        <f t="shared" si="7"/>
        <v>0.16291202113710448</v>
      </c>
    </row>
    <row r="24" spans="1:26" s="70" customFormat="1" ht="15" hidden="1" customHeight="1" outlineLevel="2" x14ac:dyDescent="0.3">
      <c r="A24" s="21"/>
      <c r="B24" s="9" t="str">
        <f>CONCATENATE("          ","6115"," - ","P.E.R.S.")</f>
        <v xml:space="preserve">          6115 - P.E.R.S.</v>
      </c>
      <c r="C24" s="9"/>
      <c r="D24" s="6">
        <v>636.5</v>
      </c>
      <c r="E24" s="3"/>
      <c r="F24" s="7">
        <f t="shared" si="0"/>
        <v>0</v>
      </c>
      <c r="G24" s="3"/>
      <c r="H24" s="6">
        <v>793.49964</v>
      </c>
      <c r="I24" s="3"/>
      <c r="J24" s="7">
        <f t="shared" si="1"/>
        <v>0</v>
      </c>
      <c r="K24" s="3"/>
      <c r="L24" s="6">
        <f t="shared" si="2"/>
        <v>-156.99964</v>
      </c>
      <c r="M24" s="3"/>
      <c r="N24" s="7">
        <f t="shared" si="3"/>
        <v>-0.19785722902155317</v>
      </c>
      <c r="O24" s="9"/>
      <c r="P24" s="6">
        <v>8859.4</v>
      </c>
      <c r="Q24" s="3"/>
      <c r="R24" s="7">
        <f t="shared" si="4"/>
        <v>0</v>
      </c>
      <c r="S24" s="3"/>
      <c r="T24" s="6">
        <v>10165.26966</v>
      </c>
      <c r="U24" s="3"/>
      <c r="V24" s="7">
        <f t="shared" si="5"/>
        <v>0</v>
      </c>
      <c r="W24" s="3"/>
      <c r="X24" s="6">
        <f t="shared" si="6"/>
        <v>-1305.8696600000003</v>
      </c>
      <c r="Y24" s="3"/>
      <c r="Z24" s="7">
        <f t="shared" si="7"/>
        <v>-0.12846384834615399</v>
      </c>
    </row>
    <row r="25" spans="1:26" s="70" customFormat="1" ht="15" hidden="1" customHeight="1" outlineLevel="2" x14ac:dyDescent="0.3">
      <c r="A25" s="21"/>
      <c r="B25" s="9" t="str">
        <f>CONCATENATE("          ","6116"," - ","EDUCATIONAL BENEFITS")</f>
        <v xml:space="preserve">          6116 - EDUCATIONAL BENEFITS</v>
      </c>
      <c r="C25" s="9"/>
      <c r="D25" s="6"/>
      <c r="E25" s="3"/>
      <c r="F25" s="7">
        <f t="shared" si="0"/>
        <v>0</v>
      </c>
      <c r="G25" s="3"/>
      <c r="H25" s="6">
        <v>0</v>
      </c>
      <c r="I25" s="3"/>
      <c r="J25" s="7">
        <f t="shared" si="1"/>
        <v>0</v>
      </c>
      <c r="K25" s="3"/>
      <c r="L25" s="6">
        <f t="shared" si="2"/>
        <v>0</v>
      </c>
      <c r="M25" s="3"/>
      <c r="N25" s="7">
        <f t="shared" si="3"/>
        <v>0</v>
      </c>
      <c r="O25" s="9"/>
      <c r="P25" s="6"/>
      <c r="Q25" s="3"/>
      <c r="R25" s="7">
        <f t="shared" si="4"/>
        <v>0</v>
      </c>
      <c r="S25" s="3"/>
      <c r="T25" s="6">
        <v>0</v>
      </c>
      <c r="U25" s="3"/>
      <c r="V25" s="7">
        <f t="shared" si="5"/>
        <v>0</v>
      </c>
      <c r="W25" s="3"/>
      <c r="X25" s="6">
        <f t="shared" si="6"/>
        <v>0</v>
      </c>
      <c r="Y25" s="3"/>
      <c r="Z25" s="7">
        <f t="shared" si="7"/>
        <v>0</v>
      </c>
    </row>
    <row r="26" spans="1:26" s="70" customFormat="1" ht="15" hidden="1" customHeight="1" outlineLevel="2" x14ac:dyDescent="0.3">
      <c r="A26" s="21"/>
      <c r="B26" s="9" t="str">
        <f>CONCATENATE("          ","6118"," - ","VACATION")</f>
        <v xml:space="preserve">          6118 - VACATION</v>
      </c>
      <c r="C26" s="9"/>
      <c r="D26" s="6">
        <v>860.74</v>
      </c>
      <c r="E26" s="3"/>
      <c r="F26" s="7">
        <f t="shared" si="0"/>
        <v>0</v>
      </c>
      <c r="G26" s="3"/>
      <c r="H26" s="6">
        <v>276.80220000000003</v>
      </c>
      <c r="I26" s="3"/>
      <c r="J26" s="7">
        <f t="shared" si="1"/>
        <v>0</v>
      </c>
      <c r="K26" s="3"/>
      <c r="L26" s="6">
        <f t="shared" si="2"/>
        <v>583.93779999999992</v>
      </c>
      <c r="M26" s="3"/>
      <c r="N26" s="7">
        <f t="shared" si="3"/>
        <v>2.1095851116790252</v>
      </c>
      <c r="O26" s="9"/>
      <c r="P26" s="6">
        <v>10958.27</v>
      </c>
      <c r="Q26" s="3"/>
      <c r="R26" s="7">
        <f t="shared" si="4"/>
        <v>0</v>
      </c>
      <c r="S26" s="3"/>
      <c r="T26" s="6">
        <v>3546.0243</v>
      </c>
      <c r="U26" s="3"/>
      <c r="V26" s="7">
        <f t="shared" si="5"/>
        <v>0</v>
      </c>
      <c r="W26" s="3"/>
      <c r="X26" s="6">
        <f t="shared" si="6"/>
        <v>7412.2457000000004</v>
      </c>
      <c r="Y26" s="3"/>
      <c r="Z26" s="7">
        <f t="shared" si="7"/>
        <v>2.0902974917571773</v>
      </c>
    </row>
    <row r="27" spans="1:26" s="70" customFormat="1" ht="15" hidden="1" customHeight="1" outlineLevel="2" x14ac:dyDescent="0.3">
      <c r="A27" s="21"/>
      <c r="B27" s="9" t="str">
        <f>CONCATENATE("          ","6119"," - ","SICK LEAVE")</f>
        <v xml:space="preserve">          6119 - SICK LEAVE</v>
      </c>
      <c r="C27" s="9"/>
      <c r="D27" s="6">
        <v>429.78</v>
      </c>
      <c r="E27" s="3"/>
      <c r="F27" s="7">
        <f t="shared" si="0"/>
        <v>0</v>
      </c>
      <c r="G27" s="3"/>
      <c r="H27" s="6">
        <v>184.53479999999999</v>
      </c>
      <c r="I27" s="3"/>
      <c r="J27" s="7">
        <f t="shared" si="1"/>
        <v>0</v>
      </c>
      <c r="K27" s="3"/>
      <c r="L27" s="6">
        <f t="shared" si="2"/>
        <v>245.24519999999998</v>
      </c>
      <c r="M27" s="3"/>
      <c r="N27" s="7">
        <f t="shared" si="3"/>
        <v>1.3289916048355106</v>
      </c>
      <c r="O27" s="9"/>
      <c r="P27" s="6">
        <v>6257.65</v>
      </c>
      <c r="Q27" s="3"/>
      <c r="R27" s="7">
        <f t="shared" si="4"/>
        <v>0</v>
      </c>
      <c r="S27" s="3"/>
      <c r="T27" s="6">
        <v>2364.0162</v>
      </c>
      <c r="U27" s="3"/>
      <c r="V27" s="7">
        <f t="shared" si="5"/>
        <v>0</v>
      </c>
      <c r="W27" s="3"/>
      <c r="X27" s="6">
        <f t="shared" si="6"/>
        <v>3893.6337999999996</v>
      </c>
      <c r="Y27" s="3"/>
      <c r="Z27" s="7">
        <f t="shared" si="7"/>
        <v>1.6470419280544693</v>
      </c>
    </row>
    <row r="28" spans="1:26" s="70" customFormat="1" ht="15" hidden="1" customHeight="1" outlineLevel="2" x14ac:dyDescent="0.3">
      <c r="A28" s="21"/>
      <c r="B28" s="9" t="str">
        <f>CONCATENATE("          ","6156"," - ","EMPLOYEE MEALS")</f>
        <v xml:space="preserve">          6156 - EMPLOYEE MEALS</v>
      </c>
      <c r="C28" s="9"/>
      <c r="D28" s="6">
        <v>144.22999999999999</v>
      </c>
      <c r="E28" s="3"/>
      <c r="F28" s="7">
        <f t="shared" si="0"/>
        <v>0</v>
      </c>
      <c r="G28" s="3"/>
      <c r="H28" s="6"/>
      <c r="I28" s="3"/>
      <c r="J28" s="7">
        <f t="shared" si="1"/>
        <v>0</v>
      </c>
      <c r="K28" s="3"/>
      <c r="L28" s="6">
        <f t="shared" si="2"/>
        <v>144.22999999999999</v>
      </c>
      <c r="M28" s="3"/>
      <c r="N28" s="7">
        <f t="shared" si="3"/>
        <v>0</v>
      </c>
      <c r="O28" s="9"/>
      <c r="P28" s="6">
        <v>1263.08</v>
      </c>
      <c r="Q28" s="3"/>
      <c r="R28" s="7">
        <f t="shared" si="4"/>
        <v>0</v>
      </c>
      <c r="S28" s="3"/>
      <c r="T28" s="6"/>
      <c r="U28" s="3"/>
      <c r="V28" s="7">
        <f t="shared" si="5"/>
        <v>0</v>
      </c>
      <c r="W28" s="3"/>
      <c r="X28" s="6">
        <f t="shared" si="6"/>
        <v>1263.08</v>
      </c>
      <c r="Y28" s="3"/>
      <c r="Z28" s="7">
        <f t="shared" si="7"/>
        <v>0</v>
      </c>
    </row>
    <row r="29" spans="1:26" s="69" customFormat="1" ht="15" customHeight="1" outlineLevel="1" collapsed="1" x14ac:dyDescent="0.3">
      <c r="A29" s="20"/>
      <c r="B29" s="11" t="str">
        <f>CONCATENATE("     ","*Payroll                                          ")</f>
        <v xml:space="preserve">     *Payroll                                          </v>
      </c>
      <c r="C29" s="11"/>
      <c r="D29" s="2">
        <f>SUM(OSRRefD22_1x_0)</f>
        <v>9317.92</v>
      </c>
      <c r="E29" s="2"/>
      <c r="F29" s="5">
        <f t="shared" si="0"/>
        <v>0</v>
      </c>
      <c r="G29" s="2"/>
      <c r="H29" s="2">
        <f>SUM(OSRRefH22_1x_0)</f>
        <v>8765.4030000000002</v>
      </c>
      <c r="I29" s="2"/>
      <c r="J29" s="5">
        <f t="shared" si="1"/>
        <v>0</v>
      </c>
      <c r="K29" s="2"/>
      <c r="L29" s="2">
        <f t="shared" si="2"/>
        <v>552.51699999999983</v>
      </c>
      <c r="M29" s="2"/>
      <c r="N29" s="5">
        <f t="shared" si="3"/>
        <v>6.3033838832053685E-2</v>
      </c>
      <c r="O29" s="11"/>
      <c r="P29" s="2">
        <f>SUM(OSRRefP22_1x_0)</f>
        <v>113051.4</v>
      </c>
      <c r="Q29" s="2"/>
      <c r="R29" s="5">
        <f t="shared" si="4"/>
        <v>0</v>
      </c>
      <c r="S29" s="2"/>
      <c r="T29" s="2">
        <f>SUM(OSRRefT22_1x_0)</f>
        <v>112290.76949999999</v>
      </c>
      <c r="U29" s="2"/>
      <c r="V29" s="5">
        <f t="shared" si="5"/>
        <v>0</v>
      </c>
      <c r="W29" s="2"/>
      <c r="X29" s="2">
        <f t="shared" si="6"/>
        <v>760.6304999999993</v>
      </c>
      <c r="Y29" s="2"/>
      <c r="Z29" s="5">
        <f t="shared" si="7"/>
        <v>6.7737580157913096E-3</v>
      </c>
    </row>
    <row r="30" spans="1:26" s="70" customFormat="1" ht="15" hidden="1" customHeight="1" outlineLevel="2" x14ac:dyDescent="0.3">
      <c r="A30" s="21"/>
      <c r="B30" s="9" t="str">
        <f>CONCATENATE("          ","6001"," - ","ADMINISTRATIVE SALARIES")</f>
        <v xml:space="preserve">          6001 - ADMINISTRATIVE SALARIES</v>
      </c>
      <c r="C30" s="9"/>
      <c r="D30" s="6">
        <v>9317.92</v>
      </c>
      <c r="E30" s="3"/>
      <c r="F30" s="7">
        <f t="shared" si="0"/>
        <v>0</v>
      </c>
      <c r="G30" s="3"/>
      <c r="H30" s="6">
        <v>0</v>
      </c>
      <c r="I30" s="3"/>
      <c r="J30" s="7">
        <f t="shared" si="1"/>
        <v>0</v>
      </c>
      <c r="K30" s="3"/>
      <c r="L30" s="6">
        <f t="shared" si="2"/>
        <v>9317.92</v>
      </c>
      <c r="M30" s="3"/>
      <c r="N30" s="7">
        <f t="shared" si="3"/>
        <v>0</v>
      </c>
      <c r="O30" s="9"/>
      <c r="P30" s="6">
        <v>113051.4</v>
      </c>
      <c r="Q30" s="3"/>
      <c r="R30" s="7">
        <f t="shared" si="4"/>
        <v>0</v>
      </c>
      <c r="S30" s="3"/>
      <c r="T30" s="6">
        <v>0</v>
      </c>
      <c r="U30" s="3"/>
      <c r="V30" s="7">
        <f t="shared" si="5"/>
        <v>0</v>
      </c>
      <c r="W30" s="3"/>
      <c r="X30" s="6">
        <f t="shared" si="6"/>
        <v>113051.4</v>
      </c>
      <c r="Y30" s="3"/>
      <c r="Z30" s="7">
        <f t="shared" si="7"/>
        <v>0</v>
      </c>
    </row>
    <row r="31" spans="1:26" s="70" customFormat="1" ht="15" hidden="1" customHeight="1" outlineLevel="2" x14ac:dyDescent="0.3">
      <c r="A31" s="21"/>
      <c r="B31" s="9" t="str">
        <f>CONCATENATE("          ","6002"," - ","STAFF SALARIES")</f>
        <v xml:space="preserve">          6002 - STAFF SALARIES</v>
      </c>
      <c r="C31" s="9"/>
      <c r="D31" s="6"/>
      <c r="E31" s="3"/>
      <c r="F31" s="7">
        <f t="shared" si="0"/>
        <v>0</v>
      </c>
      <c r="G31" s="3"/>
      <c r="H31" s="6">
        <v>8765.4030000000002</v>
      </c>
      <c r="I31" s="3"/>
      <c r="J31" s="7">
        <f t="shared" si="1"/>
        <v>0</v>
      </c>
      <c r="K31" s="3"/>
      <c r="L31" s="6">
        <f t="shared" si="2"/>
        <v>-8765.4030000000002</v>
      </c>
      <c r="M31" s="3"/>
      <c r="N31" s="7">
        <f t="shared" si="3"/>
        <v>-1</v>
      </c>
      <c r="O31" s="9"/>
      <c r="P31" s="6"/>
      <c r="Q31" s="3"/>
      <c r="R31" s="7">
        <f t="shared" si="4"/>
        <v>0</v>
      </c>
      <c r="S31" s="3"/>
      <c r="T31" s="6">
        <v>112290.76949999999</v>
      </c>
      <c r="U31" s="3"/>
      <c r="V31" s="7">
        <f t="shared" si="5"/>
        <v>0</v>
      </c>
      <c r="W31" s="3"/>
      <c r="X31" s="6">
        <f t="shared" si="6"/>
        <v>-112290.76949999999</v>
      </c>
      <c r="Y31" s="3"/>
      <c r="Z31" s="7">
        <f t="shared" si="7"/>
        <v>-1</v>
      </c>
    </row>
    <row r="32" spans="1:26" s="70" customFormat="1" ht="15" hidden="1" customHeight="1" outlineLevel="2" x14ac:dyDescent="0.3">
      <c r="A32" s="21"/>
      <c r="B32" s="9" t="str">
        <f>CONCATENATE("          ","6003"," - ","STAFF HOURLY-9 MONTH")</f>
        <v xml:space="preserve">          6003 - STAFF HOURLY-9 MONTH</v>
      </c>
      <c r="C32" s="9"/>
      <c r="D32" s="6"/>
      <c r="E32" s="3"/>
      <c r="F32" s="7">
        <f t="shared" si="0"/>
        <v>0</v>
      </c>
      <c r="G32" s="3"/>
      <c r="H32" s="6">
        <v>0</v>
      </c>
      <c r="I32" s="3"/>
      <c r="J32" s="7">
        <f t="shared" si="1"/>
        <v>0</v>
      </c>
      <c r="K32" s="3"/>
      <c r="L32" s="6">
        <f t="shared" si="2"/>
        <v>0</v>
      </c>
      <c r="M32" s="3"/>
      <c r="N32" s="7">
        <f t="shared" si="3"/>
        <v>0</v>
      </c>
      <c r="O32" s="9"/>
      <c r="P32" s="6"/>
      <c r="Q32" s="3"/>
      <c r="R32" s="7">
        <f t="shared" si="4"/>
        <v>0</v>
      </c>
      <c r="S32" s="3"/>
      <c r="T32" s="6">
        <v>0</v>
      </c>
      <c r="U32" s="3"/>
      <c r="V32" s="7">
        <f t="shared" si="5"/>
        <v>0</v>
      </c>
      <c r="W32" s="3"/>
      <c r="X32" s="6">
        <f t="shared" si="6"/>
        <v>0</v>
      </c>
      <c r="Y32" s="3"/>
      <c r="Z32" s="7">
        <f t="shared" si="7"/>
        <v>0</v>
      </c>
    </row>
    <row r="33" spans="1:26" s="70" customFormat="1" ht="15" hidden="1" customHeight="1" outlineLevel="2" x14ac:dyDescent="0.3">
      <c r="A33" s="21"/>
      <c r="B33" s="9" t="str">
        <f>CONCATENATE("          ","6004"," - ","STAFF HOURLY")</f>
        <v xml:space="preserve">          6004 - STAFF HOURLY</v>
      </c>
      <c r="C33" s="9"/>
      <c r="D33" s="6"/>
      <c r="E33" s="3"/>
      <c r="F33" s="7">
        <f t="shared" si="0"/>
        <v>0</v>
      </c>
      <c r="G33" s="3"/>
      <c r="H33" s="6">
        <v>0</v>
      </c>
      <c r="I33" s="3"/>
      <c r="J33" s="7">
        <f t="shared" si="1"/>
        <v>0</v>
      </c>
      <c r="K33" s="3"/>
      <c r="L33" s="6">
        <f t="shared" si="2"/>
        <v>0</v>
      </c>
      <c r="M33" s="3"/>
      <c r="N33" s="7">
        <f t="shared" si="3"/>
        <v>0</v>
      </c>
      <c r="O33" s="9"/>
      <c r="P33" s="6"/>
      <c r="Q33" s="3"/>
      <c r="R33" s="7">
        <f t="shared" si="4"/>
        <v>0</v>
      </c>
      <c r="S33" s="3"/>
      <c r="T33" s="6">
        <v>0</v>
      </c>
      <c r="U33" s="3"/>
      <c r="V33" s="7">
        <f t="shared" si="5"/>
        <v>0</v>
      </c>
      <c r="W33" s="3"/>
      <c r="X33" s="6">
        <f t="shared" si="6"/>
        <v>0</v>
      </c>
      <c r="Y33" s="3"/>
      <c r="Z33" s="7">
        <f t="shared" si="7"/>
        <v>0</v>
      </c>
    </row>
    <row r="34" spans="1:26" s="70" customFormat="1" ht="15" hidden="1" customHeight="1" outlineLevel="2" x14ac:dyDescent="0.3">
      <c r="A34" s="21"/>
      <c r="B34" s="9" t="str">
        <f>CONCATENATE("          ","6005"," - ","TEMPORARY WAGES-HOURLY")</f>
        <v xml:space="preserve">          6005 - TEMPORARY WAGES-HOURLY</v>
      </c>
      <c r="C34" s="9"/>
      <c r="D34" s="6"/>
      <c r="E34" s="3"/>
      <c r="F34" s="7">
        <f t="shared" si="0"/>
        <v>0</v>
      </c>
      <c r="G34" s="3"/>
      <c r="H34" s="6">
        <v>0</v>
      </c>
      <c r="I34" s="3"/>
      <c r="J34" s="7">
        <f t="shared" si="1"/>
        <v>0</v>
      </c>
      <c r="K34" s="3"/>
      <c r="L34" s="6">
        <f t="shared" si="2"/>
        <v>0</v>
      </c>
      <c r="M34" s="3"/>
      <c r="N34" s="7">
        <f t="shared" si="3"/>
        <v>0</v>
      </c>
      <c r="O34" s="9"/>
      <c r="P34" s="6"/>
      <c r="Q34" s="3"/>
      <c r="R34" s="7">
        <f t="shared" si="4"/>
        <v>0</v>
      </c>
      <c r="S34" s="3"/>
      <c r="T34" s="6">
        <v>0</v>
      </c>
      <c r="U34" s="3"/>
      <c r="V34" s="7">
        <f t="shared" si="5"/>
        <v>0</v>
      </c>
      <c r="W34" s="3"/>
      <c r="X34" s="6">
        <f t="shared" si="6"/>
        <v>0</v>
      </c>
      <c r="Y34" s="3"/>
      <c r="Z34" s="7">
        <f t="shared" si="7"/>
        <v>0</v>
      </c>
    </row>
    <row r="35" spans="1:26" s="70" customFormat="1" ht="15" hidden="1" customHeight="1" outlineLevel="2" x14ac:dyDescent="0.3">
      <c r="A35" s="21"/>
      <c r="B35" s="9" t="str">
        <f>CONCATENATE("          ","6006"," - ","TEMPORARY PART TIME")</f>
        <v xml:space="preserve">          6006 - TEMPORARY PART TIME</v>
      </c>
      <c r="C35" s="9"/>
      <c r="D35" s="6"/>
      <c r="E35" s="3"/>
      <c r="F35" s="7">
        <f t="shared" si="0"/>
        <v>0</v>
      </c>
      <c r="G35" s="3"/>
      <c r="H35" s="6">
        <v>0</v>
      </c>
      <c r="I35" s="3"/>
      <c r="J35" s="7">
        <f t="shared" si="1"/>
        <v>0</v>
      </c>
      <c r="K35" s="3"/>
      <c r="L35" s="6">
        <f t="shared" si="2"/>
        <v>0</v>
      </c>
      <c r="M35" s="3"/>
      <c r="N35" s="7">
        <f t="shared" si="3"/>
        <v>0</v>
      </c>
      <c r="O35" s="9"/>
      <c r="P35" s="6"/>
      <c r="Q35" s="3"/>
      <c r="R35" s="7">
        <f t="shared" si="4"/>
        <v>0</v>
      </c>
      <c r="S35" s="3"/>
      <c r="T35" s="6">
        <v>0</v>
      </c>
      <c r="U35" s="3"/>
      <c r="V35" s="7">
        <f t="shared" si="5"/>
        <v>0</v>
      </c>
      <c r="W35" s="3"/>
      <c r="X35" s="6">
        <f t="shared" si="6"/>
        <v>0</v>
      </c>
      <c r="Y35" s="3"/>
      <c r="Z35" s="7">
        <f t="shared" si="7"/>
        <v>0</v>
      </c>
    </row>
    <row r="36" spans="1:26" s="70" customFormat="1" ht="15" hidden="1" customHeight="1" outlineLevel="2" x14ac:dyDescent="0.3">
      <c r="A36" s="21"/>
      <c r="B36" s="9" t="str">
        <f>CONCATENATE("          ","6007"," - ","STUDENT HOURLY")</f>
        <v xml:space="preserve">          6007 - STUDENT HOURLY</v>
      </c>
      <c r="C36" s="9"/>
      <c r="D36" s="6"/>
      <c r="E36" s="3"/>
      <c r="F36" s="7">
        <f t="shared" si="0"/>
        <v>0</v>
      </c>
      <c r="G36" s="3"/>
      <c r="H36" s="6">
        <v>0</v>
      </c>
      <c r="I36" s="3"/>
      <c r="J36" s="7">
        <f t="shared" si="1"/>
        <v>0</v>
      </c>
      <c r="K36" s="3"/>
      <c r="L36" s="6">
        <f t="shared" si="2"/>
        <v>0</v>
      </c>
      <c r="M36" s="3"/>
      <c r="N36" s="7">
        <f t="shared" si="3"/>
        <v>0</v>
      </c>
      <c r="O36" s="9"/>
      <c r="P36" s="6"/>
      <c r="Q36" s="3"/>
      <c r="R36" s="7">
        <f t="shared" si="4"/>
        <v>0</v>
      </c>
      <c r="S36" s="3"/>
      <c r="T36" s="6">
        <v>0</v>
      </c>
      <c r="U36" s="3"/>
      <c r="V36" s="7">
        <f t="shared" si="5"/>
        <v>0</v>
      </c>
      <c r="W36" s="3"/>
      <c r="X36" s="6">
        <f t="shared" si="6"/>
        <v>0</v>
      </c>
      <c r="Y36" s="3"/>
      <c r="Z36" s="7">
        <f t="shared" si="7"/>
        <v>0</v>
      </c>
    </row>
    <row r="37" spans="1:26" s="70" customFormat="1" ht="15" hidden="1" customHeight="1" outlineLevel="2" x14ac:dyDescent="0.3">
      <c r="A37" s="21"/>
      <c r="B37" s="9" t="str">
        <f>CONCATENATE("          ","6008"," - ","STUDENT HOURLY-FICA EXEMPT")</f>
        <v xml:space="preserve">          6008 - STUDENT HOURLY-FICA EXEMPT</v>
      </c>
      <c r="C37" s="9"/>
      <c r="D37" s="6"/>
      <c r="E37" s="3"/>
      <c r="F37" s="7">
        <f t="shared" si="0"/>
        <v>0</v>
      </c>
      <c r="G37" s="3"/>
      <c r="H37" s="6">
        <v>0</v>
      </c>
      <c r="I37" s="3"/>
      <c r="J37" s="7">
        <f t="shared" si="1"/>
        <v>0</v>
      </c>
      <c r="K37" s="3"/>
      <c r="L37" s="6">
        <f t="shared" si="2"/>
        <v>0</v>
      </c>
      <c r="M37" s="3"/>
      <c r="N37" s="7">
        <f t="shared" si="3"/>
        <v>0</v>
      </c>
      <c r="O37" s="9"/>
      <c r="P37" s="6"/>
      <c r="Q37" s="3"/>
      <c r="R37" s="7">
        <f t="shared" si="4"/>
        <v>0</v>
      </c>
      <c r="S37" s="3"/>
      <c r="T37" s="6">
        <v>0</v>
      </c>
      <c r="U37" s="3"/>
      <c r="V37" s="7">
        <f t="shared" si="5"/>
        <v>0</v>
      </c>
      <c r="W37" s="3"/>
      <c r="X37" s="6">
        <f t="shared" si="6"/>
        <v>0</v>
      </c>
      <c r="Y37" s="3"/>
      <c r="Z37" s="7">
        <f t="shared" si="7"/>
        <v>0</v>
      </c>
    </row>
    <row r="38" spans="1:26" s="70" customFormat="1" ht="15" hidden="1" customHeight="1" outlineLevel="2" x14ac:dyDescent="0.3">
      <c r="A38" s="21"/>
      <c r="B38" s="9" t="str">
        <f>CONCATENATE("          ","6009"," - ","TEMPORARY-SEASONAL")</f>
        <v xml:space="preserve">          6009 - TEMPORARY-SEASONAL</v>
      </c>
      <c r="C38" s="9"/>
      <c r="D38" s="6"/>
      <c r="E38" s="3"/>
      <c r="F38" s="7">
        <f t="shared" si="0"/>
        <v>0</v>
      </c>
      <c r="G38" s="3"/>
      <c r="H38" s="6">
        <v>0</v>
      </c>
      <c r="I38" s="3"/>
      <c r="J38" s="7">
        <f t="shared" si="1"/>
        <v>0</v>
      </c>
      <c r="K38" s="3"/>
      <c r="L38" s="6">
        <f t="shared" si="2"/>
        <v>0</v>
      </c>
      <c r="M38" s="3"/>
      <c r="N38" s="7">
        <f t="shared" si="3"/>
        <v>0</v>
      </c>
      <c r="O38" s="9"/>
      <c r="P38" s="6"/>
      <c r="Q38" s="3"/>
      <c r="R38" s="7">
        <f t="shared" si="4"/>
        <v>0</v>
      </c>
      <c r="S38" s="3"/>
      <c r="T38" s="6">
        <v>0</v>
      </c>
      <c r="U38" s="3"/>
      <c r="V38" s="7">
        <f t="shared" si="5"/>
        <v>0</v>
      </c>
      <c r="W38" s="3"/>
      <c r="X38" s="6">
        <f t="shared" si="6"/>
        <v>0</v>
      </c>
      <c r="Y38" s="3"/>
      <c r="Z38" s="7">
        <f t="shared" si="7"/>
        <v>0</v>
      </c>
    </row>
    <row r="39" spans="1:26" s="70" customFormat="1" ht="15" hidden="1" customHeight="1" outlineLevel="2" x14ac:dyDescent="0.3">
      <c r="A39" s="21"/>
      <c r="B39" s="9" t="str">
        <f>CONCATENATE("          ","6010"," - ","GRATUITY")</f>
        <v xml:space="preserve">          6010 - GRATUITY</v>
      </c>
      <c r="C39" s="9"/>
      <c r="D39" s="6"/>
      <c r="E39" s="3"/>
      <c r="F39" s="7">
        <f t="shared" si="0"/>
        <v>0</v>
      </c>
      <c r="G39" s="3"/>
      <c r="H39" s="6">
        <v>0</v>
      </c>
      <c r="I39" s="3"/>
      <c r="J39" s="7">
        <f t="shared" si="1"/>
        <v>0</v>
      </c>
      <c r="K39" s="3"/>
      <c r="L39" s="6">
        <f t="shared" si="2"/>
        <v>0</v>
      </c>
      <c r="M39" s="3"/>
      <c r="N39" s="7">
        <f t="shared" si="3"/>
        <v>0</v>
      </c>
      <c r="O39" s="9"/>
      <c r="P39" s="6"/>
      <c r="Q39" s="3"/>
      <c r="R39" s="7">
        <f t="shared" si="4"/>
        <v>0</v>
      </c>
      <c r="S39" s="3"/>
      <c r="T39" s="6">
        <v>0</v>
      </c>
      <c r="U39" s="3"/>
      <c r="V39" s="7">
        <f t="shared" si="5"/>
        <v>0</v>
      </c>
      <c r="W39" s="3"/>
      <c r="X39" s="6">
        <f t="shared" si="6"/>
        <v>0</v>
      </c>
      <c r="Y39" s="3"/>
      <c r="Z39" s="7">
        <f t="shared" si="7"/>
        <v>0</v>
      </c>
    </row>
    <row r="40" spans="1:26" s="69" customFormat="1" ht="15" customHeight="1" outlineLevel="1" collapsed="1" x14ac:dyDescent="0.3">
      <c r="A40" s="20"/>
      <c r="B40" s="11" t="str">
        <f>CONCATENATE("     ","Advertising/Promo                                 ")</f>
        <v xml:space="preserve">     Advertising/Promo                                 </v>
      </c>
      <c r="C40" s="11"/>
      <c r="D40" s="2">
        <f>SUM(OSRRefD22_2x_0)</f>
        <v>0</v>
      </c>
      <c r="E40" s="2"/>
      <c r="F40" s="5">
        <f t="shared" si="0"/>
        <v>0</v>
      </c>
      <c r="G40" s="2"/>
      <c r="H40" s="2">
        <f>SUM(OSRRefH22_2x_0)</f>
        <v>0</v>
      </c>
      <c r="I40" s="2"/>
      <c r="J40" s="5">
        <f t="shared" si="1"/>
        <v>0</v>
      </c>
      <c r="K40" s="2"/>
      <c r="L40" s="2">
        <f t="shared" si="2"/>
        <v>0</v>
      </c>
      <c r="M40" s="2"/>
      <c r="N40" s="5">
        <f t="shared" si="3"/>
        <v>0</v>
      </c>
      <c r="O40" s="11"/>
      <c r="P40" s="2">
        <f>SUM(OSRRefP22_2x_0)</f>
        <v>45</v>
      </c>
      <c r="Q40" s="2"/>
      <c r="R40" s="5">
        <f t="shared" si="4"/>
        <v>0</v>
      </c>
      <c r="S40" s="2"/>
      <c r="T40" s="2">
        <f>SUM(OSRRefT22_2x_0)</f>
        <v>0</v>
      </c>
      <c r="U40" s="2"/>
      <c r="V40" s="5">
        <f t="shared" si="5"/>
        <v>0</v>
      </c>
      <c r="W40" s="2"/>
      <c r="X40" s="2">
        <f t="shared" si="6"/>
        <v>45</v>
      </c>
      <c r="Y40" s="2"/>
      <c r="Z40" s="5">
        <f t="shared" si="7"/>
        <v>0</v>
      </c>
    </row>
    <row r="41" spans="1:26" s="70" customFormat="1" ht="15" hidden="1" customHeight="1" outlineLevel="2" x14ac:dyDescent="0.3">
      <c r="A41" s="21"/>
      <c r="B41" s="9" t="str">
        <f>CONCATENATE("          ","6362"," - ","ADVERTISING EXPENSE")</f>
        <v xml:space="preserve">          6362 - ADVERTISING EXPENSE</v>
      </c>
      <c r="C41" s="9"/>
      <c r="D41" s="6"/>
      <c r="E41" s="3"/>
      <c r="F41" s="7">
        <f t="shared" si="0"/>
        <v>0</v>
      </c>
      <c r="G41" s="3"/>
      <c r="H41" s="6"/>
      <c r="I41" s="3"/>
      <c r="J41" s="7">
        <f t="shared" si="1"/>
        <v>0</v>
      </c>
      <c r="K41" s="3"/>
      <c r="L41" s="6">
        <f t="shared" si="2"/>
        <v>0</v>
      </c>
      <c r="M41" s="3"/>
      <c r="N41" s="7">
        <f t="shared" si="3"/>
        <v>0</v>
      </c>
      <c r="O41" s="9"/>
      <c r="P41" s="6">
        <v>45</v>
      </c>
      <c r="Q41" s="3"/>
      <c r="R41" s="7">
        <f t="shared" si="4"/>
        <v>0</v>
      </c>
      <c r="S41" s="3"/>
      <c r="T41" s="6"/>
      <c r="U41" s="3"/>
      <c r="V41" s="7">
        <f t="shared" si="5"/>
        <v>0</v>
      </c>
      <c r="W41" s="3"/>
      <c r="X41" s="6">
        <f t="shared" si="6"/>
        <v>45</v>
      </c>
      <c r="Y41" s="3"/>
      <c r="Z41" s="7">
        <f t="shared" si="7"/>
        <v>0</v>
      </c>
    </row>
    <row r="42" spans="1:26" s="69" customFormat="1" ht="15" customHeight="1" outlineLevel="1" collapsed="1" x14ac:dyDescent="0.3">
      <c r="A42" s="20"/>
      <c r="B42" s="11" t="str">
        <f>CONCATENATE("     ","General                                           ")</f>
        <v xml:space="preserve">     General                                           </v>
      </c>
      <c r="C42" s="11"/>
      <c r="D42" s="2">
        <f>SUM(OSRRefD22_3x_0)</f>
        <v>0</v>
      </c>
      <c r="E42" s="2"/>
      <c r="F42" s="5">
        <f t="shared" si="0"/>
        <v>0</v>
      </c>
      <c r="G42" s="2"/>
      <c r="H42" s="2">
        <f>SUM(OSRRefH22_3x_0)</f>
        <v>200</v>
      </c>
      <c r="I42" s="2"/>
      <c r="J42" s="5">
        <f t="shared" si="1"/>
        <v>0</v>
      </c>
      <c r="K42" s="2"/>
      <c r="L42" s="2">
        <f t="shared" si="2"/>
        <v>-200</v>
      </c>
      <c r="M42" s="2"/>
      <c r="N42" s="5">
        <f t="shared" si="3"/>
        <v>-1</v>
      </c>
      <c r="O42" s="11"/>
      <c r="P42" s="2">
        <f>SUM(OSRRefP22_3x_0)</f>
        <v>795.2</v>
      </c>
      <c r="Q42" s="2"/>
      <c r="R42" s="5">
        <f t="shared" si="4"/>
        <v>0</v>
      </c>
      <c r="S42" s="2"/>
      <c r="T42" s="2">
        <f>SUM(OSRRefT22_3x_0)</f>
        <v>2400</v>
      </c>
      <c r="U42" s="2"/>
      <c r="V42" s="5">
        <f t="shared" si="5"/>
        <v>0</v>
      </c>
      <c r="W42" s="2"/>
      <c r="X42" s="2">
        <f t="shared" si="6"/>
        <v>-1604.8</v>
      </c>
      <c r="Y42" s="2"/>
      <c r="Z42" s="5">
        <f t="shared" si="7"/>
        <v>-0.66866666666666663</v>
      </c>
    </row>
    <row r="43" spans="1:26" s="70" customFormat="1" ht="15" hidden="1" customHeight="1" outlineLevel="2" x14ac:dyDescent="0.3">
      <c r="A43" s="21"/>
      <c r="B43" s="9" t="str">
        <f>CONCATENATE("          ","6279"," - ","GENERAL EXPENSE")</f>
        <v xml:space="preserve">          6279 - GENERAL EXPENSE</v>
      </c>
      <c r="C43" s="9"/>
      <c r="D43" s="6"/>
      <c r="E43" s="3"/>
      <c r="F43" s="7">
        <f t="shared" si="0"/>
        <v>0</v>
      </c>
      <c r="G43" s="3"/>
      <c r="H43" s="6">
        <v>200</v>
      </c>
      <c r="I43" s="3"/>
      <c r="J43" s="7">
        <f t="shared" si="1"/>
        <v>0</v>
      </c>
      <c r="K43" s="3"/>
      <c r="L43" s="6">
        <f t="shared" si="2"/>
        <v>-200</v>
      </c>
      <c r="M43" s="3"/>
      <c r="N43" s="7">
        <f t="shared" si="3"/>
        <v>-1</v>
      </c>
      <c r="O43" s="9"/>
      <c r="P43" s="6">
        <v>795.2</v>
      </c>
      <c r="Q43" s="3"/>
      <c r="R43" s="7">
        <f t="shared" si="4"/>
        <v>0</v>
      </c>
      <c r="S43" s="3"/>
      <c r="T43" s="6">
        <v>2400</v>
      </c>
      <c r="U43" s="3"/>
      <c r="V43" s="7">
        <f t="shared" si="5"/>
        <v>0</v>
      </c>
      <c r="W43" s="3"/>
      <c r="X43" s="6">
        <f t="shared" si="6"/>
        <v>-1604.8</v>
      </c>
      <c r="Y43" s="3"/>
      <c r="Z43" s="7">
        <f t="shared" si="7"/>
        <v>-0.66866666666666663</v>
      </c>
    </row>
    <row r="44" spans="1:26" s="69" customFormat="1" ht="15" customHeight="1" outlineLevel="1" collapsed="1" x14ac:dyDescent="0.3">
      <c r="A44" s="20"/>
      <c r="B44" s="11" t="str">
        <f>CONCATENATE("     ","Repair and Maintenance                            ")</f>
        <v xml:space="preserve">     Repair and Maintenance                            </v>
      </c>
      <c r="C44" s="11"/>
      <c r="D44" s="2">
        <f>SUM(OSRRefD22_4x_0)</f>
        <v>3500</v>
      </c>
      <c r="E44" s="2"/>
      <c r="F44" s="5">
        <f t="shared" si="0"/>
        <v>0</v>
      </c>
      <c r="G44" s="2"/>
      <c r="H44" s="2">
        <f>SUM(OSRRefH22_4x_0)</f>
        <v>3500</v>
      </c>
      <c r="I44" s="2"/>
      <c r="J44" s="5">
        <f t="shared" si="1"/>
        <v>0</v>
      </c>
      <c r="K44" s="2"/>
      <c r="L44" s="2">
        <f t="shared" si="2"/>
        <v>0</v>
      </c>
      <c r="M44" s="2"/>
      <c r="N44" s="5">
        <f t="shared" si="3"/>
        <v>0</v>
      </c>
      <c r="O44" s="11"/>
      <c r="P44" s="2">
        <f>SUM(OSRRefP22_4x_0)</f>
        <v>42000</v>
      </c>
      <c r="Q44" s="2"/>
      <c r="R44" s="5">
        <f t="shared" si="4"/>
        <v>0</v>
      </c>
      <c r="S44" s="2"/>
      <c r="T44" s="2">
        <f>SUM(OSRRefT22_4x_0)</f>
        <v>42000</v>
      </c>
      <c r="U44" s="2"/>
      <c r="V44" s="5">
        <f t="shared" si="5"/>
        <v>0</v>
      </c>
      <c r="W44" s="2"/>
      <c r="X44" s="2">
        <f t="shared" si="6"/>
        <v>0</v>
      </c>
      <c r="Y44" s="2"/>
      <c r="Z44" s="5">
        <f t="shared" si="7"/>
        <v>0</v>
      </c>
    </row>
    <row r="45" spans="1:26" s="70" customFormat="1" ht="15" hidden="1" customHeight="1" outlineLevel="2" x14ac:dyDescent="0.3">
      <c r="A45" s="21"/>
      <c r="B45" s="9" t="str">
        <f>CONCATENATE("          ","6371"," - ","COMPUTER SOFTWARE MAINTENANCE")</f>
        <v xml:space="preserve">          6371 - COMPUTER SOFTWARE MAINTENANCE</v>
      </c>
      <c r="C45" s="9"/>
      <c r="D45" s="6">
        <v>3500</v>
      </c>
      <c r="E45" s="3"/>
      <c r="F45" s="7">
        <f t="shared" si="0"/>
        <v>0</v>
      </c>
      <c r="G45" s="3"/>
      <c r="H45" s="6">
        <v>3500</v>
      </c>
      <c r="I45" s="3"/>
      <c r="J45" s="7">
        <f t="shared" si="1"/>
        <v>0</v>
      </c>
      <c r="K45" s="3"/>
      <c r="L45" s="6">
        <f t="shared" si="2"/>
        <v>0</v>
      </c>
      <c r="M45" s="3"/>
      <c r="N45" s="7">
        <f t="shared" si="3"/>
        <v>0</v>
      </c>
      <c r="O45" s="9"/>
      <c r="P45" s="6">
        <v>42000</v>
      </c>
      <c r="Q45" s="3"/>
      <c r="R45" s="7">
        <f t="shared" si="4"/>
        <v>0</v>
      </c>
      <c r="S45" s="3"/>
      <c r="T45" s="6">
        <v>42000</v>
      </c>
      <c r="U45" s="3"/>
      <c r="V45" s="7">
        <f t="shared" si="5"/>
        <v>0</v>
      </c>
      <c r="W45" s="3"/>
      <c r="X45" s="6">
        <f t="shared" si="6"/>
        <v>0</v>
      </c>
      <c r="Y45" s="3"/>
      <c r="Z45" s="7">
        <f t="shared" si="7"/>
        <v>0</v>
      </c>
    </row>
    <row r="46" spans="1:26" s="69" customFormat="1" ht="15" customHeight="1" outlineLevel="1" collapsed="1" x14ac:dyDescent="0.3">
      <c r="A46" s="20"/>
      <c r="B46" s="11" t="str">
        <f>CONCATENATE("     ","Supplies                                          ")</f>
        <v xml:space="preserve">     Supplies                                          </v>
      </c>
      <c r="C46" s="11"/>
      <c r="D46" s="2">
        <f>SUM(OSRRefD22_5x_0)</f>
        <v>0</v>
      </c>
      <c r="E46" s="2"/>
      <c r="F46" s="5">
        <f t="shared" si="0"/>
        <v>0</v>
      </c>
      <c r="G46" s="2"/>
      <c r="H46" s="2">
        <f>SUM(OSRRefH22_5x_0)</f>
        <v>338</v>
      </c>
      <c r="I46" s="2"/>
      <c r="J46" s="5">
        <f t="shared" si="1"/>
        <v>0</v>
      </c>
      <c r="K46" s="2"/>
      <c r="L46" s="2">
        <f t="shared" si="2"/>
        <v>-338</v>
      </c>
      <c r="M46" s="2"/>
      <c r="N46" s="5">
        <f t="shared" si="3"/>
        <v>-1</v>
      </c>
      <c r="O46" s="11"/>
      <c r="P46" s="2">
        <f>SUM(OSRRefP22_5x_0)</f>
        <v>4431.32</v>
      </c>
      <c r="Q46" s="2"/>
      <c r="R46" s="5">
        <f t="shared" si="4"/>
        <v>0</v>
      </c>
      <c r="S46" s="2"/>
      <c r="T46" s="2">
        <f>SUM(OSRRefT22_5x_0)</f>
        <v>4100</v>
      </c>
      <c r="U46" s="2"/>
      <c r="V46" s="5">
        <f t="shared" si="5"/>
        <v>0</v>
      </c>
      <c r="W46" s="2"/>
      <c r="X46" s="2">
        <f t="shared" si="6"/>
        <v>331.31999999999971</v>
      </c>
      <c r="Y46" s="2"/>
      <c r="Z46" s="5">
        <f t="shared" si="7"/>
        <v>8.08097560975609E-2</v>
      </c>
    </row>
    <row r="47" spans="1:26" s="70" customFormat="1" ht="15" hidden="1" customHeight="1" outlineLevel="2" x14ac:dyDescent="0.3">
      <c r="A47" s="21"/>
      <c r="B47" s="9" t="str">
        <f>CONCATENATE("          ","6234"," - ","EXPENDABLE SUPPLIES &amp; EQUIPMEN")</f>
        <v xml:space="preserve">          6234 - EXPENDABLE SUPPLIES &amp; EQUIPMEN</v>
      </c>
      <c r="C47" s="9"/>
      <c r="D47" s="6"/>
      <c r="E47" s="3"/>
      <c r="F47" s="7">
        <f t="shared" si="0"/>
        <v>0</v>
      </c>
      <c r="G47" s="3"/>
      <c r="H47" s="6">
        <v>338</v>
      </c>
      <c r="I47" s="3"/>
      <c r="J47" s="7">
        <f t="shared" si="1"/>
        <v>0</v>
      </c>
      <c r="K47" s="3"/>
      <c r="L47" s="6">
        <f t="shared" si="2"/>
        <v>-338</v>
      </c>
      <c r="M47" s="3"/>
      <c r="N47" s="7">
        <f t="shared" si="3"/>
        <v>-1</v>
      </c>
      <c r="O47" s="9"/>
      <c r="P47" s="6"/>
      <c r="Q47" s="3"/>
      <c r="R47" s="7">
        <f t="shared" si="4"/>
        <v>0</v>
      </c>
      <c r="S47" s="3"/>
      <c r="T47" s="6">
        <v>4100</v>
      </c>
      <c r="U47" s="3"/>
      <c r="V47" s="7">
        <f t="shared" si="5"/>
        <v>0</v>
      </c>
      <c r="W47" s="3"/>
      <c r="X47" s="6">
        <f t="shared" si="6"/>
        <v>-4100</v>
      </c>
      <c r="Y47" s="3"/>
      <c r="Z47" s="7">
        <f t="shared" si="7"/>
        <v>-1</v>
      </c>
    </row>
    <row r="48" spans="1:26" s="70" customFormat="1" ht="15" hidden="1" customHeight="1" outlineLevel="2" x14ac:dyDescent="0.3">
      <c r="A48" s="21"/>
      <c r="B48" s="9" t="str">
        <f>CONCATENATE("          ","6239"," - ","KITCHEN SUPPLIES")</f>
        <v xml:space="preserve">          6239 - KITCHEN SUPPLIES</v>
      </c>
      <c r="C48" s="9"/>
      <c r="D48" s="6"/>
      <c r="E48" s="3"/>
      <c r="F48" s="7">
        <f t="shared" si="0"/>
        <v>0</v>
      </c>
      <c r="G48" s="3"/>
      <c r="H48" s="6"/>
      <c r="I48" s="3"/>
      <c r="J48" s="7">
        <f t="shared" si="1"/>
        <v>0</v>
      </c>
      <c r="K48" s="3"/>
      <c r="L48" s="6">
        <f t="shared" si="2"/>
        <v>0</v>
      </c>
      <c r="M48" s="3"/>
      <c r="N48" s="7">
        <f t="shared" si="3"/>
        <v>0</v>
      </c>
      <c r="O48" s="9"/>
      <c r="P48" s="6">
        <v>225.98</v>
      </c>
      <c r="Q48" s="3"/>
      <c r="R48" s="7">
        <f t="shared" si="4"/>
        <v>0</v>
      </c>
      <c r="S48" s="3"/>
      <c r="T48" s="6"/>
      <c r="U48" s="3"/>
      <c r="V48" s="7">
        <f t="shared" si="5"/>
        <v>0</v>
      </c>
      <c r="W48" s="3"/>
      <c r="X48" s="6">
        <f t="shared" si="6"/>
        <v>225.98</v>
      </c>
      <c r="Y48" s="3"/>
      <c r="Z48" s="7">
        <f t="shared" si="7"/>
        <v>0</v>
      </c>
    </row>
    <row r="49" spans="1:26" s="70" customFormat="1" ht="15" hidden="1" customHeight="1" outlineLevel="2" x14ac:dyDescent="0.3">
      <c r="A49" s="21"/>
      <c r="B49" s="9" t="str">
        <f>CONCATENATE("          ","6241"," - ","OFFICE EXPENSE")</f>
        <v xml:space="preserve">          6241 - OFFICE EXPENSE</v>
      </c>
      <c r="C49" s="9"/>
      <c r="D49" s="6"/>
      <c r="E49" s="3"/>
      <c r="F49" s="7">
        <f t="shared" si="0"/>
        <v>0</v>
      </c>
      <c r="G49" s="3"/>
      <c r="H49" s="6"/>
      <c r="I49" s="3"/>
      <c r="J49" s="7">
        <f t="shared" si="1"/>
        <v>0</v>
      </c>
      <c r="K49" s="3"/>
      <c r="L49" s="6">
        <f t="shared" si="2"/>
        <v>0</v>
      </c>
      <c r="M49" s="3"/>
      <c r="N49" s="7">
        <f t="shared" si="3"/>
        <v>0</v>
      </c>
      <c r="O49" s="9"/>
      <c r="P49" s="6">
        <v>4205.34</v>
      </c>
      <c r="Q49" s="3"/>
      <c r="R49" s="7">
        <f t="shared" si="4"/>
        <v>0</v>
      </c>
      <c r="S49" s="3"/>
      <c r="T49" s="6"/>
      <c r="U49" s="3"/>
      <c r="V49" s="7">
        <f t="shared" si="5"/>
        <v>0</v>
      </c>
      <c r="W49" s="3"/>
      <c r="X49" s="6">
        <f t="shared" si="6"/>
        <v>4205.34</v>
      </c>
      <c r="Y49" s="3"/>
      <c r="Z49" s="7">
        <f t="shared" si="7"/>
        <v>0</v>
      </c>
    </row>
    <row r="50" spans="1:26" s="69" customFormat="1" ht="15" customHeight="1" outlineLevel="1" collapsed="1" x14ac:dyDescent="0.3">
      <c r="A50" s="20"/>
      <c r="B50" s="11" t="str">
        <f>CONCATENATE("     ","Telephone/Data Lines                              ")</f>
        <v xml:space="preserve">     Telephone/Data Lines                              </v>
      </c>
      <c r="C50" s="11"/>
      <c r="D50" s="2">
        <f>SUM(OSRRefD22_6x_0)</f>
        <v>4</v>
      </c>
      <c r="E50" s="2"/>
      <c r="F50" s="5">
        <f t="shared" si="0"/>
        <v>0</v>
      </c>
      <c r="G50" s="2"/>
      <c r="H50" s="2">
        <f>SUM(OSRRefH22_6x_0)</f>
        <v>87</v>
      </c>
      <c r="I50" s="2"/>
      <c r="J50" s="5">
        <f t="shared" si="1"/>
        <v>0</v>
      </c>
      <c r="K50" s="2"/>
      <c r="L50" s="2">
        <f t="shared" si="2"/>
        <v>-83</v>
      </c>
      <c r="M50" s="2"/>
      <c r="N50" s="5">
        <f t="shared" si="3"/>
        <v>-0.95402298850574707</v>
      </c>
      <c r="O50" s="11"/>
      <c r="P50" s="2">
        <f>SUM(OSRRefP22_6x_0)</f>
        <v>887</v>
      </c>
      <c r="Q50" s="2"/>
      <c r="R50" s="5">
        <f t="shared" si="4"/>
        <v>0</v>
      </c>
      <c r="S50" s="2"/>
      <c r="T50" s="2">
        <f>SUM(OSRRefT22_6x_0)</f>
        <v>1000</v>
      </c>
      <c r="U50" s="2"/>
      <c r="V50" s="5">
        <f t="shared" si="5"/>
        <v>0</v>
      </c>
      <c r="W50" s="2"/>
      <c r="X50" s="2">
        <f t="shared" si="6"/>
        <v>-113</v>
      </c>
      <c r="Y50" s="2"/>
      <c r="Z50" s="5">
        <f t="shared" si="7"/>
        <v>-0.113</v>
      </c>
    </row>
    <row r="51" spans="1:26" s="70" customFormat="1" ht="15" hidden="1" customHeight="1" outlineLevel="2" x14ac:dyDescent="0.3">
      <c r="A51" s="21"/>
      <c r="B51" s="9" t="str">
        <f>CONCATENATE("          ","6303"," - ","DATA PHONE LINES")</f>
        <v xml:space="preserve">          6303 - DATA PHONE LINES</v>
      </c>
      <c r="C51" s="9"/>
      <c r="D51" s="6"/>
      <c r="E51" s="3"/>
      <c r="F51" s="7">
        <f t="shared" si="0"/>
        <v>0</v>
      </c>
      <c r="G51" s="3"/>
      <c r="H51" s="6">
        <v>62</v>
      </c>
      <c r="I51" s="3"/>
      <c r="J51" s="7">
        <f t="shared" si="1"/>
        <v>0</v>
      </c>
      <c r="K51" s="3"/>
      <c r="L51" s="6">
        <f t="shared" si="2"/>
        <v>-62</v>
      </c>
      <c r="M51" s="3"/>
      <c r="N51" s="7">
        <f t="shared" si="3"/>
        <v>-1</v>
      </c>
      <c r="O51" s="9"/>
      <c r="P51" s="6"/>
      <c r="Q51" s="3"/>
      <c r="R51" s="7">
        <f t="shared" si="4"/>
        <v>0</v>
      </c>
      <c r="S51" s="3"/>
      <c r="T51" s="6">
        <v>700</v>
      </c>
      <c r="U51" s="3"/>
      <c r="V51" s="7">
        <f t="shared" si="5"/>
        <v>0</v>
      </c>
      <c r="W51" s="3"/>
      <c r="X51" s="6">
        <f t="shared" si="6"/>
        <v>-700</v>
      </c>
      <c r="Y51" s="3"/>
      <c r="Z51" s="7">
        <f t="shared" si="7"/>
        <v>-1</v>
      </c>
    </row>
    <row r="52" spans="1:26" s="70" customFormat="1" ht="15" hidden="1" customHeight="1" outlineLevel="2" x14ac:dyDescent="0.3">
      <c r="A52" s="21"/>
      <c r="B52" s="9" t="str">
        <f>CONCATENATE("          ","6309"," - ","TELEPHONE")</f>
        <v xml:space="preserve">          6309 - TELEPHONE</v>
      </c>
      <c r="C52" s="9"/>
      <c r="D52" s="6">
        <v>4</v>
      </c>
      <c r="E52" s="3"/>
      <c r="F52" s="7">
        <f t="shared" si="0"/>
        <v>0</v>
      </c>
      <c r="G52" s="3"/>
      <c r="H52" s="6">
        <v>25</v>
      </c>
      <c r="I52" s="3"/>
      <c r="J52" s="7">
        <f t="shared" si="1"/>
        <v>0</v>
      </c>
      <c r="K52" s="3"/>
      <c r="L52" s="6">
        <f t="shared" si="2"/>
        <v>-21</v>
      </c>
      <c r="M52" s="3"/>
      <c r="N52" s="7">
        <f t="shared" si="3"/>
        <v>-0.84</v>
      </c>
      <c r="O52" s="9"/>
      <c r="P52" s="6">
        <v>887</v>
      </c>
      <c r="Q52" s="3"/>
      <c r="R52" s="7">
        <f t="shared" si="4"/>
        <v>0</v>
      </c>
      <c r="S52" s="3"/>
      <c r="T52" s="6">
        <v>300</v>
      </c>
      <c r="U52" s="3"/>
      <c r="V52" s="7">
        <f t="shared" si="5"/>
        <v>0</v>
      </c>
      <c r="W52" s="3"/>
      <c r="X52" s="6">
        <f t="shared" si="6"/>
        <v>587</v>
      </c>
      <c r="Y52" s="3"/>
      <c r="Z52" s="7">
        <f t="shared" si="7"/>
        <v>1.9566666666666668</v>
      </c>
    </row>
    <row r="53" spans="1:26" s="69" customFormat="1" ht="15" customHeight="1" outlineLevel="1" collapsed="1" x14ac:dyDescent="0.3">
      <c r="A53" s="20"/>
      <c r="B53" s="11" t="str">
        <f>CONCATENATE("     ","Training                                          ")</f>
        <v xml:space="preserve">     Training                                          </v>
      </c>
      <c r="C53" s="11"/>
      <c r="D53" s="2">
        <f>SUM(OSRRefD22_7x_0)</f>
        <v>244.23</v>
      </c>
      <c r="E53" s="2"/>
      <c r="F53" s="5">
        <f t="shared" si="0"/>
        <v>0</v>
      </c>
      <c r="G53" s="2"/>
      <c r="H53" s="2">
        <f>SUM(OSRRefH22_7x_0)</f>
        <v>300</v>
      </c>
      <c r="I53" s="2"/>
      <c r="J53" s="5">
        <f t="shared" si="1"/>
        <v>0</v>
      </c>
      <c r="K53" s="2"/>
      <c r="L53" s="2">
        <f t="shared" si="2"/>
        <v>-55.77000000000001</v>
      </c>
      <c r="M53" s="2"/>
      <c r="N53" s="5">
        <f t="shared" si="3"/>
        <v>-0.18590000000000004</v>
      </c>
      <c r="O53" s="11"/>
      <c r="P53" s="2">
        <f>SUM(OSRRefP22_7x_0)</f>
        <v>15285.79</v>
      </c>
      <c r="Q53" s="2"/>
      <c r="R53" s="5">
        <f t="shared" si="4"/>
        <v>0</v>
      </c>
      <c r="S53" s="2"/>
      <c r="T53" s="2">
        <f>SUM(OSRRefT22_7x_0)</f>
        <v>3600</v>
      </c>
      <c r="U53" s="2"/>
      <c r="V53" s="5">
        <f t="shared" si="5"/>
        <v>0</v>
      </c>
      <c r="W53" s="2"/>
      <c r="X53" s="2">
        <f t="shared" si="6"/>
        <v>11685.79</v>
      </c>
      <c r="Y53" s="2"/>
      <c r="Z53" s="5">
        <f t="shared" si="7"/>
        <v>3.2460527777777779</v>
      </c>
    </row>
    <row r="54" spans="1:26" s="70" customFormat="1" ht="15" hidden="1" customHeight="1" outlineLevel="2" x14ac:dyDescent="0.3">
      <c r="A54" s="21"/>
      <c r="B54" s="9" t="str">
        <f>CONCATENATE("          ","6376"," - ","TRAINING")</f>
        <v xml:space="preserve">          6376 - TRAINING</v>
      </c>
      <c r="C54" s="9"/>
      <c r="D54" s="6">
        <v>244.23</v>
      </c>
      <c r="E54" s="3"/>
      <c r="F54" s="7">
        <f t="shared" si="0"/>
        <v>0</v>
      </c>
      <c r="G54" s="3"/>
      <c r="H54" s="6">
        <v>300</v>
      </c>
      <c r="I54" s="3"/>
      <c r="J54" s="7">
        <f t="shared" si="1"/>
        <v>0</v>
      </c>
      <c r="K54" s="3"/>
      <c r="L54" s="6">
        <f t="shared" si="2"/>
        <v>-55.77000000000001</v>
      </c>
      <c r="M54" s="3"/>
      <c r="N54" s="7">
        <f t="shared" si="3"/>
        <v>-0.18590000000000004</v>
      </c>
      <c r="O54" s="9"/>
      <c r="P54" s="6">
        <v>15285.79</v>
      </c>
      <c r="Q54" s="3"/>
      <c r="R54" s="7">
        <f t="shared" si="4"/>
        <v>0</v>
      </c>
      <c r="S54" s="3"/>
      <c r="T54" s="6">
        <v>3600</v>
      </c>
      <c r="U54" s="3"/>
      <c r="V54" s="7">
        <f t="shared" si="5"/>
        <v>0</v>
      </c>
      <c r="W54" s="3"/>
      <c r="X54" s="6">
        <f t="shared" si="6"/>
        <v>11685.79</v>
      </c>
      <c r="Y54" s="3"/>
      <c r="Z54" s="7">
        <f t="shared" si="7"/>
        <v>3.2460527777777779</v>
      </c>
    </row>
    <row r="55" spans="1:26" s="69" customFormat="1" ht="15" customHeight="1" outlineLevel="1" collapsed="1" x14ac:dyDescent="0.3">
      <c r="A55" s="20"/>
      <c r="B55" s="11" t="str">
        <f>CONCATENATE("     ","Travel                                            ")</f>
        <v xml:space="preserve">     Travel                                            </v>
      </c>
      <c r="C55" s="11"/>
      <c r="D55" s="2">
        <f>SUM(OSRRefD22_8x_0)</f>
        <v>0</v>
      </c>
      <c r="E55" s="2"/>
      <c r="F55" s="5">
        <f t="shared" si="0"/>
        <v>0</v>
      </c>
      <c r="G55" s="2"/>
      <c r="H55" s="2">
        <f>SUM(OSRRefH22_8x_0)</f>
        <v>0</v>
      </c>
      <c r="I55" s="2"/>
      <c r="J55" s="5">
        <f t="shared" si="1"/>
        <v>0</v>
      </c>
      <c r="K55" s="2"/>
      <c r="L55" s="2">
        <f t="shared" si="2"/>
        <v>0</v>
      </c>
      <c r="M55" s="2"/>
      <c r="N55" s="5">
        <f t="shared" si="3"/>
        <v>0</v>
      </c>
      <c r="O55" s="11"/>
      <c r="P55" s="2">
        <f>SUM(OSRRefP22_8x_0)</f>
        <v>610</v>
      </c>
      <c r="Q55" s="2"/>
      <c r="R55" s="5">
        <f t="shared" si="4"/>
        <v>0</v>
      </c>
      <c r="S55" s="2"/>
      <c r="T55" s="2">
        <f>SUM(OSRRefT22_8x_0)</f>
        <v>0</v>
      </c>
      <c r="U55" s="2"/>
      <c r="V55" s="5">
        <f t="shared" si="5"/>
        <v>0</v>
      </c>
      <c r="W55" s="2"/>
      <c r="X55" s="2">
        <f t="shared" si="6"/>
        <v>610</v>
      </c>
      <c r="Y55" s="2"/>
      <c r="Z55" s="5">
        <f t="shared" si="7"/>
        <v>0</v>
      </c>
    </row>
    <row r="56" spans="1:26" s="70" customFormat="1" ht="15" hidden="1" customHeight="1" outlineLevel="2" x14ac:dyDescent="0.3">
      <c r="A56" s="21"/>
      <c r="B56" s="9" t="str">
        <f>CONCATENATE("          ","6292"," - ","TRAVEL/CONFERENCE")</f>
        <v xml:space="preserve">          6292 - TRAVEL/CONFERENCE</v>
      </c>
      <c r="C56" s="9"/>
      <c r="D56" s="6"/>
      <c r="E56" s="3"/>
      <c r="F56" s="7">
        <f t="shared" si="0"/>
        <v>0</v>
      </c>
      <c r="G56" s="3"/>
      <c r="H56" s="6"/>
      <c r="I56" s="3"/>
      <c r="J56" s="7">
        <f t="shared" si="1"/>
        <v>0</v>
      </c>
      <c r="K56" s="3"/>
      <c r="L56" s="6">
        <f t="shared" si="2"/>
        <v>0</v>
      </c>
      <c r="M56" s="3"/>
      <c r="N56" s="7">
        <f t="shared" si="3"/>
        <v>0</v>
      </c>
      <c r="O56" s="9"/>
      <c r="P56" s="6">
        <v>610</v>
      </c>
      <c r="Q56" s="3"/>
      <c r="R56" s="7">
        <f t="shared" si="4"/>
        <v>0</v>
      </c>
      <c r="S56" s="3"/>
      <c r="T56" s="6"/>
      <c r="U56" s="3"/>
      <c r="V56" s="7">
        <f t="shared" si="5"/>
        <v>0</v>
      </c>
      <c r="W56" s="3"/>
      <c r="X56" s="6">
        <f t="shared" si="6"/>
        <v>610</v>
      </c>
      <c r="Y56" s="3"/>
      <c r="Z56" s="7">
        <f t="shared" si="7"/>
        <v>0</v>
      </c>
    </row>
    <row r="57" spans="1:26" s="65" customFormat="1" ht="15" customHeight="1" x14ac:dyDescent="0.3">
      <c r="A57" s="36"/>
      <c r="B57" s="36"/>
      <c r="C57" s="36"/>
      <c r="D57" s="2"/>
      <c r="E57" s="2"/>
      <c r="F57" s="5"/>
      <c r="G57" s="2"/>
      <c r="H57" s="2"/>
      <c r="I57" s="2"/>
      <c r="J57" s="5"/>
      <c r="K57" s="2"/>
      <c r="L57" s="2"/>
      <c r="M57" s="2"/>
      <c r="N57" s="5"/>
      <c r="O57" s="36"/>
      <c r="P57" s="2"/>
      <c r="Q57" s="2"/>
      <c r="R57" s="5"/>
      <c r="S57" s="2"/>
      <c r="T57" s="2"/>
      <c r="U57" s="2"/>
      <c r="V57" s="5"/>
      <c r="W57" s="2"/>
      <c r="X57" s="2"/>
      <c r="Y57" s="2"/>
      <c r="Z57" s="5"/>
    </row>
    <row r="58" spans="1:26" s="63" customFormat="1" ht="15" customHeight="1" x14ac:dyDescent="0.3">
      <c r="A58" s="13"/>
      <c r="B58" s="28" t="s">
        <v>291</v>
      </c>
      <c r="C58" s="13"/>
      <c r="D58" s="8">
        <f>SUM(0)</f>
        <v>0</v>
      </c>
      <c r="E58" s="8"/>
      <c r="F58" s="14">
        <f>IF(D$12=0,0,D58/D$12)</f>
        <v>0</v>
      </c>
      <c r="G58" s="8"/>
      <c r="H58" s="8">
        <f>SUM(0)</f>
        <v>0</v>
      </c>
      <c r="I58" s="8"/>
      <c r="J58" s="14">
        <f>IF(H$12=0,0,H58/H$12)</f>
        <v>0</v>
      </c>
      <c r="K58" s="8"/>
      <c r="L58" s="8">
        <f>+D58-H58</f>
        <v>0</v>
      </c>
      <c r="M58" s="8"/>
      <c r="N58" s="14">
        <f>IF(H58=0,0,L58/H58)</f>
        <v>0</v>
      </c>
      <c r="O58" s="13"/>
      <c r="P58" s="8">
        <f>SUM(0)</f>
        <v>0</v>
      </c>
      <c r="Q58" s="8"/>
      <c r="R58" s="14">
        <f>IF(P$12=0,0,P58/P$12)</f>
        <v>0</v>
      </c>
      <c r="S58" s="8"/>
      <c r="T58" s="8">
        <f>SUM(0)</f>
        <v>0</v>
      </c>
      <c r="U58" s="8"/>
      <c r="V58" s="14">
        <f>IF(T$12=0,0,T58/T$12)</f>
        <v>0</v>
      </c>
      <c r="W58" s="8"/>
      <c r="X58" s="8">
        <f>+P58-T58</f>
        <v>0</v>
      </c>
      <c r="Y58" s="8"/>
      <c r="Z58" s="14">
        <f>IF(T58=0,0,X58/T58)</f>
        <v>0</v>
      </c>
    </row>
    <row r="59" spans="1:26" ht="15" customHeight="1" x14ac:dyDescent="0.3">
      <c r="A59" s="12"/>
      <c r="B59" s="13"/>
      <c r="C59" s="13"/>
      <c r="D59" s="4"/>
      <c r="E59" s="4"/>
      <c r="F59" s="10"/>
      <c r="G59" s="4"/>
      <c r="H59" s="4"/>
      <c r="I59" s="4"/>
      <c r="J59" s="10"/>
      <c r="K59" s="4"/>
      <c r="L59" s="4"/>
      <c r="M59" s="4"/>
      <c r="N59" s="10"/>
      <c r="O59" s="13"/>
      <c r="P59" s="4"/>
      <c r="Q59" s="4"/>
      <c r="R59" s="10"/>
      <c r="S59" s="4"/>
      <c r="T59" s="4"/>
      <c r="U59" s="4"/>
      <c r="V59" s="10"/>
      <c r="W59" s="4"/>
      <c r="X59" s="4"/>
      <c r="Y59" s="4"/>
      <c r="Z59" s="10"/>
    </row>
    <row r="60" spans="1:26" s="63" customFormat="1" ht="15" customHeight="1" x14ac:dyDescent="0.3">
      <c r="A60" s="13"/>
      <c r="B60" s="27" t="s">
        <v>292</v>
      </c>
      <c r="C60" s="27"/>
      <c r="D60" s="23">
        <f>+D16-D18+D58</f>
        <v>-15087.93</v>
      </c>
      <c r="E60" s="15"/>
      <c r="F60" s="22">
        <f>IF(D$12=0,0,D60/D$12)</f>
        <v>0</v>
      </c>
      <c r="G60" s="15"/>
      <c r="H60" s="23">
        <f>+H16-H18+H58</f>
        <v>-17497.431652200001</v>
      </c>
      <c r="I60" s="15"/>
      <c r="J60" s="22">
        <f>IF(H$12=0,0,H60/H$12)</f>
        <v>0</v>
      </c>
      <c r="K60" s="17"/>
      <c r="L60" s="23">
        <f>+D60-H60</f>
        <v>2409.5016522000005</v>
      </c>
      <c r="M60" s="17"/>
      <c r="N60" s="22">
        <f>IF(H60=0,0,L60/H60)</f>
        <v>-0.1377060188085974</v>
      </c>
      <c r="O60" s="28"/>
      <c r="P60" s="23">
        <f>+P16-P18+P58</f>
        <v>-245668.56000000003</v>
      </c>
      <c r="Q60" s="15"/>
      <c r="R60" s="22">
        <f>IF(P$12=0,0,P60/P$12)</f>
        <v>0</v>
      </c>
      <c r="S60" s="15"/>
      <c r="T60" s="23">
        <f>+T16-T18+T58</f>
        <v>-218964.02004929999</v>
      </c>
      <c r="U60" s="15"/>
      <c r="V60" s="22">
        <f>IF(T$12=0,0,T60/T$12)</f>
        <v>0</v>
      </c>
      <c r="W60" s="17"/>
      <c r="X60" s="23">
        <f>+P60-T60</f>
        <v>-26704.53995070004</v>
      </c>
      <c r="Y60" s="17"/>
      <c r="Z60" s="22">
        <f>IF(T60=0,0,X60/T60)</f>
        <v>0.12195857540744587</v>
      </c>
    </row>
    <row r="61" spans="1:26" ht="15" customHeight="1" x14ac:dyDescent="0.3">
      <c r="A61" s="12"/>
      <c r="B61" s="13"/>
      <c r="C61" s="12"/>
      <c r="D61" s="4"/>
      <c r="E61" s="4"/>
      <c r="F61" s="10"/>
      <c r="G61" s="4"/>
      <c r="H61" s="4"/>
      <c r="I61" s="4"/>
      <c r="J61" s="10"/>
      <c r="K61" s="4"/>
      <c r="L61" s="4"/>
      <c r="M61" s="4"/>
      <c r="N61" s="10"/>
      <c r="P61" s="4"/>
      <c r="Q61" s="4"/>
      <c r="R61" s="10"/>
      <c r="S61" s="4"/>
      <c r="T61" s="4"/>
      <c r="U61" s="4"/>
      <c r="V61" s="10"/>
      <c r="W61" s="4"/>
      <c r="X61" s="4"/>
      <c r="Y61" s="4"/>
      <c r="Z61" s="10"/>
    </row>
    <row r="62" spans="1:26" s="63" customFormat="1" ht="15" customHeight="1" x14ac:dyDescent="0.3">
      <c r="A62" s="49"/>
      <c r="B62" s="13" t="s">
        <v>293</v>
      </c>
      <c r="C62" s="13"/>
      <c r="D62" s="8"/>
      <c r="E62" s="8"/>
      <c r="F62" s="14">
        <f>IF(D$12=0,0,D62/D$12)</f>
        <v>0</v>
      </c>
      <c r="G62" s="8"/>
      <c r="H62" s="8"/>
      <c r="I62" s="8"/>
      <c r="J62" s="14">
        <f>IF(H$12=0,0,H62/H$12)</f>
        <v>0</v>
      </c>
      <c r="K62" s="8"/>
      <c r="L62" s="8">
        <f>+D62-H62</f>
        <v>0</v>
      </c>
      <c r="M62" s="8"/>
      <c r="N62" s="14">
        <f>IF(H62=0,0,L62/H62)</f>
        <v>0</v>
      </c>
      <c r="O62" s="13"/>
      <c r="P62" s="8"/>
      <c r="Q62" s="8"/>
      <c r="R62" s="14">
        <f>IF(P$12=0,0,P62/P$12)</f>
        <v>0</v>
      </c>
      <c r="S62" s="8"/>
      <c r="T62" s="8"/>
      <c r="U62" s="8"/>
      <c r="V62" s="14">
        <f>IF(T$12=0,0,T62/T$12)</f>
        <v>0</v>
      </c>
      <c r="W62" s="8"/>
      <c r="X62" s="8">
        <f>+P62-T62</f>
        <v>0</v>
      </c>
      <c r="Y62" s="8"/>
      <c r="Z62" s="14">
        <f>IF(T62=0,0,X62/T62)</f>
        <v>0</v>
      </c>
    </row>
    <row r="63" spans="1:26" ht="15" customHeight="1" x14ac:dyDescent="0.3">
      <c r="A63" s="12"/>
      <c r="B63" s="13"/>
      <c r="C63" s="13"/>
      <c r="D63" s="4"/>
      <c r="E63" s="4"/>
      <c r="F63" s="10"/>
      <c r="G63" s="4"/>
      <c r="H63" s="4"/>
      <c r="I63" s="4"/>
      <c r="J63" s="10"/>
      <c r="K63" s="4"/>
      <c r="L63" s="4"/>
      <c r="M63" s="4"/>
      <c r="N63" s="10"/>
      <c r="O63" s="13"/>
      <c r="P63" s="4"/>
      <c r="Q63" s="4"/>
      <c r="R63" s="10"/>
      <c r="S63" s="4"/>
      <c r="T63" s="4"/>
      <c r="U63" s="4"/>
      <c r="V63" s="10"/>
      <c r="W63" s="4"/>
      <c r="X63" s="4"/>
      <c r="Y63" s="4"/>
      <c r="Z63" s="10"/>
    </row>
    <row r="64" spans="1:26" s="63" customFormat="1" ht="15" customHeight="1" x14ac:dyDescent="0.3">
      <c r="A64" s="13"/>
      <c r="B64" s="27" t="s">
        <v>294</v>
      </c>
      <c r="C64" s="27"/>
      <c r="D64" s="30">
        <f>+D60-D62</f>
        <v>-15087.93</v>
      </c>
      <c r="E64" s="15"/>
      <c r="F64" s="35">
        <f>IF(D$12=0,0,D64/D$12)</f>
        <v>0</v>
      </c>
      <c r="G64" s="15"/>
      <c r="H64" s="30">
        <f>+H60-H62</f>
        <v>-17497.431652200001</v>
      </c>
      <c r="I64" s="15"/>
      <c r="J64" s="35">
        <f>IF(H$12=0,0,H64/H$12)</f>
        <v>0</v>
      </c>
      <c r="K64" s="17"/>
      <c r="L64" s="30">
        <f>D64-H64</f>
        <v>2409.5016522000005</v>
      </c>
      <c r="M64" s="17"/>
      <c r="N64" s="35">
        <f>IF(H64=0,0,L64/H64)</f>
        <v>-0.1377060188085974</v>
      </c>
      <c r="O64" s="28"/>
      <c r="P64" s="30">
        <f>+P60-P62</f>
        <v>-245668.56000000003</v>
      </c>
      <c r="Q64" s="15"/>
      <c r="R64" s="35">
        <f>IF(P$12=0,0,P64/P$12)</f>
        <v>0</v>
      </c>
      <c r="S64" s="15"/>
      <c r="T64" s="30">
        <f>+T60-T62</f>
        <v>-218964.02004929999</v>
      </c>
      <c r="U64" s="15"/>
      <c r="V64" s="35">
        <f>IF(T$12=0,0,T64/T$12)</f>
        <v>0</v>
      </c>
      <c r="W64" s="17"/>
      <c r="X64" s="30">
        <f>P64-T64</f>
        <v>-26704.53995070004</v>
      </c>
      <c r="Y64" s="17"/>
      <c r="Z64" s="35">
        <f>IF(T64=0,0,X64/T64)</f>
        <v>0.12195857540744587</v>
      </c>
    </row>
    <row r="65" spans="1:26" ht="15" customHeight="1" x14ac:dyDescent="0.3">
      <c r="A65" s="12"/>
      <c r="B65" s="12"/>
      <c r="C65" s="12"/>
      <c r="D65" s="4"/>
      <c r="E65" s="4"/>
      <c r="F65" s="10"/>
      <c r="G65" s="4"/>
      <c r="H65" s="4"/>
      <c r="I65" s="4"/>
      <c r="J65" s="10"/>
      <c r="K65" s="4"/>
      <c r="L65" s="4"/>
      <c r="M65" s="4"/>
      <c r="N65" s="10"/>
      <c r="P65" s="4"/>
      <c r="Q65" s="4"/>
      <c r="R65" s="10"/>
      <c r="S65" s="4"/>
      <c r="T65" s="4"/>
      <c r="U65" s="4"/>
      <c r="V65" s="10"/>
      <c r="W65" s="4"/>
      <c r="X65" s="4"/>
      <c r="Y65" s="4"/>
      <c r="Z65" s="10"/>
    </row>
    <row r="66" spans="1:26" ht="15" customHeight="1" x14ac:dyDescent="0.3">
      <c r="A66" s="12"/>
      <c r="B66" s="12"/>
      <c r="C66" s="12"/>
      <c r="D66" s="4"/>
      <c r="E66" s="4"/>
      <c r="F66" s="10"/>
      <c r="G66" s="4"/>
      <c r="H66" s="4"/>
      <c r="I66" s="4"/>
      <c r="J66" s="10"/>
      <c r="K66" s="4"/>
      <c r="L66" s="4"/>
      <c r="M66" s="4"/>
      <c r="N66" s="10"/>
      <c r="P66" s="4"/>
      <c r="Q66" s="4"/>
      <c r="R66" s="10"/>
      <c r="S66" s="4"/>
      <c r="T66" s="4"/>
      <c r="U66" s="4"/>
      <c r="V66" s="10"/>
      <c r="W66" s="4"/>
      <c r="X66" s="4"/>
      <c r="Y66" s="4"/>
      <c r="Z66" s="10"/>
    </row>
    <row r="67" spans="1:26" s="63" customFormat="1" ht="15" customHeight="1" x14ac:dyDescent="0.3">
      <c r="A67" s="13"/>
      <c r="B67" s="27" t="s">
        <v>297</v>
      </c>
      <c r="C67" s="27"/>
      <c r="D67" s="33">
        <f>SUM(D64:D66)</f>
        <v>-15087.93</v>
      </c>
      <c r="E67" s="15"/>
      <c r="F67" s="31">
        <f>IF(D$12=0,0,D67/D$12)</f>
        <v>0</v>
      </c>
      <c r="G67" s="15"/>
      <c r="H67" s="33">
        <f>SUM(H64:H66)</f>
        <v>-17497.431652200001</v>
      </c>
      <c r="I67" s="15"/>
      <c r="J67" s="31">
        <f>IF(H$12=0,0,H67/H$12)</f>
        <v>0</v>
      </c>
      <c r="K67" s="17"/>
      <c r="L67" s="33">
        <f>+D67-H67</f>
        <v>2409.5016522000005</v>
      </c>
      <c r="M67" s="17"/>
      <c r="N67" s="31">
        <f>IF(H67=0,0,L67/H67)</f>
        <v>-0.1377060188085974</v>
      </c>
      <c r="O67" s="28"/>
      <c r="P67" s="33">
        <f>SUM(P64:P66)</f>
        <v>-245668.56000000003</v>
      </c>
      <c r="Q67" s="15"/>
      <c r="R67" s="31">
        <f>IF(P$12=0,0,P67/P$12)</f>
        <v>0</v>
      </c>
      <c r="S67" s="15"/>
      <c r="T67" s="33">
        <f>SUM(T64:T66)</f>
        <v>-218964.02004929999</v>
      </c>
      <c r="U67" s="15"/>
      <c r="V67" s="31">
        <f>IF(T$12=0,0,T67/T$12)</f>
        <v>0</v>
      </c>
      <c r="W67" s="17"/>
      <c r="X67" s="33">
        <f>+P67-T67</f>
        <v>-26704.53995070004</v>
      </c>
      <c r="Y67" s="17"/>
      <c r="Z67" s="31">
        <f>IF(T67=0,0,X67/T67)</f>
        <v>0.12195857540744587</v>
      </c>
    </row>
    <row r="68" spans="1:26" ht="15" customHeight="1" x14ac:dyDescent="0.3">
      <c r="A68" s="12"/>
      <c r="C68" s="12"/>
      <c r="D68" s="19"/>
      <c r="E68" s="19"/>
      <c r="G68" s="19"/>
      <c r="H68" s="19"/>
      <c r="I68" s="19"/>
      <c r="J68" s="41"/>
      <c r="K68" s="19"/>
      <c r="L68" s="19"/>
      <c r="M68" s="19"/>
      <c r="P68" s="19"/>
      <c r="Q68" s="19"/>
      <c r="R68" s="41"/>
      <c r="S68" s="19"/>
      <c r="T68" s="19"/>
      <c r="U68" s="19"/>
      <c r="V68" s="41"/>
      <c r="W68" s="19"/>
      <c r="X68" s="19"/>
    </row>
    <row r="69" spans="1:26" ht="15" customHeight="1" x14ac:dyDescent="0.3">
      <c r="A69" s="12"/>
      <c r="B69" s="50">
        <v>44767.799547766204</v>
      </c>
      <c r="D69" s="19"/>
      <c r="E69" s="19"/>
      <c r="G69" s="19"/>
      <c r="H69" s="19"/>
      <c r="I69" s="19"/>
      <c r="J69" s="41"/>
      <c r="K69" s="19"/>
      <c r="L69" s="19"/>
      <c r="M69" s="19"/>
      <c r="P69" s="19"/>
      <c r="Q69" s="19"/>
      <c r="R69" s="41"/>
      <c r="S69" s="19"/>
      <c r="T69" s="19"/>
      <c r="U69" s="19"/>
      <c r="V69" s="41"/>
      <c r="W69" s="19"/>
      <c r="X69" s="19"/>
    </row>
    <row r="70" spans="1:26" ht="15" customHeight="1" x14ac:dyDescent="0.3">
      <c r="A70" s="12"/>
      <c r="B70" s="57" t="s">
        <v>298</v>
      </c>
      <c r="D70" s="19"/>
      <c r="E70" s="19"/>
      <c r="G70" s="19"/>
      <c r="H70" s="19"/>
      <c r="I70" s="19"/>
      <c r="J70" s="41"/>
      <c r="K70" s="19"/>
      <c r="L70" s="19"/>
      <c r="M70" s="19"/>
      <c r="P70" s="19"/>
      <c r="Q70" s="19"/>
      <c r="R70" s="41"/>
      <c r="S70" s="19"/>
      <c r="T70" s="19"/>
      <c r="U70" s="19"/>
      <c r="V70" s="41"/>
      <c r="W70" s="19"/>
      <c r="X70" s="19"/>
    </row>
    <row r="71" spans="1:26" ht="15" customHeight="1" x14ac:dyDescent="0.3">
      <c r="A71" s="12"/>
      <c r="B71" s="51"/>
      <c r="D71" s="19"/>
      <c r="E71" s="19"/>
      <c r="G71" s="19"/>
      <c r="H71" s="19"/>
      <c r="I71" s="19"/>
      <c r="J71" s="41"/>
      <c r="K71" s="19"/>
      <c r="L71" s="19"/>
      <c r="M71" s="19"/>
      <c r="P71" s="19"/>
      <c r="Q71" s="19"/>
      <c r="R71" s="41"/>
      <c r="S71" s="19"/>
      <c r="T71" s="19"/>
      <c r="U71" s="19"/>
      <c r="V71" s="41"/>
      <c r="W71" s="19"/>
      <c r="X71" s="19"/>
    </row>
    <row r="72" spans="1:26" ht="15" customHeight="1" x14ac:dyDescent="0.3">
      <c r="D72" s="19"/>
      <c r="E72" s="19"/>
      <c r="G72" s="19"/>
      <c r="H72" s="19"/>
      <c r="I72" s="19"/>
      <c r="J72" s="41"/>
      <c r="K72" s="19"/>
      <c r="L72" s="19"/>
      <c r="M72" s="19"/>
      <c r="P72" s="19"/>
      <c r="Q72" s="19"/>
      <c r="R72" s="41"/>
      <c r="S72" s="19"/>
      <c r="T72" s="19"/>
      <c r="U72" s="19"/>
      <c r="V72" s="41"/>
      <c r="W72" s="19"/>
      <c r="X72" s="19"/>
    </row>
  </sheetData>
  <pageMargins left="0.25" right="0.25" top="0.75" bottom="0.75" header="0.3" footer="0.3"/>
  <pageSetup scale="55" orientation="landscape" r:id="rId1"/>
  <headerFooter>
    <oddHeader>&amp;RPre-Audit</oddHeader>
    <oddFooter>&amp;L&amp;C&amp;R</oddFooter>
    <evenHeader>&amp;L&amp;C&amp;R</evenHeader>
    <evenFooter>&amp;L&amp;C&amp;R</evenFooter>
  </headerFooter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A990D6-3642-4DCD-FF61-09F24CFB04AE}">
  <sheetPr>
    <tabColor rgb="FF92D050"/>
    <outlinePr summaryBelow="0" summaryRight="0"/>
  </sheetPr>
  <dimension ref="A2:Z103"/>
  <sheetViews>
    <sheetView showGridLines="0" defaultGridColor="0" colorId="8" zoomScale="80" workbookViewId="0">
      <pane xSplit="3" ySplit="10" topLeftCell="D11" activePane="bottomRight" state="frozen"/>
      <selection activeCell="D78" sqref="D78"/>
      <selection pane="topRight" activeCell="D78" sqref="D78"/>
      <selection pane="bottomLeft" activeCell="D78" sqref="D78"/>
      <selection pane="bottomRight" activeCell="D78" sqref="D78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3" t="s">
        <v>276</v>
      </c>
    </row>
    <row r="3" spans="1:26" ht="15" customHeight="1" x14ac:dyDescent="0.3">
      <c r="D3" s="53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3" t="str">
        <f>CONCATENATE("Period ",RIGHT(202212,2),", ",2022)</f>
        <v>Period 12,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5"/>
      <c r="D5" s="60">
        <v>44742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5"/>
      <c r="B6" s="47"/>
      <c r="C6" s="47"/>
      <c r="D6" s="25" t="str">
        <f>CONCATENATE("Department ","433"," - ","Hillside Dining Hall")</f>
        <v>Department 433 - Hillside Dining Hall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4"/>
    </row>
    <row r="8" spans="1:26" ht="15" customHeight="1" x14ac:dyDescent="0.3">
      <c r="B8" s="54"/>
    </row>
    <row r="9" spans="1:26" ht="15" customHeight="1" x14ac:dyDescent="0.3">
      <c r="B9" s="12"/>
      <c r="C9" s="12"/>
      <c r="D9" s="16" t="s">
        <v>279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280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ht="15" customHeight="1" x14ac:dyDescent="0.3">
      <c r="A10" s="13"/>
      <c r="B10" s="52"/>
      <c r="C10" s="13"/>
      <c r="D10" s="40" t="s">
        <v>281</v>
      </c>
      <c r="E10" s="32"/>
      <c r="F10" s="39" t="s">
        <v>282</v>
      </c>
      <c r="G10" s="32"/>
      <c r="H10" s="45" t="s">
        <v>283</v>
      </c>
      <c r="I10" s="32"/>
      <c r="J10" s="42" t="s">
        <v>284</v>
      </c>
      <c r="K10" s="13"/>
      <c r="L10" s="40" t="s">
        <v>285</v>
      </c>
      <c r="M10" s="13"/>
      <c r="N10" s="39" t="s">
        <v>286</v>
      </c>
      <c r="O10" s="13"/>
      <c r="P10" s="55" t="s">
        <v>281</v>
      </c>
      <c r="Q10" s="32"/>
      <c r="R10" s="39" t="s">
        <v>282</v>
      </c>
      <c r="S10" s="32"/>
      <c r="T10" s="45" t="s">
        <v>283</v>
      </c>
      <c r="U10" s="32"/>
      <c r="V10" s="42" t="s">
        <v>284</v>
      </c>
      <c r="W10" s="13"/>
      <c r="X10" s="40" t="s">
        <v>285</v>
      </c>
      <c r="Y10" s="13"/>
      <c r="Z10" s="39" t="s">
        <v>286</v>
      </c>
    </row>
    <row r="11" spans="1:26" ht="16.5" customHeight="1" x14ac:dyDescent="0.3">
      <c r="A11" s="12"/>
      <c r="B11" s="58"/>
      <c r="C11" s="12"/>
      <c r="D11" s="12"/>
      <c r="E11" s="12"/>
      <c r="F11" s="10"/>
      <c r="G11" s="12"/>
      <c r="H11" s="12"/>
      <c r="I11" s="12"/>
      <c r="J11" s="43"/>
      <c r="K11" s="12"/>
      <c r="L11" s="12"/>
      <c r="M11" s="12"/>
      <c r="N11" s="10"/>
      <c r="P11" s="12"/>
      <c r="Q11" s="12"/>
      <c r="R11" s="10"/>
      <c r="S11" s="12"/>
      <c r="T11" s="12"/>
      <c r="U11" s="12"/>
      <c r="V11" s="43"/>
      <c r="W11" s="12"/>
      <c r="X11" s="12"/>
      <c r="Y11" s="12"/>
      <c r="Z11" s="10"/>
    </row>
    <row r="12" spans="1:26" s="63" customFormat="1" ht="15" customHeight="1" collapsed="1" x14ac:dyDescent="0.3">
      <c r="A12" s="13"/>
      <c r="B12" s="28" t="s">
        <v>287</v>
      </c>
      <c r="C12" s="13"/>
      <c r="D12" s="8">
        <f>SUM(OSRRefD13x_0)</f>
        <v>165567.51</v>
      </c>
      <c r="E12" s="8"/>
      <c r="F12" s="14"/>
      <c r="G12" s="8"/>
      <c r="H12" s="8">
        <f>SUM(OSRRefH13x_0)</f>
        <v>0</v>
      </c>
      <c r="I12" s="8"/>
      <c r="J12" s="14"/>
      <c r="K12" s="8"/>
      <c r="L12" s="8">
        <f>+D12-H12</f>
        <v>165567.51</v>
      </c>
      <c r="M12" s="8"/>
      <c r="N12" s="14">
        <f>IF(H12=0,0,L12/H12)</f>
        <v>0</v>
      </c>
      <c r="O12" s="13"/>
      <c r="P12" s="8">
        <f>SUM(OSRRefP13x_0)</f>
        <v>4090806.06</v>
      </c>
      <c r="Q12" s="8"/>
      <c r="R12" s="14"/>
      <c r="S12" s="8"/>
      <c r="T12" s="8">
        <f>SUM(OSRRefT13x_0)</f>
        <v>3564000</v>
      </c>
      <c r="U12" s="8"/>
      <c r="V12" s="14"/>
      <c r="W12" s="8"/>
      <c r="X12" s="8">
        <f>+P12-T12</f>
        <v>526806.06000000006</v>
      </c>
      <c r="Y12" s="8"/>
      <c r="Z12" s="14">
        <f>IF(T12=0,0,X12/T12)</f>
        <v>0.14781314814814817</v>
      </c>
    </row>
    <row r="13" spans="1:26" s="70" customFormat="1" ht="15" hidden="1" customHeight="1" outlineLevel="1" x14ac:dyDescent="0.3">
      <c r="A13" s="48"/>
      <c r="B13" s="9" t="str">
        <f>CONCATENATE("          ","4053"," - ","TAXABLE SALES-FOOD")</f>
        <v xml:space="preserve">          4053 - TAXABLE SALES-FOOD</v>
      </c>
      <c r="C13" s="9"/>
      <c r="D13" s="3">
        <f>--1305.2</f>
        <v>1305.2</v>
      </c>
      <c r="E13" s="3"/>
      <c r="F13" s="26"/>
      <c r="G13" s="3"/>
      <c r="H13" s="3"/>
      <c r="I13" s="3"/>
      <c r="J13" s="26"/>
      <c r="K13" s="3"/>
      <c r="L13" s="3">
        <f>+D13-H13</f>
        <v>1305.2</v>
      </c>
      <c r="M13" s="3"/>
      <c r="N13" s="26">
        <f>IF(H13=0,0,L13/H13)</f>
        <v>0</v>
      </c>
      <c r="O13" s="9"/>
      <c r="P13" s="3">
        <f>--4282.95</f>
        <v>4282.95</v>
      </c>
      <c r="Q13" s="3"/>
      <c r="R13" s="26"/>
      <c r="S13" s="3"/>
      <c r="T13" s="3"/>
      <c r="U13" s="3"/>
      <c r="V13" s="26"/>
      <c r="W13" s="3"/>
      <c r="X13" s="3">
        <f>+P13-T13</f>
        <v>4282.95</v>
      </c>
      <c r="Y13" s="3"/>
      <c r="Z13" s="26">
        <f>IF(T13=0,0,X13/T13)</f>
        <v>0</v>
      </c>
    </row>
    <row r="14" spans="1:26" s="70" customFormat="1" ht="15" hidden="1" customHeight="1" outlineLevel="1" x14ac:dyDescent="0.3">
      <c r="A14" s="48"/>
      <c r="B14" s="9" t="str">
        <f>CONCATENATE("          ","4100"," - ","NON-TAXABLE SALES")</f>
        <v xml:space="preserve">          4100 - NON-TAXABLE SALES</v>
      </c>
      <c r="C14" s="9"/>
      <c r="D14" s="3">
        <f>0</f>
        <v>0</v>
      </c>
      <c r="E14" s="3"/>
      <c r="F14" s="26"/>
      <c r="G14" s="3"/>
      <c r="H14" s="3"/>
      <c r="I14" s="3"/>
      <c r="J14" s="26"/>
      <c r="K14" s="3"/>
      <c r="L14" s="3">
        <f>+D14-H14</f>
        <v>0</v>
      </c>
      <c r="M14" s="3"/>
      <c r="N14" s="26">
        <f>IF(H14=0,0,L14/H14)</f>
        <v>0</v>
      </c>
      <c r="O14" s="9"/>
      <c r="P14" s="3">
        <f>0</f>
        <v>0</v>
      </c>
      <c r="Q14" s="3"/>
      <c r="R14" s="26"/>
      <c r="S14" s="3"/>
      <c r="T14" s="3">
        <v>3564000</v>
      </c>
      <c r="U14" s="3"/>
      <c r="V14" s="26"/>
      <c r="W14" s="3"/>
      <c r="X14" s="3">
        <f>+P14-T14</f>
        <v>-3564000</v>
      </c>
      <c r="Y14" s="3"/>
      <c r="Z14" s="26">
        <f>IF(T14=0,0,X14/T14)</f>
        <v>-1</v>
      </c>
    </row>
    <row r="15" spans="1:26" s="70" customFormat="1" ht="15" hidden="1" customHeight="1" outlineLevel="1" x14ac:dyDescent="0.3">
      <c r="A15" s="48"/>
      <c r="B15" s="9" t="str">
        <f>CONCATENATE("          ","4151"," - ","NON-TAXABLE SALES-FOOD")</f>
        <v xml:space="preserve">          4151 - NON-TAXABLE SALES-FOOD</v>
      </c>
      <c r="C15" s="9"/>
      <c r="D15" s="3">
        <f>--162227.45</f>
        <v>162227.45000000001</v>
      </c>
      <c r="E15" s="3"/>
      <c r="F15" s="26"/>
      <c r="G15" s="3"/>
      <c r="H15" s="3"/>
      <c r="I15" s="3"/>
      <c r="J15" s="26"/>
      <c r="K15" s="3"/>
      <c r="L15" s="3">
        <f>+D15-H15</f>
        <v>162227.45000000001</v>
      </c>
      <c r="M15" s="3"/>
      <c r="N15" s="26">
        <f>IF(H15=0,0,L15/H15)</f>
        <v>0</v>
      </c>
      <c r="O15" s="9"/>
      <c r="P15" s="3">
        <f>--4004330.46</f>
        <v>4004330.46</v>
      </c>
      <c r="Q15" s="3"/>
      <c r="R15" s="26"/>
      <c r="S15" s="3"/>
      <c r="T15" s="3"/>
      <c r="U15" s="3"/>
      <c r="V15" s="26"/>
      <c r="W15" s="3"/>
      <c r="X15" s="3">
        <f>+P15-T15</f>
        <v>4004330.46</v>
      </c>
      <c r="Y15" s="3"/>
      <c r="Z15" s="26">
        <f>IF(T15=0,0,X15/T15)</f>
        <v>0</v>
      </c>
    </row>
    <row r="16" spans="1:26" s="70" customFormat="1" ht="15" hidden="1" customHeight="1" outlineLevel="1" x14ac:dyDescent="0.3">
      <c r="A16" s="48"/>
      <c r="B16" s="9" t="str">
        <f>CONCATENATE("          ","4153"," - ","NON-TAXABLE SALES-FOOD")</f>
        <v xml:space="preserve">          4153 - NON-TAXABLE SALES-FOOD</v>
      </c>
      <c r="C16" s="9"/>
      <c r="D16" s="3">
        <f>--2034.86</f>
        <v>2034.86</v>
      </c>
      <c r="E16" s="3"/>
      <c r="F16" s="26"/>
      <c r="G16" s="3"/>
      <c r="H16" s="3"/>
      <c r="I16" s="3"/>
      <c r="J16" s="26"/>
      <c r="K16" s="3"/>
      <c r="L16" s="3">
        <f>+D16-H16</f>
        <v>2034.86</v>
      </c>
      <c r="M16" s="3"/>
      <c r="N16" s="26">
        <f>IF(H16=0,0,L16/H16)</f>
        <v>0</v>
      </c>
      <c r="O16" s="9"/>
      <c r="P16" s="3">
        <f>--82192.65</f>
        <v>82192.649999999994</v>
      </c>
      <c r="Q16" s="3"/>
      <c r="R16" s="26"/>
      <c r="S16" s="3"/>
      <c r="T16" s="3"/>
      <c r="U16" s="3"/>
      <c r="V16" s="26"/>
      <c r="W16" s="3"/>
      <c r="X16" s="3">
        <f>+P16-T16</f>
        <v>82192.649999999994</v>
      </c>
      <c r="Y16" s="3"/>
      <c r="Z16" s="26">
        <f>IF(T16=0,0,X16/T16)</f>
        <v>0</v>
      </c>
    </row>
    <row r="17" spans="1:26" ht="15" customHeight="1" x14ac:dyDescent="0.3">
      <c r="A17" s="12"/>
      <c r="B17" s="13"/>
      <c r="C17" s="12"/>
      <c r="D17" s="4"/>
      <c r="E17" s="4"/>
      <c r="F17" s="10"/>
      <c r="G17" s="4"/>
      <c r="H17" s="4"/>
      <c r="I17" s="4"/>
      <c r="J17" s="10"/>
      <c r="K17" s="4"/>
      <c r="L17" s="4"/>
      <c r="M17" s="4"/>
      <c r="N17" s="10"/>
      <c r="P17" s="4"/>
      <c r="Q17" s="4"/>
      <c r="R17" s="10"/>
      <c r="S17" s="4"/>
      <c r="T17" s="4"/>
      <c r="U17" s="4"/>
      <c r="V17" s="10"/>
      <c r="W17" s="4"/>
      <c r="X17" s="4"/>
      <c r="Y17" s="4"/>
      <c r="Z17" s="10"/>
    </row>
    <row r="18" spans="1:26" s="63" customFormat="1" ht="15" customHeight="1" collapsed="1" x14ac:dyDescent="0.3">
      <c r="A18" s="13"/>
      <c r="B18" s="28" t="s">
        <v>288</v>
      </c>
      <c r="C18" s="13"/>
      <c r="D18" s="8">
        <f>SUM(OSRRefD16x_0)</f>
        <v>52208.89</v>
      </c>
      <c r="E18" s="8"/>
      <c r="F18" s="14">
        <f>IF(D$12=0,0,D18/D$12)</f>
        <v>0.31533294183140154</v>
      </c>
      <c r="G18" s="8"/>
      <c r="H18" s="8">
        <f>SUM(OSRRefH16x_0)</f>
        <v>0</v>
      </c>
      <c r="I18" s="8"/>
      <c r="J18" s="14">
        <f>IF(H$12=0,0,H18/H$12)</f>
        <v>0</v>
      </c>
      <c r="K18" s="8"/>
      <c r="L18" s="8">
        <f>+D18-H18</f>
        <v>52208.89</v>
      </c>
      <c r="M18" s="8"/>
      <c r="N18" s="14">
        <f>IF(H18=0,0,L18/H18)</f>
        <v>0</v>
      </c>
      <c r="O18" s="13"/>
      <c r="P18" s="8">
        <f>SUM(OSRRefP16x_0)</f>
        <v>1032720.5999999999</v>
      </c>
      <c r="Q18" s="8"/>
      <c r="R18" s="14">
        <f>IF(P$12=0,0,P18/P$12)</f>
        <v>0.25244917134986344</v>
      </c>
      <c r="S18" s="8"/>
      <c r="T18" s="8">
        <f>SUM(OSRRefT16x_0)</f>
        <v>998973</v>
      </c>
      <c r="U18" s="8"/>
      <c r="V18" s="14">
        <f>IF(T$12=0,0,T18/T$12)</f>
        <v>0.28029545454545457</v>
      </c>
      <c r="W18" s="8"/>
      <c r="X18" s="8">
        <f>+P18-T18</f>
        <v>33747.59999999986</v>
      </c>
      <c r="Y18" s="8"/>
      <c r="Z18" s="14">
        <f>IF(T18=0,0,X18/T18)</f>
        <v>3.3782294416365467E-2</v>
      </c>
    </row>
    <row r="19" spans="1:26" s="70" customFormat="1" ht="15" hidden="1" customHeight="1" outlineLevel="1" x14ac:dyDescent="0.3">
      <c r="A19" s="48"/>
      <c r="B19" s="9" t="str">
        <f>CONCATENATE("          ","5000"," - ","PURCHASES @ COST")</f>
        <v xml:space="preserve">          5000 - PURCHASES @ COST</v>
      </c>
      <c r="C19" s="9"/>
      <c r="D19" s="3"/>
      <c r="E19" s="3"/>
      <c r="F19" s="26">
        <f>IF(D$12=0,0,D19/D$12)</f>
        <v>0</v>
      </c>
      <c r="G19" s="3"/>
      <c r="H19" s="3"/>
      <c r="I19" s="3"/>
      <c r="J19" s="26">
        <f>IF(H$12=0,0,H19/H$12)</f>
        <v>0</v>
      </c>
      <c r="K19" s="3"/>
      <c r="L19" s="3">
        <f>+D19-H19</f>
        <v>0</v>
      </c>
      <c r="M19" s="3"/>
      <c r="N19" s="26">
        <f>IF(H19=0,0,L19/H19)</f>
        <v>0</v>
      </c>
      <c r="O19" s="9"/>
      <c r="P19" s="3"/>
      <c r="Q19" s="3"/>
      <c r="R19" s="26">
        <f>IF(P$12=0,0,P19/P$12)</f>
        <v>0</v>
      </c>
      <c r="S19" s="3"/>
      <c r="T19" s="3">
        <v>998973</v>
      </c>
      <c r="U19" s="3"/>
      <c r="V19" s="26">
        <f>IF(T$12=0,0,T19/T$12)</f>
        <v>0.28029545454545457</v>
      </c>
      <c r="W19" s="3"/>
      <c r="X19" s="3">
        <f>+P19-T19</f>
        <v>-998973</v>
      </c>
      <c r="Y19" s="3"/>
      <c r="Z19" s="26">
        <f>IF(T19=0,0,X19/T19)</f>
        <v>-1</v>
      </c>
    </row>
    <row r="20" spans="1:26" s="70" customFormat="1" ht="15" hidden="1" customHeight="1" outlineLevel="1" x14ac:dyDescent="0.3">
      <c r="A20" s="48"/>
      <c r="B20" s="9" t="str">
        <f>CONCATENATE("          ","5053"," - ","PURCHASES @ COST-FOOD")</f>
        <v xml:space="preserve">          5053 - PURCHASES @ COST-FOOD</v>
      </c>
      <c r="C20" s="9"/>
      <c r="D20" s="3">
        <v>63327.89</v>
      </c>
      <c r="E20" s="3"/>
      <c r="F20" s="26">
        <f>IF(D$12=0,0,D20/D$12)</f>
        <v>0.38248983752911425</v>
      </c>
      <c r="G20" s="3"/>
      <c r="H20" s="3"/>
      <c r="I20" s="3"/>
      <c r="J20" s="26">
        <f>IF(H$12=0,0,H20/H$12)</f>
        <v>0</v>
      </c>
      <c r="K20" s="3"/>
      <c r="L20" s="3">
        <f>+D20-H20</f>
        <v>63327.89</v>
      </c>
      <c r="M20" s="3"/>
      <c r="N20" s="26">
        <f>IF(H20=0,0,L20/H20)</f>
        <v>0</v>
      </c>
      <c r="O20" s="9"/>
      <c r="P20" s="3">
        <v>1065166.3999999999</v>
      </c>
      <c r="Q20" s="3"/>
      <c r="R20" s="26">
        <f>IF(P$12=0,0,P20/P$12)</f>
        <v>0.26038056666025372</v>
      </c>
      <c r="S20" s="3"/>
      <c r="T20" s="3"/>
      <c r="U20" s="3"/>
      <c r="V20" s="26">
        <f>IF(T$12=0,0,T20/T$12)</f>
        <v>0</v>
      </c>
      <c r="W20" s="3"/>
      <c r="X20" s="3">
        <f>+P20-T20</f>
        <v>1065166.3999999999</v>
      </c>
      <c r="Y20" s="3"/>
      <c r="Z20" s="26">
        <f>IF(T20=0,0,X20/T20)</f>
        <v>0</v>
      </c>
    </row>
    <row r="21" spans="1:26" s="70" customFormat="1" ht="15" hidden="1" customHeight="1" outlineLevel="1" x14ac:dyDescent="0.3">
      <c r="A21" s="48"/>
      <c r="B21" s="9" t="str">
        <f>CONCATENATE("          ","5059"," - ","PURCHASES @ COST-FOOD")</f>
        <v xml:space="preserve">          5059 - PURCHASES @ COST-FOOD</v>
      </c>
      <c r="C21" s="9"/>
      <c r="D21" s="3">
        <v>-11119</v>
      </c>
      <c r="E21" s="3"/>
      <c r="F21" s="26">
        <f>IF(D$12=0,0,D21/D$12)</f>
        <v>-6.7156895697712674E-2</v>
      </c>
      <c r="G21" s="3"/>
      <c r="H21" s="3"/>
      <c r="I21" s="3"/>
      <c r="J21" s="26">
        <f>IF(H$12=0,0,H21/H$12)</f>
        <v>0</v>
      </c>
      <c r="K21" s="3"/>
      <c r="L21" s="3">
        <f>+D21-H21</f>
        <v>-11119</v>
      </c>
      <c r="M21" s="3"/>
      <c r="N21" s="26">
        <f>IF(H21=0,0,L21/H21)</f>
        <v>0</v>
      </c>
      <c r="O21" s="9"/>
      <c r="P21" s="3">
        <v>-32445.8</v>
      </c>
      <c r="Q21" s="3"/>
      <c r="R21" s="26">
        <f>IF(P$12=0,0,P21/P$12)</f>
        <v>-7.9313953103902456E-3</v>
      </c>
      <c r="S21" s="3"/>
      <c r="T21" s="3"/>
      <c r="U21" s="3"/>
      <c r="V21" s="26">
        <f>IF(T$12=0,0,T21/T$12)</f>
        <v>0</v>
      </c>
      <c r="W21" s="3"/>
      <c r="X21" s="3">
        <f>+P21-T21</f>
        <v>-32445.8</v>
      </c>
      <c r="Y21" s="3"/>
      <c r="Z21" s="26">
        <f>IF(T21=0,0,X21/T21)</f>
        <v>0</v>
      </c>
    </row>
    <row r="22" spans="1:26" ht="15" customHeight="1" x14ac:dyDescent="0.3">
      <c r="A22" s="12"/>
      <c r="B22" s="13"/>
      <c r="C22" s="13"/>
      <c r="D22" s="4"/>
      <c r="E22" s="4"/>
      <c r="F22" s="10"/>
      <c r="G22" s="4"/>
      <c r="H22" s="4"/>
      <c r="I22" s="4"/>
      <c r="J22" s="10"/>
      <c r="K22" s="4"/>
      <c r="L22" s="4"/>
      <c r="M22" s="4"/>
      <c r="N22" s="10"/>
      <c r="O22" s="13"/>
      <c r="P22" s="4"/>
      <c r="Q22" s="4"/>
      <c r="R22" s="10"/>
      <c r="S22" s="4"/>
      <c r="T22" s="4"/>
      <c r="U22" s="4"/>
      <c r="V22" s="10"/>
      <c r="W22" s="4"/>
      <c r="X22" s="4"/>
      <c r="Y22" s="4"/>
      <c r="Z22" s="10"/>
    </row>
    <row r="23" spans="1:26" s="63" customFormat="1" ht="15" customHeight="1" x14ac:dyDescent="0.3">
      <c r="A23" s="13"/>
      <c r="B23" s="27" t="s">
        <v>289</v>
      </c>
      <c r="C23" s="27"/>
      <c r="D23" s="23">
        <f>D12-D18</f>
        <v>113358.62000000001</v>
      </c>
      <c r="E23" s="15"/>
      <c r="F23" s="22">
        <f>IF(D$12=0,0,D23/D$12)</f>
        <v>0.68466705816859841</v>
      </c>
      <c r="G23" s="15"/>
      <c r="H23" s="23">
        <f>H12-H18</f>
        <v>0</v>
      </c>
      <c r="I23" s="15"/>
      <c r="J23" s="22">
        <f>IF(H$12=0,0,H23/H$12)</f>
        <v>0</v>
      </c>
      <c r="K23" s="17"/>
      <c r="L23" s="23">
        <f>+D23-H23</f>
        <v>113358.62000000001</v>
      </c>
      <c r="M23" s="17"/>
      <c r="N23" s="22">
        <f>IF(H23=0,0,L23/H23)</f>
        <v>0</v>
      </c>
      <c r="O23" s="28"/>
      <c r="P23" s="23">
        <f>P12-P18</f>
        <v>3058085.46</v>
      </c>
      <c r="Q23" s="15"/>
      <c r="R23" s="22">
        <f>IF(P$12=0,0,P23/P$12)</f>
        <v>0.74755082865013645</v>
      </c>
      <c r="S23" s="15"/>
      <c r="T23" s="23">
        <f>T12-T18</f>
        <v>2565027</v>
      </c>
      <c r="U23" s="15"/>
      <c r="V23" s="22">
        <f>IF(T$12=0,0,T23/T$12)</f>
        <v>0.71970454545454543</v>
      </c>
      <c r="W23" s="17"/>
      <c r="X23" s="23">
        <f>+P23-T23</f>
        <v>493058.45999999996</v>
      </c>
      <c r="Y23" s="17"/>
      <c r="Z23" s="22">
        <f>IF(T23=0,0,X23/T23)</f>
        <v>0.192223497062604</v>
      </c>
    </row>
    <row r="24" spans="1:26" ht="15" customHeight="1" x14ac:dyDescent="0.3">
      <c r="A24" s="12"/>
      <c r="B24" s="13"/>
      <c r="C24" s="12"/>
      <c r="D24" s="2"/>
      <c r="E24" s="2"/>
      <c r="F24" s="5"/>
      <c r="G24" s="2"/>
      <c r="H24" s="2"/>
      <c r="I24" s="2"/>
      <c r="J24" s="5"/>
      <c r="K24" s="2"/>
      <c r="L24" s="2"/>
      <c r="M24" s="2"/>
      <c r="N24" s="5"/>
      <c r="O24" s="36"/>
      <c r="P24" s="2"/>
      <c r="Q24" s="2"/>
      <c r="R24" s="5"/>
      <c r="S24" s="2"/>
      <c r="T24" s="2"/>
      <c r="U24" s="2"/>
      <c r="V24" s="5"/>
      <c r="W24" s="2"/>
      <c r="X24" s="2"/>
      <c r="Y24" s="2"/>
      <c r="Z24" s="5"/>
    </row>
    <row r="25" spans="1:26" s="63" customFormat="1" ht="15" customHeight="1" x14ac:dyDescent="0.3">
      <c r="A25" s="13"/>
      <c r="B25" s="28" t="s">
        <v>290</v>
      </c>
      <c r="C25" s="13"/>
      <c r="D25" s="24" cm="1">
        <f t="array" ref="D25">SUM(OSRRefD22x_0)</f>
        <v>72042.600000000006</v>
      </c>
      <c r="E25" s="24"/>
      <c r="F25" s="34">
        <f t="shared" ref="F25:F56" si="0">IF(D$12=0,0,D25/D$12)</f>
        <v>0.43512522474971088</v>
      </c>
      <c r="G25" s="24"/>
      <c r="H25" s="24" cm="1">
        <f t="array" ref="H25">SUM(OSRRefH22x_0)</f>
        <v>89793.209896923014</v>
      </c>
      <c r="I25" s="24"/>
      <c r="J25" s="34">
        <f t="shared" ref="J25:J56" si="1">IF(H$12=0,0,H25/H$12)</f>
        <v>0</v>
      </c>
      <c r="K25" s="8"/>
      <c r="L25" s="24">
        <f t="shared" ref="L25:L56" si="2">+D25-H25</f>
        <v>-17750.609896923008</v>
      </c>
      <c r="M25" s="8"/>
      <c r="N25" s="34">
        <f t="shared" ref="N25:N56" si="3">IF(H25=0,0,L25/H25)</f>
        <v>-0.1976832092014485</v>
      </c>
      <c r="O25" s="13"/>
      <c r="P25" s="24" cm="1">
        <f t="array" ref="P25">SUM(OSRRefP22x_0)</f>
        <v>1637853.3699999999</v>
      </c>
      <c r="Q25" s="24"/>
      <c r="R25" s="34">
        <f t="shared" ref="R25:R56" si="4">IF(P$12=0,0,P25/P$12)</f>
        <v>0.40037424066982041</v>
      </c>
      <c r="S25" s="24"/>
      <c r="T25" s="24" cm="1">
        <f t="array" ref="T25">SUM(OSRRefT22x_0)</f>
        <v>1910379.7516600001</v>
      </c>
      <c r="U25" s="24"/>
      <c r="V25" s="34">
        <f t="shared" ref="V25:V56" si="5">IF(T$12=0,0,T25/T$12)</f>
        <v>0.536021254674523</v>
      </c>
      <c r="W25" s="8"/>
      <c r="X25" s="24">
        <f t="shared" ref="X25:X56" si="6">+P25-T25</f>
        <v>-272526.38166000019</v>
      </c>
      <c r="Y25" s="8"/>
      <c r="Z25" s="34">
        <f t="shared" ref="Z25:Z56" si="7">IF(T25=0,0,X25/T25)</f>
        <v>-0.14265560626006002</v>
      </c>
    </row>
    <row r="26" spans="1:26" s="69" customFormat="1" ht="15" customHeight="1" outlineLevel="1" collapsed="1" x14ac:dyDescent="0.3">
      <c r="A26" s="20"/>
      <c r="B26" s="11" t="str">
        <f>CONCATENATE("     ","*Benefits                                         ")</f>
        <v xml:space="preserve">     *Benefits                                         </v>
      </c>
      <c r="C26" s="11"/>
      <c r="D26" s="2">
        <f>SUM(OSRRefD22_0x_0)</f>
        <v>12634.23</v>
      </c>
      <c r="E26" s="2"/>
      <c r="F26" s="5">
        <f t="shared" si="0"/>
        <v>7.630863084188437E-2</v>
      </c>
      <c r="G26" s="2"/>
      <c r="H26" s="2">
        <f>SUM(OSRRefH22_0x_0)</f>
        <v>29370.788358461523</v>
      </c>
      <c r="I26" s="2"/>
      <c r="J26" s="5">
        <f t="shared" si="1"/>
        <v>0</v>
      </c>
      <c r="K26" s="2"/>
      <c r="L26" s="2">
        <f t="shared" si="2"/>
        <v>-16736.558358461523</v>
      </c>
      <c r="M26" s="2"/>
      <c r="N26" s="5">
        <f t="shared" si="3"/>
        <v>-0.5698368785405733</v>
      </c>
      <c r="O26" s="11"/>
      <c r="P26" s="2">
        <f>SUM(OSRRefP22_0x_0)</f>
        <v>303506.72999999992</v>
      </c>
      <c r="Q26" s="2"/>
      <c r="R26" s="5">
        <f t="shared" si="4"/>
        <v>7.4192402560389267E-2</v>
      </c>
      <c r="S26" s="2"/>
      <c r="T26" s="2">
        <f>SUM(OSRRefT22_0x_0)</f>
        <v>418700.27165999997</v>
      </c>
      <c r="U26" s="2"/>
      <c r="V26" s="5">
        <f t="shared" si="5"/>
        <v>0.11748043537037037</v>
      </c>
      <c r="W26" s="2"/>
      <c r="X26" s="2">
        <f t="shared" si="6"/>
        <v>-115193.54166000005</v>
      </c>
      <c r="Y26" s="2"/>
      <c r="Z26" s="5">
        <f t="shared" si="7"/>
        <v>-0.2751217265833098</v>
      </c>
    </row>
    <row r="27" spans="1:26" s="70" customFormat="1" ht="15" hidden="1" customHeight="1" outlineLevel="2" x14ac:dyDescent="0.3">
      <c r="A27" s="21"/>
      <c r="B27" s="9" t="str">
        <f>CONCATENATE("          ","6111"," - ","F.I.C.A.")</f>
        <v xml:space="preserve">          6111 - F.I.C.A.</v>
      </c>
      <c r="C27" s="9"/>
      <c r="D27" s="6">
        <v>2761.01</v>
      </c>
      <c r="E27" s="3"/>
      <c r="F27" s="7">
        <f t="shared" si="0"/>
        <v>1.6676037466529514E-2</v>
      </c>
      <c r="G27" s="3"/>
      <c r="H27" s="6">
        <v>3214.97820461538</v>
      </c>
      <c r="I27" s="3"/>
      <c r="J27" s="7">
        <f t="shared" si="1"/>
        <v>0</v>
      </c>
      <c r="K27" s="3"/>
      <c r="L27" s="6">
        <f t="shared" si="2"/>
        <v>-453.96820461537982</v>
      </c>
      <c r="M27" s="3"/>
      <c r="N27" s="7">
        <f t="shared" si="3"/>
        <v>-0.14120413132619969</v>
      </c>
      <c r="O27" s="9"/>
      <c r="P27" s="6">
        <v>41308.129999999997</v>
      </c>
      <c r="Q27" s="3"/>
      <c r="R27" s="7">
        <f t="shared" si="4"/>
        <v>1.0097797205277436E-2</v>
      </c>
      <c r="S27" s="3"/>
      <c r="T27" s="6">
        <v>57797.139660000001</v>
      </c>
      <c r="U27" s="3"/>
      <c r="V27" s="7">
        <f t="shared" si="5"/>
        <v>1.6216930319865319E-2</v>
      </c>
      <c r="W27" s="3"/>
      <c r="X27" s="6">
        <f t="shared" si="6"/>
        <v>-16489.009660000003</v>
      </c>
      <c r="Y27" s="3"/>
      <c r="Z27" s="7">
        <f t="shared" si="7"/>
        <v>-0.28529110189533563</v>
      </c>
    </row>
    <row r="28" spans="1:26" s="70" customFormat="1" ht="15" hidden="1" customHeight="1" outlineLevel="2" x14ac:dyDescent="0.3">
      <c r="A28" s="21"/>
      <c r="B28" s="9" t="str">
        <f>CONCATENATE("          ","6112"," - ","COMPENSATION INSURANCE")</f>
        <v xml:space="preserve">          6112 - COMPENSATION INSURANCE</v>
      </c>
      <c r="C28" s="9"/>
      <c r="D28" s="6">
        <v>-8597.25</v>
      </c>
      <c r="E28" s="3"/>
      <c r="F28" s="7">
        <f t="shared" si="0"/>
        <v>-5.1925948514898845E-2</v>
      </c>
      <c r="G28" s="3"/>
      <c r="H28" s="6">
        <v>1592.1556769230799</v>
      </c>
      <c r="I28" s="3"/>
      <c r="J28" s="7">
        <f t="shared" si="1"/>
        <v>0</v>
      </c>
      <c r="K28" s="3"/>
      <c r="L28" s="6">
        <f t="shared" si="2"/>
        <v>-10189.405676923079</v>
      </c>
      <c r="M28" s="3"/>
      <c r="N28" s="7">
        <f t="shared" si="3"/>
        <v>-6.3997546374451355</v>
      </c>
      <c r="O28" s="9"/>
      <c r="P28" s="6">
        <v>17192.63</v>
      </c>
      <c r="Q28" s="3"/>
      <c r="R28" s="7">
        <f t="shared" si="4"/>
        <v>4.2027487365167348E-3</v>
      </c>
      <c r="S28" s="3"/>
      <c r="T28" s="6">
        <v>35212.965799999998</v>
      </c>
      <c r="U28" s="3"/>
      <c r="V28" s="7">
        <f t="shared" si="5"/>
        <v>9.8801812008978678E-3</v>
      </c>
      <c r="W28" s="3"/>
      <c r="X28" s="6">
        <f t="shared" si="6"/>
        <v>-18020.335799999997</v>
      </c>
      <c r="Y28" s="3"/>
      <c r="Z28" s="7">
        <f t="shared" si="7"/>
        <v>-0.51175285553482119</v>
      </c>
    </row>
    <row r="29" spans="1:26" s="70" customFormat="1" ht="15" hidden="1" customHeight="1" outlineLevel="2" x14ac:dyDescent="0.3">
      <c r="A29" s="21"/>
      <c r="B29" s="9" t="str">
        <f>CONCATENATE("          ","6113"," - ","GROUP INSURANCE")</f>
        <v xml:space="preserve">          6113 - GROUP INSURANCE</v>
      </c>
      <c r="C29" s="9"/>
      <c r="D29" s="6">
        <v>12704.31</v>
      </c>
      <c r="E29" s="3"/>
      <c r="F29" s="7">
        <f t="shared" si="0"/>
        <v>7.6731902291699614E-2</v>
      </c>
      <c r="G29" s="3"/>
      <c r="H29" s="6">
        <v>20158.384615384599</v>
      </c>
      <c r="I29" s="3"/>
      <c r="J29" s="7">
        <f t="shared" si="1"/>
        <v>0</v>
      </c>
      <c r="K29" s="3"/>
      <c r="L29" s="6">
        <f t="shared" si="2"/>
        <v>-7454.0746153845994</v>
      </c>
      <c r="M29" s="3"/>
      <c r="N29" s="7">
        <f t="shared" si="3"/>
        <v>-0.36977539409064319</v>
      </c>
      <c r="O29" s="9"/>
      <c r="P29" s="6">
        <v>159227.16</v>
      </c>
      <c r="Q29" s="3"/>
      <c r="R29" s="7">
        <f t="shared" si="4"/>
        <v>3.8923174959802423E-2</v>
      </c>
      <c r="S29" s="3"/>
      <c r="T29" s="6">
        <v>256128</v>
      </c>
      <c r="U29" s="3"/>
      <c r="V29" s="7">
        <f t="shared" si="5"/>
        <v>7.1865319865319868E-2</v>
      </c>
      <c r="W29" s="3"/>
      <c r="X29" s="6">
        <f t="shared" si="6"/>
        <v>-96900.84</v>
      </c>
      <c r="Y29" s="3"/>
      <c r="Z29" s="7">
        <f t="shared" si="7"/>
        <v>-0.37832974137931036</v>
      </c>
    </row>
    <row r="30" spans="1:26" s="70" customFormat="1" ht="15" hidden="1" customHeight="1" outlineLevel="2" x14ac:dyDescent="0.3">
      <c r="A30" s="21"/>
      <c r="B30" s="9" t="str">
        <f>CONCATENATE("          ","6114"," - ","STATE UNEMPLOYMENT INSURANCE")</f>
        <v xml:space="preserve">          6114 - STATE UNEMPLOYMENT INSURANCE</v>
      </c>
      <c r="C30" s="9"/>
      <c r="D30" s="6"/>
      <c r="E30" s="3"/>
      <c r="F30" s="7">
        <f t="shared" si="0"/>
        <v>0</v>
      </c>
      <c r="G30" s="3"/>
      <c r="H30" s="6">
        <v>88.219707692307693</v>
      </c>
      <c r="I30" s="3"/>
      <c r="J30" s="7">
        <f t="shared" si="1"/>
        <v>0</v>
      </c>
      <c r="K30" s="3"/>
      <c r="L30" s="6">
        <f t="shared" si="2"/>
        <v>-88.219707692307693</v>
      </c>
      <c r="M30" s="3"/>
      <c r="N30" s="7">
        <f t="shared" si="3"/>
        <v>-1</v>
      </c>
      <c r="O30" s="9"/>
      <c r="P30" s="6">
        <v>1862.58</v>
      </c>
      <c r="Q30" s="3"/>
      <c r="R30" s="7">
        <f t="shared" si="4"/>
        <v>4.553088004372419E-4</v>
      </c>
      <c r="S30" s="3"/>
      <c r="T30" s="6">
        <v>1951.1142</v>
      </c>
      <c r="U30" s="3"/>
      <c r="V30" s="7">
        <f t="shared" si="5"/>
        <v>5.4745067340067344E-4</v>
      </c>
      <c r="W30" s="3"/>
      <c r="X30" s="6">
        <f t="shared" si="6"/>
        <v>-88.534200000000055</v>
      </c>
      <c r="Y30" s="3"/>
      <c r="Z30" s="7">
        <f t="shared" si="7"/>
        <v>-4.5376226568388488E-2</v>
      </c>
    </row>
    <row r="31" spans="1:26" s="70" customFormat="1" ht="15" hidden="1" customHeight="1" outlineLevel="2" x14ac:dyDescent="0.3">
      <c r="A31" s="21"/>
      <c r="B31" s="9" t="str">
        <f>CONCATENATE("          ","6115"," - ","P.E.R.S.")</f>
        <v xml:space="preserve">          6115 - P.E.R.S.</v>
      </c>
      <c r="C31" s="9"/>
      <c r="D31" s="6">
        <v>824.53</v>
      </c>
      <c r="E31" s="3"/>
      <c r="F31" s="7">
        <f t="shared" si="0"/>
        <v>4.9800229525708267E-3</v>
      </c>
      <c r="G31" s="3"/>
      <c r="H31" s="6">
        <v>1246.0870769230801</v>
      </c>
      <c r="I31" s="3"/>
      <c r="J31" s="7">
        <f t="shared" si="1"/>
        <v>0</v>
      </c>
      <c r="K31" s="3"/>
      <c r="L31" s="6">
        <f t="shared" si="2"/>
        <v>-421.5570769230801</v>
      </c>
      <c r="M31" s="3"/>
      <c r="N31" s="7">
        <f t="shared" si="3"/>
        <v>-0.33830466965761052</v>
      </c>
      <c r="O31" s="9"/>
      <c r="P31" s="6">
        <v>13833.5</v>
      </c>
      <c r="Q31" s="3"/>
      <c r="R31" s="7">
        <f t="shared" si="4"/>
        <v>3.38160738913152E-3</v>
      </c>
      <c r="S31" s="3"/>
      <c r="T31" s="6">
        <v>16199.132</v>
      </c>
      <c r="U31" s="3"/>
      <c r="V31" s="7">
        <f t="shared" si="5"/>
        <v>4.5452109988776655E-3</v>
      </c>
      <c r="W31" s="3"/>
      <c r="X31" s="6">
        <f t="shared" si="6"/>
        <v>-2365.6319999999996</v>
      </c>
      <c r="Y31" s="3"/>
      <c r="Z31" s="7">
        <f t="shared" si="7"/>
        <v>-0.1460344912307647</v>
      </c>
    </row>
    <row r="32" spans="1:26" s="70" customFormat="1" ht="15" hidden="1" customHeight="1" outlineLevel="2" x14ac:dyDescent="0.3">
      <c r="A32" s="21"/>
      <c r="B32" s="9" t="str">
        <f>CONCATENATE("          ","6116"," - ","EDUCATIONAL BENEFITS")</f>
        <v xml:space="preserve">          6116 - EDUCATIONAL BENEFITS</v>
      </c>
      <c r="C32" s="9"/>
      <c r="D32" s="6"/>
      <c r="E32" s="3"/>
      <c r="F32" s="7">
        <f t="shared" si="0"/>
        <v>0</v>
      </c>
      <c r="G32" s="3"/>
      <c r="H32" s="6">
        <v>0</v>
      </c>
      <c r="I32" s="3"/>
      <c r="J32" s="7">
        <f t="shared" si="1"/>
        <v>0</v>
      </c>
      <c r="K32" s="3"/>
      <c r="L32" s="6">
        <f t="shared" si="2"/>
        <v>0</v>
      </c>
      <c r="M32" s="3"/>
      <c r="N32" s="7">
        <f t="shared" si="3"/>
        <v>0</v>
      </c>
      <c r="O32" s="9"/>
      <c r="P32" s="6"/>
      <c r="Q32" s="3"/>
      <c r="R32" s="7">
        <f t="shared" si="4"/>
        <v>0</v>
      </c>
      <c r="S32" s="3"/>
      <c r="T32" s="6">
        <v>0</v>
      </c>
      <c r="U32" s="3"/>
      <c r="V32" s="7">
        <f t="shared" si="5"/>
        <v>0</v>
      </c>
      <c r="W32" s="3"/>
      <c r="X32" s="6">
        <f t="shared" si="6"/>
        <v>0</v>
      </c>
      <c r="Y32" s="3"/>
      <c r="Z32" s="7">
        <f t="shared" si="7"/>
        <v>0</v>
      </c>
    </row>
    <row r="33" spans="1:26" s="70" customFormat="1" ht="15" hidden="1" customHeight="1" outlineLevel="2" x14ac:dyDescent="0.3">
      <c r="A33" s="21"/>
      <c r="B33" s="9" t="str">
        <f>CONCATENATE("          ","6117"," - ","RETIREMENT STAFF HOURLY")</f>
        <v xml:space="preserve">          6117 - RETIREMENT STAFF HOURLY</v>
      </c>
      <c r="C33" s="9"/>
      <c r="D33" s="6">
        <v>519.21</v>
      </c>
      <c r="E33" s="3"/>
      <c r="F33" s="7">
        <f t="shared" si="0"/>
        <v>3.1359413450138861E-3</v>
      </c>
      <c r="G33" s="3"/>
      <c r="H33" s="6"/>
      <c r="I33" s="3"/>
      <c r="J33" s="7">
        <f t="shared" si="1"/>
        <v>0</v>
      </c>
      <c r="K33" s="3"/>
      <c r="L33" s="6">
        <f t="shared" si="2"/>
        <v>519.21</v>
      </c>
      <c r="M33" s="3"/>
      <c r="N33" s="7">
        <f t="shared" si="3"/>
        <v>0</v>
      </c>
      <c r="O33" s="9"/>
      <c r="P33" s="6">
        <v>6215.4</v>
      </c>
      <c r="Q33" s="3"/>
      <c r="R33" s="7">
        <f t="shared" si="4"/>
        <v>1.5193582655443703E-3</v>
      </c>
      <c r="S33" s="3"/>
      <c r="T33" s="6"/>
      <c r="U33" s="3"/>
      <c r="V33" s="7">
        <f t="shared" si="5"/>
        <v>0</v>
      </c>
      <c r="W33" s="3"/>
      <c r="X33" s="6">
        <f t="shared" si="6"/>
        <v>6215.4</v>
      </c>
      <c r="Y33" s="3"/>
      <c r="Z33" s="7">
        <f t="shared" si="7"/>
        <v>0</v>
      </c>
    </row>
    <row r="34" spans="1:26" s="70" customFormat="1" ht="15" hidden="1" customHeight="1" outlineLevel="2" x14ac:dyDescent="0.3">
      <c r="A34" s="21"/>
      <c r="B34" s="9" t="str">
        <f>CONCATENATE("          ","6118"," - ","VACATION")</f>
        <v xml:space="preserve">          6118 - VACATION</v>
      </c>
      <c r="C34" s="9"/>
      <c r="D34" s="6">
        <v>1941.33</v>
      </c>
      <c r="E34" s="3"/>
      <c r="F34" s="7">
        <f t="shared" si="0"/>
        <v>1.1725307700768102E-2</v>
      </c>
      <c r="G34" s="3"/>
      <c r="H34" s="6">
        <v>1810.68153846154</v>
      </c>
      <c r="I34" s="3"/>
      <c r="J34" s="7">
        <f t="shared" si="1"/>
        <v>0</v>
      </c>
      <c r="K34" s="3"/>
      <c r="L34" s="6">
        <f t="shared" si="2"/>
        <v>130.64846153845997</v>
      </c>
      <c r="M34" s="3"/>
      <c r="N34" s="7">
        <f t="shared" si="3"/>
        <v>7.2154301440255739E-2</v>
      </c>
      <c r="O34" s="9"/>
      <c r="P34" s="6">
        <v>26096.89</v>
      </c>
      <c r="Q34" s="3"/>
      <c r="R34" s="7">
        <f t="shared" si="4"/>
        <v>6.3794004451044545E-3</v>
      </c>
      <c r="S34" s="3"/>
      <c r="T34" s="6">
        <v>23538.86</v>
      </c>
      <c r="U34" s="3"/>
      <c r="V34" s="7">
        <f t="shared" si="5"/>
        <v>6.6046184062850729E-3</v>
      </c>
      <c r="W34" s="3"/>
      <c r="X34" s="6">
        <f t="shared" si="6"/>
        <v>2558.0299999999988</v>
      </c>
      <c r="Y34" s="3"/>
      <c r="Z34" s="7">
        <f t="shared" si="7"/>
        <v>0.10867263750241085</v>
      </c>
    </row>
    <row r="35" spans="1:26" s="70" customFormat="1" ht="15" hidden="1" customHeight="1" outlineLevel="2" x14ac:dyDescent="0.3">
      <c r="A35" s="21"/>
      <c r="B35" s="9" t="str">
        <f>CONCATENATE("          ","6119"," - ","SICK LEAVE")</f>
        <v xml:space="preserve">          6119 - SICK LEAVE</v>
      </c>
      <c r="C35" s="9"/>
      <c r="D35" s="6">
        <v>1567.18</v>
      </c>
      <c r="E35" s="3"/>
      <c r="F35" s="7">
        <f t="shared" si="0"/>
        <v>9.4655044338107161E-3</v>
      </c>
      <c r="G35" s="3"/>
      <c r="H35" s="6">
        <v>1260.2815384615401</v>
      </c>
      <c r="I35" s="3"/>
      <c r="J35" s="7">
        <f t="shared" si="1"/>
        <v>0</v>
      </c>
      <c r="K35" s="3"/>
      <c r="L35" s="6">
        <f t="shared" si="2"/>
        <v>306.89846153845997</v>
      </c>
      <c r="M35" s="3"/>
      <c r="N35" s="7">
        <f t="shared" si="3"/>
        <v>0.24351579561587425</v>
      </c>
      <c r="O35" s="9"/>
      <c r="P35" s="6">
        <v>23458.53</v>
      </c>
      <c r="Q35" s="3"/>
      <c r="R35" s="7">
        <f t="shared" si="4"/>
        <v>5.7344517574123271E-3</v>
      </c>
      <c r="S35" s="3"/>
      <c r="T35" s="6">
        <v>27873.06</v>
      </c>
      <c r="U35" s="3"/>
      <c r="V35" s="7">
        <f t="shared" si="5"/>
        <v>7.8207239057239055E-3</v>
      </c>
      <c r="W35" s="3"/>
      <c r="X35" s="6">
        <f t="shared" si="6"/>
        <v>-4414.5300000000025</v>
      </c>
      <c r="Y35" s="3"/>
      <c r="Z35" s="7">
        <f t="shared" si="7"/>
        <v>-0.15837981190439809</v>
      </c>
    </row>
    <row r="36" spans="1:26" s="70" customFormat="1" ht="15" hidden="1" customHeight="1" outlineLevel="2" x14ac:dyDescent="0.3">
      <c r="A36" s="21"/>
      <c r="B36" s="9" t="str">
        <f>CONCATENATE("          ","6156"," - ","EMPLOYEE MEALS")</f>
        <v xml:space="preserve">          6156 - EMPLOYEE MEALS</v>
      </c>
      <c r="C36" s="9"/>
      <c r="D36" s="6">
        <v>913.91</v>
      </c>
      <c r="E36" s="3"/>
      <c r="F36" s="7">
        <f t="shared" si="0"/>
        <v>5.5198631663905548E-3</v>
      </c>
      <c r="G36" s="3"/>
      <c r="H36" s="6"/>
      <c r="I36" s="3"/>
      <c r="J36" s="7">
        <f t="shared" si="1"/>
        <v>0</v>
      </c>
      <c r="K36" s="3"/>
      <c r="L36" s="6">
        <f t="shared" si="2"/>
        <v>913.91</v>
      </c>
      <c r="M36" s="3"/>
      <c r="N36" s="7">
        <f t="shared" si="3"/>
        <v>0</v>
      </c>
      <c r="O36" s="9"/>
      <c r="P36" s="6">
        <v>14311.91</v>
      </c>
      <c r="Q36" s="3"/>
      <c r="R36" s="7">
        <f t="shared" si="4"/>
        <v>3.4985550011627782E-3</v>
      </c>
      <c r="S36" s="3"/>
      <c r="T36" s="6"/>
      <c r="U36" s="3"/>
      <c r="V36" s="7">
        <f t="shared" si="5"/>
        <v>0</v>
      </c>
      <c r="W36" s="3"/>
      <c r="X36" s="6">
        <f t="shared" si="6"/>
        <v>14311.91</v>
      </c>
      <c r="Y36" s="3"/>
      <c r="Z36" s="7">
        <f t="shared" si="7"/>
        <v>0</v>
      </c>
    </row>
    <row r="37" spans="1:26" s="69" customFormat="1" ht="15" customHeight="1" outlineLevel="1" collapsed="1" x14ac:dyDescent="0.3">
      <c r="A37" s="20"/>
      <c r="B37" s="11" t="str">
        <f>CONCATENATE("     ","*Payroll                                          ")</f>
        <v xml:space="preserve">     *Payroll                                          </v>
      </c>
      <c r="C37" s="11"/>
      <c r="D37" s="2">
        <f>SUM(OSRRefD22_1x_0)</f>
        <v>31859.23</v>
      </c>
      <c r="E37" s="2"/>
      <c r="F37" s="5">
        <f t="shared" si="0"/>
        <v>0.1924244074214802</v>
      </c>
      <c r="G37" s="2"/>
      <c r="H37" s="2">
        <f>SUM(OSRRefH22_1x_0)</f>
        <v>38938.421538461502</v>
      </c>
      <c r="I37" s="2"/>
      <c r="J37" s="5">
        <f t="shared" si="1"/>
        <v>0</v>
      </c>
      <c r="K37" s="2"/>
      <c r="L37" s="2">
        <f t="shared" si="2"/>
        <v>-7079.1915384615022</v>
      </c>
      <c r="M37" s="2"/>
      <c r="N37" s="5">
        <f t="shared" si="3"/>
        <v>-0.18180478968488789</v>
      </c>
      <c r="O37" s="11"/>
      <c r="P37" s="2">
        <f>SUM(OSRRefP22_1x_0)</f>
        <v>784631.21</v>
      </c>
      <c r="Q37" s="2"/>
      <c r="R37" s="5">
        <f t="shared" si="4"/>
        <v>0.19180357085908881</v>
      </c>
      <c r="S37" s="2"/>
      <c r="T37" s="2">
        <f>SUM(OSRRefT22_1x_0)</f>
        <v>889179.48</v>
      </c>
      <c r="U37" s="2"/>
      <c r="V37" s="5">
        <f t="shared" si="5"/>
        <v>0.24948919191919192</v>
      </c>
      <c r="W37" s="2"/>
      <c r="X37" s="2">
        <f t="shared" si="6"/>
        <v>-104548.27000000002</v>
      </c>
      <c r="Y37" s="2"/>
      <c r="Z37" s="5">
        <f t="shared" si="7"/>
        <v>-0.11757836561860381</v>
      </c>
    </row>
    <row r="38" spans="1:26" s="70" customFormat="1" ht="15" hidden="1" customHeight="1" outlineLevel="2" x14ac:dyDescent="0.3">
      <c r="A38" s="21"/>
      <c r="B38" s="9" t="str">
        <f>CONCATENATE("          ","6001"," - ","ADMINISTRATIVE SALARIES")</f>
        <v xml:space="preserve">          6001 - ADMINISTRATIVE SALARIES</v>
      </c>
      <c r="C38" s="9"/>
      <c r="D38" s="6"/>
      <c r="E38" s="3"/>
      <c r="F38" s="7">
        <f t="shared" si="0"/>
        <v>0</v>
      </c>
      <c r="G38" s="3"/>
      <c r="H38" s="6">
        <v>0</v>
      </c>
      <c r="I38" s="3"/>
      <c r="J38" s="7">
        <f t="shared" si="1"/>
        <v>0</v>
      </c>
      <c r="K38" s="3"/>
      <c r="L38" s="6">
        <f t="shared" si="2"/>
        <v>0</v>
      </c>
      <c r="M38" s="3"/>
      <c r="N38" s="7">
        <f t="shared" si="3"/>
        <v>0</v>
      </c>
      <c r="O38" s="9"/>
      <c r="P38" s="6"/>
      <c r="Q38" s="3"/>
      <c r="R38" s="7">
        <f t="shared" si="4"/>
        <v>0</v>
      </c>
      <c r="S38" s="3"/>
      <c r="T38" s="6">
        <v>0</v>
      </c>
      <c r="U38" s="3"/>
      <c r="V38" s="7">
        <f t="shared" si="5"/>
        <v>0</v>
      </c>
      <c r="W38" s="3"/>
      <c r="X38" s="6">
        <f t="shared" si="6"/>
        <v>0</v>
      </c>
      <c r="Y38" s="3"/>
      <c r="Z38" s="7">
        <f t="shared" si="7"/>
        <v>0</v>
      </c>
    </row>
    <row r="39" spans="1:26" s="70" customFormat="1" ht="15" hidden="1" customHeight="1" outlineLevel="2" x14ac:dyDescent="0.3">
      <c r="A39" s="21"/>
      <c r="B39" s="9" t="str">
        <f>CONCATENATE("          ","6002"," - ","STAFF SALARIES")</f>
        <v xml:space="preserve">          6002 - STAFF SALARIES</v>
      </c>
      <c r="C39" s="9"/>
      <c r="D39" s="6">
        <v>7482.5</v>
      </c>
      <c r="E39" s="3"/>
      <c r="F39" s="7">
        <f t="shared" si="0"/>
        <v>4.5193045422981838E-2</v>
      </c>
      <c r="G39" s="3"/>
      <c r="H39" s="6">
        <v>13620.0215384615</v>
      </c>
      <c r="I39" s="3"/>
      <c r="J39" s="7">
        <f t="shared" si="1"/>
        <v>0</v>
      </c>
      <c r="K39" s="3"/>
      <c r="L39" s="6">
        <f t="shared" si="2"/>
        <v>-6137.5215384615003</v>
      </c>
      <c r="M39" s="3"/>
      <c r="N39" s="7">
        <f t="shared" si="3"/>
        <v>-0.45062495100538486</v>
      </c>
      <c r="O39" s="9"/>
      <c r="P39" s="6">
        <v>143830.6</v>
      </c>
      <c r="Q39" s="3"/>
      <c r="R39" s="7">
        <f t="shared" si="4"/>
        <v>3.5159476614249466E-2</v>
      </c>
      <c r="S39" s="3"/>
      <c r="T39" s="6">
        <v>177060.28</v>
      </c>
      <c r="U39" s="3"/>
      <c r="V39" s="7">
        <f t="shared" si="5"/>
        <v>4.968021324354658E-2</v>
      </c>
      <c r="W39" s="3"/>
      <c r="X39" s="6">
        <f t="shared" si="6"/>
        <v>-33229.679999999993</v>
      </c>
      <c r="Y39" s="3"/>
      <c r="Z39" s="7">
        <f t="shared" si="7"/>
        <v>-0.18767438976149814</v>
      </c>
    </row>
    <row r="40" spans="1:26" s="70" customFormat="1" ht="15" hidden="1" customHeight="1" outlineLevel="2" x14ac:dyDescent="0.3">
      <c r="A40" s="21"/>
      <c r="B40" s="9" t="str">
        <f>CONCATENATE("          ","6003"," - ","STAFF HOURLY-9 MONTH")</f>
        <v xml:space="preserve">          6003 - STAFF HOURLY-9 MONTH</v>
      </c>
      <c r="C40" s="9"/>
      <c r="D40" s="6"/>
      <c r="E40" s="3"/>
      <c r="F40" s="7">
        <f t="shared" si="0"/>
        <v>0</v>
      </c>
      <c r="G40" s="3"/>
      <c r="H40" s="6">
        <v>0</v>
      </c>
      <c r="I40" s="3"/>
      <c r="J40" s="7">
        <f t="shared" si="1"/>
        <v>0</v>
      </c>
      <c r="K40" s="3"/>
      <c r="L40" s="6">
        <f t="shared" si="2"/>
        <v>0</v>
      </c>
      <c r="M40" s="3"/>
      <c r="N40" s="7">
        <f t="shared" si="3"/>
        <v>0</v>
      </c>
      <c r="O40" s="9"/>
      <c r="P40" s="6"/>
      <c r="Q40" s="3"/>
      <c r="R40" s="7">
        <f t="shared" si="4"/>
        <v>0</v>
      </c>
      <c r="S40" s="3"/>
      <c r="T40" s="6">
        <v>0</v>
      </c>
      <c r="U40" s="3"/>
      <c r="V40" s="7">
        <f t="shared" si="5"/>
        <v>0</v>
      </c>
      <c r="W40" s="3"/>
      <c r="X40" s="6">
        <f t="shared" si="6"/>
        <v>0</v>
      </c>
      <c r="Y40" s="3"/>
      <c r="Z40" s="7">
        <f t="shared" si="7"/>
        <v>0</v>
      </c>
    </row>
    <row r="41" spans="1:26" s="70" customFormat="1" ht="15" hidden="1" customHeight="1" outlineLevel="2" x14ac:dyDescent="0.3">
      <c r="A41" s="21"/>
      <c r="B41" s="9" t="str">
        <f>CONCATENATE("          ","6004"," - ","STAFF HOURLY")</f>
        <v xml:space="preserve">          6004 - STAFF HOURLY</v>
      </c>
      <c r="C41" s="9"/>
      <c r="D41" s="6">
        <v>17236.54</v>
      </c>
      <c r="E41" s="3"/>
      <c r="F41" s="7">
        <f t="shared" si="0"/>
        <v>0.10410581158102819</v>
      </c>
      <c r="G41" s="3"/>
      <c r="H41" s="6">
        <v>25318.400000000001</v>
      </c>
      <c r="I41" s="3"/>
      <c r="J41" s="7">
        <f t="shared" si="1"/>
        <v>0</v>
      </c>
      <c r="K41" s="3"/>
      <c r="L41" s="6">
        <f t="shared" si="2"/>
        <v>-8081.8600000000006</v>
      </c>
      <c r="M41" s="3"/>
      <c r="N41" s="7">
        <f t="shared" si="3"/>
        <v>-0.31920895475227501</v>
      </c>
      <c r="O41" s="9"/>
      <c r="P41" s="6">
        <v>286763.88</v>
      </c>
      <c r="Q41" s="3"/>
      <c r="R41" s="7">
        <f t="shared" si="4"/>
        <v>7.0099602815196768E-2</v>
      </c>
      <c r="S41" s="3"/>
      <c r="T41" s="6">
        <v>538239.19999999995</v>
      </c>
      <c r="U41" s="3"/>
      <c r="V41" s="7">
        <f t="shared" si="5"/>
        <v>0.15102109988776655</v>
      </c>
      <c r="W41" s="3"/>
      <c r="X41" s="6">
        <f t="shared" si="6"/>
        <v>-251475.31999999995</v>
      </c>
      <c r="Y41" s="3"/>
      <c r="Z41" s="7">
        <f t="shared" si="7"/>
        <v>-0.46721851548530835</v>
      </c>
    </row>
    <row r="42" spans="1:26" s="70" customFormat="1" ht="15" hidden="1" customHeight="1" outlineLevel="2" x14ac:dyDescent="0.3">
      <c r="A42" s="21"/>
      <c r="B42" s="9" t="str">
        <f>CONCATENATE("          ","6005"," - ","TEMPORARY WAGES-HOURLY")</f>
        <v xml:space="preserve">          6005 - TEMPORARY WAGES-HOURLY</v>
      </c>
      <c r="C42" s="9"/>
      <c r="D42" s="6">
        <v>4124.49</v>
      </c>
      <c r="E42" s="3"/>
      <c r="F42" s="7">
        <f t="shared" si="0"/>
        <v>2.4911228054344717E-2</v>
      </c>
      <c r="G42" s="3"/>
      <c r="H42" s="6">
        <v>0</v>
      </c>
      <c r="I42" s="3"/>
      <c r="J42" s="7">
        <f t="shared" si="1"/>
        <v>0</v>
      </c>
      <c r="K42" s="3"/>
      <c r="L42" s="6">
        <f t="shared" si="2"/>
        <v>4124.49</v>
      </c>
      <c r="M42" s="3"/>
      <c r="N42" s="7">
        <f t="shared" si="3"/>
        <v>0</v>
      </c>
      <c r="O42" s="9"/>
      <c r="P42" s="6">
        <v>109328.28</v>
      </c>
      <c r="Q42" s="3"/>
      <c r="R42" s="7">
        <f t="shared" si="4"/>
        <v>2.672536375386126E-2</v>
      </c>
      <c r="S42" s="3"/>
      <c r="T42" s="6">
        <v>0</v>
      </c>
      <c r="U42" s="3"/>
      <c r="V42" s="7">
        <f t="shared" si="5"/>
        <v>0</v>
      </c>
      <c r="W42" s="3"/>
      <c r="X42" s="6">
        <f t="shared" si="6"/>
        <v>109328.28</v>
      </c>
      <c r="Y42" s="3"/>
      <c r="Z42" s="7">
        <f t="shared" si="7"/>
        <v>0</v>
      </c>
    </row>
    <row r="43" spans="1:26" s="70" customFormat="1" ht="15" hidden="1" customHeight="1" outlineLevel="2" x14ac:dyDescent="0.3">
      <c r="A43" s="21"/>
      <c r="B43" s="9" t="str">
        <f>CONCATENATE("          ","6006"," - ","TEMPORARY PART TIME")</f>
        <v xml:space="preserve">          6006 - TEMPORARY PART TIME</v>
      </c>
      <c r="C43" s="9"/>
      <c r="D43" s="6">
        <v>463.45</v>
      </c>
      <c r="E43" s="3"/>
      <c r="F43" s="7">
        <f t="shared" si="0"/>
        <v>2.7991602941905688E-3</v>
      </c>
      <c r="G43" s="3"/>
      <c r="H43" s="6">
        <v>0</v>
      </c>
      <c r="I43" s="3"/>
      <c r="J43" s="7">
        <f t="shared" si="1"/>
        <v>0</v>
      </c>
      <c r="K43" s="3"/>
      <c r="L43" s="6">
        <f t="shared" si="2"/>
        <v>463.45</v>
      </c>
      <c r="M43" s="3"/>
      <c r="N43" s="7">
        <f t="shared" si="3"/>
        <v>0</v>
      </c>
      <c r="O43" s="9"/>
      <c r="P43" s="6">
        <v>5638.95</v>
      </c>
      <c r="Q43" s="3"/>
      <c r="R43" s="7">
        <f t="shared" si="4"/>
        <v>1.3784447165896688E-3</v>
      </c>
      <c r="S43" s="3"/>
      <c r="T43" s="6">
        <v>0</v>
      </c>
      <c r="U43" s="3"/>
      <c r="V43" s="7">
        <f t="shared" si="5"/>
        <v>0</v>
      </c>
      <c r="W43" s="3"/>
      <c r="X43" s="6">
        <f t="shared" si="6"/>
        <v>5638.95</v>
      </c>
      <c r="Y43" s="3"/>
      <c r="Z43" s="7">
        <f t="shared" si="7"/>
        <v>0</v>
      </c>
    </row>
    <row r="44" spans="1:26" s="70" customFormat="1" ht="15" hidden="1" customHeight="1" outlineLevel="2" x14ac:dyDescent="0.3">
      <c r="A44" s="21"/>
      <c r="B44" s="9" t="str">
        <f>CONCATENATE("          ","6007"," - ","STUDENT HOURLY")</f>
        <v xml:space="preserve">          6007 - STUDENT HOURLY</v>
      </c>
      <c r="C44" s="9"/>
      <c r="D44" s="6">
        <v>1440.75</v>
      </c>
      <c r="E44" s="3"/>
      <c r="F44" s="7">
        <f t="shared" si="0"/>
        <v>8.7018884320963687E-3</v>
      </c>
      <c r="G44" s="3"/>
      <c r="H44" s="6">
        <v>0</v>
      </c>
      <c r="I44" s="3"/>
      <c r="J44" s="7">
        <f t="shared" si="1"/>
        <v>0</v>
      </c>
      <c r="K44" s="3"/>
      <c r="L44" s="6">
        <f t="shared" si="2"/>
        <v>1440.75</v>
      </c>
      <c r="M44" s="3"/>
      <c r="N44" s="7">
        <f t="shared" si="3"/>
        <v>0</v>
      </c>
      <c r="O44" s="9"/>
      <c r="P44" s="6">
        <v>155065.20000000001</v>
      </c>
      <c r="Q44" s="3"/>
      <c r="R44" s="7">
        <f t="shared" si="4"/>
        <v>3.790578133640489E-2</v>
      </c>
      <c r="S44" s="3"/>
      <c r="T44" s="6">
        <v>0</v>
      </c>
      <c r="U44" s="3"/>
      <c r="V44" s="7">
        <f t="shared" si="5"/>
        <v>0</v>
      </c>
      <c r="W44" s="3"/>
      <c r="X44" s="6">
        <f t="shared" si="6"/>
        <v>155065.20000000001</v>
      </c>
      <c r="Y44" s="3"/>
      <c r="Z44" s="7">
        <f t="shared" si="7"/>
        <v>0</v>
      </c>
    </row>
    <row r="45" spans="1:26" s="70" customFormat="1" ht="15" hidden="1" customHeight="1" outlineLevel="2" x14ac:dyDescent="0.3">
      <c r="A45" s="21"/>
      <c r="B45" s="9" t="str">
        <f>CONCATENATE("          ","6008"," - ","STUDENT HOURLY-FICA EXEMPT")</f>
        <v xml:space="preserve">          6008 - STUDENT HOURLY-FICA EXEMPT</v>
      </c>
      <c r="C45" s="9"/>
      <c r="D45" s="6">
        <v>1111.5</v>
      </c>
      <c r="E45" s="3"/>
      <c r="F45" s="7">
        <f t="shared" si="0"/>
        <v>6.7132736368385312E-3</v>
      </c>
      <c r="G45" s="3"/>
      <c r="H45" s="6">
        <v>0</v>
      </c>
      <c r="I45" s="3"/>
      <c r="J45" s="7">
        <f t="shared" si="1"/>
        <v>0</v>
      </c>
      <c r="K45" s="3"/>
      <c r="L45" s="6">
        <f t="shared" si="2"/>
        <v>1111.5</v>
      </c>
      <c r="M45" s="3"/>
      <c r="N45" s="7">
        <f t="shared" si="3"/>
        <v>0</v>
      </c>
      <c r="O45" s="9"/>
      <c r="P45" s="6">
        <v>84004.3</v>
      </c>
      <c r="Q45" s="3"/>
      <c r="R45" s="7">
        <f t="shared" si="4"/>
        <v>2.0534901622786782E-2</v>
      </c>
      <c r="S45" s="3"/>
      <c r="T45" s="6">
        <v>173880</v>
      </c>
      <c r="U45" s="3"/>
      <c r="V45" s="7">
        <f t="shared" si="5"/>
        <v>4.878787878787879E-2</v>
      </c>
      <c r="W45" s="3"/>
      <c r="X45" s="6">
        <f t="shared" si="6"/>
        <v>-89875.7</v>
      </c>
      <c r="Y45" s="3"/>
      <c r="Z45" s="7">
        <f t="shared" si="7"/>
        <v>-0.51688348286174368</v>
      </c>
    </row>
    <row r="46" spans="1:26" s="70" customFormat="1" ht="15" hidden="1" customHeight="1" outlineLevel="2" x14ac:dyDescent="0.3">
      <c r="A46" s="21"/>
      <c r="B46" s="9" t="str">
        <f>CONCATENATE("          ","6009"," - ","TEMPORARY-SEASONAL")</f>
        <v xml:space="preserve">          6009 - TEMPORARY-SEASONAL</v>
      </c>
      <c r="C46" s="9"/>
      <c r="D46" s="6"/>
      <c r="E46" s="3"/>
      <c r="F46" s="7">
        <f t="shared" si="0"/>
        <v>0</v>
      </c>
      <c r="G46" s="3"/>
      <c r="H46" s="6">
        <v>0</v>
      </c>
      <c r="I46" s="3"/>
      <c r="J46" s="7">
        <f t="shared" si="1"/>
        <v>0</v>
      </c>
      <c r="K46" s="3"/>
      <c r="L46" s="6">
        <f t="shared" si="2"/>
        <v>0</v>
      </c>
      <c r="M46" s="3"/>
      <c r="N46" s="7">
        <f t="shared" si="3"/>
        <v>0</v>
      </c>
      <c r="O46" s="9"/>
      <c r="P46" s="6"/>
      <c r="Q46" s="3"/>
      <c r="R46" s="7">
        <f t="shared" si="4"/>
        <v>0</v>
      </c>
      <c r="S46" s="3"/>
      <c r="T46" s="6">
        <v>0</v>
      </c>
      <c r="U46" s="3"/>
      <c r="V46" s="7">
        <f t="shared" si="5"/>
        <v>0</v>
      </c>
      <c r="W46" s="3"/>
      <c r="X46" s="6">
        <f t="shared" si="6"/>
        <v>0</v>
      </c>
      <c r="Y46" s="3"/>
      <c r="Z46" s="7">
        <f t="shared" si="7"/>
        <v>0</v>
      </c>
    </row>
    <row r="47" spans="1:26" s="70" customFormat="1" ht="15" hidden="1" customHeight="1" outlineLevel="2" x14ac:dyDescent="0.3">
      <c r="A47" s="21"/>
      <c r="B47" s="9" t="str">
        <f>CONCATENATE("          ","6010"," - ","GRATUITY")</f>
        <v xml:space="preserve">          6010 - GRATUITY</v>
      </c>
      <c r="C47" s="9"/>
      <c r="D47" s="6"/>
      <c r="E47" s="3"/>
      <c r="F47" s="7">
        <f t="shared" si="0"/>
        <v>0</v>
      </c>
      <c r="G47" s="3"/>
      <c r="H47" s="6">
        <v>0</v>
      </c>
      <c r="I47" s="3"/>
      <c r="J47" s="7">
        <f t="shared" si="1"/>
        <v>0</v>
      </c>
      <c r="K47" s="3"/>
      <c r="L47" s="6">
        <f t="shared" si="2"/>
        <v>0</v>
      </c>
      <c r="M47" s="3"/>
      <c r="N47" s="7">
        <f t="shared" si="3"/>
        <v>0</v>
      </c>
      <c r="O47" s="9"/>
      <c r="P47" s="6"/>
      <c r="Q47" s="3"/>
      <c r="R47" s="7">
        <f t="shared" si="4"/>
        <v>0</v>
      </c>
      <c r="S47" s="3"/>
      <c r="T47" s="6">
        <v>0</v>
      </c>
      <c r="U47" s="3"/>
      <c r="V47" s="7">
        <f t="shared" si="5"/>
        <v>0</v>
      </c>
      <c r="W47" s="3"/>
      <c r="X47" s="6">
        <f t="shared" si="6"/>
        <v>0</v>
      </c>
      <c r="Y47" s="3"/>
      <c r="Z47" s="7">
        <f t="shared" si="7"/>
        <v>0</v>
      </c>
    </row>
    <row r="48" spans="1:26" s="69" customFormat="1" ht="15" customHeight="1" outlineLevel="1" collapsed="1" x14ac:dyDescent="0.3">
      <c r="A48" s="20"/>
      <c r="B48" s="11" t="str">
        <f>CONCATENATE("     ","Advertising/Promo                                 ")</f>
        <v xml:space="preserve">     Advertising/Promo                                 </v>
      </c>
      <c r="C48" s="11"/>
      <c r="D48" s="2">
        <f>SUM(OSRRefD22_2x_0)</f>
        <v>0</v>
      </c>
      <c r="E48" s="2"/>
      <c r="F48" s="5">
        <f t="shared" si="0"/>
        <v>0</v>
      </c>
      <c r="G48" s="2"/>
      <c r="H48" s="2">
        <f>SUM(OSRRefH22_2x_0)</f>
        <v>600</v>
      </c>
      <c r="I48" s="2"/>
      <c r="J48" s="5">
        <f t="shared" si="1"/>
        <v>0</v>
      </c>
      <c r="K48" s="2"/>
      <c r="L48" s="2">
        <f t="shared" si="2"/>
        <v>-600</v>
      </c>
      <c r="M48" s="2"/>
      <c r="N48" s="5">
        <f t="shared" si="3"/>
        <v>-1</v>
      </c>
      <c r="O48" s="11"/>
      <c r="P48" s="2">
        <f>SUM(OSRRefP22_2x_0)</f>
        <v>1902.42</v>
      </c>
      <c r="Q48" s="2"/>
      <c r="R48" s="5">
        <f t="shared" si="4"/>
        <v>4.6504771238165227E-4</v>
      </c>
      <c r="S48" s="2"/>
      <c r="T48" s="2">
        <f>SUM(OSRRefT22_2x_0)</f>
        <v>7200</v>
      </c>
      <c r="U48" s="2"/>
      <c r="V48" s="5">
        <f t="shared" si="5"/>
        <v>2.0202020202020202E-3</v>
      </c>
      <c r="W48" s="2"/>
      <c r="X48" s="2">
        <f t="shared" si="6"/>
        <v>-5297.58</v>
      </c>
      <c r="Y48" s="2"/>
      <c r="Z48" s="5">
        <f t="shared" si="7"/>
        <v>-0.73577499999999996</v>
      </c>
    </row>
    <row r="49" spans="1:26" s="70" customFormat="1" ht="15" hidden="1" customHeight="1" outlineLevel="2" x14ac:dyDescent="0.3">
      <c r="A49" s="21"/>
      <c r="B49" s="9" t="str">
        <f>CONCATENATE("          ","6362"," - ","ADVERTISING EXPENSE")</f>
        <v xml:space="preserve">          6362 - ADVERTISING EXPENSE</v>
      </c>
      <c r="C49" s="9"/>
      <c r="D49" s="6"/>
      <c r="E49" s="3"/>
      <c r="F49" s="7">
        <f t="shared" si="0"/>
        <v>0</v>
      </c>
      <c r="G49" s="3"/>
      <c r="H49" s="6">
        <v>600</v>
      </c>
      <c r="I49" s="3"/>
      <c r="J49" s="7">
        <f t="shared" si="1"/>
        <v>0</v>
      </c>
      <c r="K49" s="3"/>
      <c r="L49" s="6">
        <f t="shared" si="2"/>
        <v>-600</v>
      </c>
      <c r="M49" s="3"/>
      <c r="N49" s="7">
        <f t="shared" si="3"/>
        <v>-1</v>
      </c>
      <c r="O49" s="9"/>
      <c r="P49" s="6">
        <v>1902.42</v>
      </c>
      <c r="Q49" s="3"/>
      <c r="R49" s="7">
        <f t="shared" si="4"/>
        <v>4.6504771238165227E-4</v>
      </c>
      <c r="S49" s="3"/>
      <c r="T49" s="6">
        <v>7200</v>
      </c>
      <c r="U49" s="3"/>
      <c r="V49" s="7">
        <f t="shared" si="5"/>
        <v>2.0202020202020202E-3</v>
      </c>
      <c r="W49" s="3"/>
      <c r="X49" s="6">
        <f t="shared" si="6"/>
        <v>-5297.58</v>
      </c>
      <c r="Y49" s="3"/>
      <c r="Z49" s="7">
        <f t="shared" si="7"/>
        <v>-0.73577499999999996</v>
      </c>
    </row>
    <row r="50" spans="1:26" s="69" customFormat="1" ht="15" customHeight="1" outlineLevel="1" collapsed="1" x14ac:dyDescent="0.3">
      <c r="A50" s="20"/>
      <c r="B50" s="11" t="str">
        <f>CONCATENATE("     ","Bad Debts/Over/Short                              ")</f>
        <v xml:space="preserve">     Bad Debts/Over/Short                              </v>
      </c>
      <c r="C50" s="11"/>
      <c r="D50" s="2">
        <f>SUM(OSRRefD22_3x_0)</f>
        <v>0</v>
      </c>
      <c r="E50" s="2"/>
      <c r="F50" s="5">
        <f t="shared" si="0"/>
        <v>0</v>
      </c>
      <c r="G50" s="2"/>
      <c r="H50" s="2">
        <f>SUM(OSRRefH22_3x_0)</f>
        <v>15</v>
      </c>
      <c r="I50" s="2"/>
      <c r="J50" s="5">
        <f t="shared" si="1"/>
        <v>0</v>
      </c>
      <c r="K50" s="2"/>
      <c r="L50" s="2">
        <f t="shared" si="2"/>
        <v>-15</v>
      </c>
      <c r="M50" s="2"/>
      <c r="N50" s="5">
        <f t="shared" si="3"/>
        <v>-1</v>
      </c>
      <c r="O50" s="11"/>
      <c r="P50" s="2">
        <f>SUM(OSRRefP22_3x_0)</f>
        <v>-23.9</v>
      </c>
      <c r="Q50" s="2"/>
      <c r="R50" s="5">
        <f t="shared" si="4"/>
        <v>-5.8423693642421163E-6</v>
      </c>
      <c r="S50" s="2"/>
      <c r="T50" s="2">
        <f>SUM(OSRRefT22_3x_0)</f>
        <v>180</v>
      </c>
      <c r="U50" s="2"/>
      <c r="V50" s="5">
        <f t="shared" si="5"/>
        <v>5.0505050505050505E-5</v>
      </c>
      <c r="W50" s="2"/>
      <c r="X50" s="2">
        <f t="shared" si="6"/>
        <v>-203.9</v>
      </c>
      <c r="Y50" s="2"/>
      <c r="Z50" s="5">
        <f t="shared" si="7"/>
        <v>-1.1327777777777779</v>
      </c>
    </row>
    <row r="51" spans="1:26" s="70" customFormat="1" ht="15" hidden="1" customHeight="1" outlineLevel="2" x14ac:dyDescent="0.3">
      <c r="A51" s="21"/>
      <c r="B51" s="9" t="str">
        <f>CONCATENATE("          ","6272"," - ","CASH (OVER/SHORT)")</f>
        <v xml:space="preserve">          6272 - CASH (OVER/SHORT)</v>
      </c>
      <c r="C51" s="9"/>
      <c r="D51" s="6"/>
      <c r="E51" s="3"/>
      <c r="F51" s="7">
        <f t="shared" si="0"/>
        <v>0</v>
      </c>
      <c r="G51" s="3"/>
      <c r="H51" s="6">
        <v>15</v>
      </c>
      <c r="I51" s="3"/>
      <c r="J51" s="7">
        <f t="shared" si="1"/>
        <v>0</v>
      </c>
      <c r="K51" s="3"/>
      <c r="L51" s="6">
        <f t="shared" si="2"/>
        <v>-15</v>
      </c>
      <c r="M51" s="3"/>
      <c r="N51" s="7">
        <f t="shared" si="3"/>
        <v>-1</v>
      </c>
      <c r="O51" s="9"/>
      <c r="P51" s="6">
        <v>-23.9</v>
      </c>
      <c r="Q51" s="3"/>
      <c r="R51" s="7">
        <f t="shared" si="4"/>
        <v>-5.8423693642421163E-6</v>
      </c>
      <c r="S51" s="3"/>
      <c r="T51" s="6">
        <v>180</v>
      </c>
      <c r="U51" s="3"/>
      <c r="V51" s="7">
        <f t="shared" si="5"/>
        <v>5.0505050505050505E-5</v>
      </c>
      <c r="W51" s="3"/>
      <c r="X51" s="6">
        <f t="shared" si="6"/>
        <v>-203.9</v>
      </c>
      <c r="Y51" s="3"/>
      <c r="Z51" s="7">
        <f t="shared" si="7"/>
        <v>-1.1327777777777779</v>
      </c>
    </row>
    <row r="52" spans="1:26" s="69" customFormat="1" ht="15" customHeight="1" outlineLevel="1" collapsed="1" x14ac:dyDescent="0.3">
      <c r="A52" s="20"/>
      <c r="B52" s="11" t="str">
        <f>CONCATENATE("     ","Bank/card Fees                                    ")</f>
        <v xml:space="preserve">     Bank/card Fees                                    </v>
      </c>
      <c r="C52" s="11"/>
      <c r="D52" s="2">
        <f>SUM(OSRRefD22_4x_0)</f>
        <v>77.52</v>
      </c>
      <c r="E52" s="2"/>
      <c r="F52" s="5">
        <f t="shared" si="0"/>
        <v>4.6820780236412322E-4</v>
      </c>
      <c r="G52" s="2"/>
      <c r="H52" s="2">
        <f>SUM(OSRRefH22_4x_0)</f>
        <v>250</v>
      </c>
      <c r="I52" s="2"/>
      <c r="J52" s="5">
        <f t="shared" si="1"/>
        <v>0</v>
      </c>
      <c r="K52" s="2"/>
      <c r="L52" s="2">
        <f t="shared" si="2"/>
        <v>-172.48000000000002</v>
      </c>
      <c r="M52" s="2"/>
      <c r="N52" s="5">
        <f t="shared" si="3"/>
        <v>-0.68992000000000009</v>
      </c>
      <c r="O52" s="11"/>
      <c r="P52" s="2">
        <f>SUM(OSRRefP22_4x_0)</f>
        <v>746.47</v>
      </c>
      <c r="Q52" s="2"/>
      <c r="R52" s="5">
        <f t="shared" si="4"/>
        <v>1.8247504013915538E-4</v>
      </c>
      <c r="S52" s="2"/>
      <c r="T52" s="2">
        <f>SUM(OSRRefT22_4x_0)</f>
        <v>3000</v>
      </c>
      <c r="U52" s="2"/>
      <c r="V52" s="5">
        <f t="shared" si="5"/>
        <v>8.4175084175084171E-4</v>
      </c>
      <c r="W52" s="2"/>
      <c r="X52" s="2">
        <f t="shared" si="6"/>
        <v>-2253.5299999999997</v>
      </c>
      <c r="Y52" s="2"/>
      <c r="Z52" s="5">
        <f t="shared" si="7"/>
        <v>-0.7511766666666666</v>
      </c>
    </row>
    <row r="53" spans="1:26" s="70" customFormat="1" ht="15" hidden="1" customHeight="1" outlineLevel="2" x14ac:dyDescent="0.3">
      <c r="A53" s="21"/>
      <c r="B53" s="9" t="str">
        <f>CONCATENATE("          ","6381"," - ","BANK/CREDIT CARD FEES")</f>
        <v xml:space="preserve">          6381 - BANK/CREDIT CARD FEES</v>
      </c>
      <c r="C53" s="9"/>
      <c r="D53" s="6">
        <v>77.52</v>
      </c>
      <c r="E53" s="3"/>
      <c r="F53" s="7">
        <f t="shared" si="0"/>
        <v>4.6820780236412322E-4</v>
      </c>
      <c r="G53" s="3"/>
      <c r="H53" s="6">
        <v>250</v>
      </c>
      <c r="I53" s="3"/>
      <c r="J53" s="7">
        <f t="shared" si="1"/>
        <v>0</v>
      </c>
      <c r="K53" s="3"/>
      <c r="L53" s="6">
        <f t="shared" si="2"/>
        <v>-172.48000000000002</v>
      </c>
      <c r="M53" s="3"/>
      <c r="N53" s="7">
        <f t="shared" si="3"/>
        <v>-0.68992000000000009</v>
      </c>
      <c r="O53" s="9"/>
      <c r="P53" s="6">
        <v>746.47</v>
      </c>
      <c r="Q53" s="3"/>
      <c r="R53" s="7">
        <f t="shared" si="4"/>
        <v>1.8247504013915538E-4</v>
      </c>
      <c r="S53" s="3"/>
      <c r="T53" s="6">
        <v>3000</v>
      </c>
      <c r="U53" s="3"/>
      <c r="V53" s="7">
        <f t="shared" si="5"/>
        <v>8.4175084175084171E-4</v>
      </c>
      <c r="W53" s="3"/>
      <c r="X53" s="6">
        <f t="shared" si="6"/>
        <v>-2253.5299999999997</v>
      </c>
      <c r="Y53" s="3"/>
      <c r="Z53" s="7">
        <f t="shared" si="7"/>
        <v>-0.7511766666666666</v>
      </c>
    </row>
    <row r="54" spans="1:26" s="69" customFormat="1" ht="15" customHeight="1" outlineLevel="1" collapsed="1" x14ac:dyDescent="0.3">
      <c r="A54" s="20"/>
      <c r="B54" s="11" t="str">
        <f>CONCATENATE("     ","Depreciation                                      ")</f>
        <v xml:space="preserve">     Depreciation                                      </v>
      </c>
      <c r="C54" s="11"/>
      <c r="D54" s="2">
        <f>SUM(OSRRefD22_5x_0)</f>
        <v>273.52999999999997</v>
      </c>
      <c r="E54" s="2"/>
      <c r="F54" s="5">
        <f t="shared" si="0"/>
        <v>1.6520753377277943E-3</v>
      </c>
      <c r="G54" s="2"/>
      <c r="H54" s="2">
        <f>SUM(OSRRefH22_5x_0)</f>
        <v>0</v>
      </c>
      <c r="I54" s="2"/>
      <c r="J54" s="5">
        <f t="shared" si="1"/>
        <v>0</v>
      </c>
      <c r="K54" s="2"/>
      <c r="L54" s="2">
        <f t="shared" si="2"/>
        <v>273.52999999999997</v>
      </c>
      <c r="M54" s="2"/>
      <c r="N54" s="5">
        <f t="shared" si="3"/>
        <v>0</v>
      </c>
      <c r="O54" s="11"/>
      <c r="P54" s="2">
        <f>SUM(OSRRefP22_5x_0)</f>
        <v>3282.14</v>
      </c>
      <c r="Q54" s="2"/>
      <c r="R54" s="5">
        <f t="shared" si="4"/>
        <v>8.0232109561312217E-4</v>
      </c>
      <c r="S54" s="2"/>
      <c r="T54" s="2">
        <f>SUM(OSRRefT22_5x_0)</f>
        <v>0</v>
      </c>
      <c r="U54" s="2"/>
      <c r="V54" s="5">
        <f t="shared" si="5"/>
        <v>0</v>
      </c>
      <c r="W54" s="2"/>
      <c r="X54" s="2">
        <f t="shared" si="6"/>
        <v>3282.14</v>
      </c>
      <c r="Y54" s="2"/>
      <c r="Z54" s="5">
        <f t="shared" si="7"/>
        <v>0</v>
      </c>
    </row>
    <row r="55" spans="1:26" s="70" customFormat="1" ht="15" hidden="1" customHeight="1" outlineLevel="2" x14ac:dyDescent="0.3">
      <c r="A55" s="21"/>
      <c r="B55" s="9" t="str">
        <f>CONCATENATE("          ","6322"," - ","EQUIPMENT DEPRECIATION EXPENSE")</f>
        <v xml:space="preserve">          6322 - EQUIPMENT DEPRECIATION EXPENSE</v>
      </c>
      <c r="C55" s="9"/>
      <c r="D55" s="6">
        <v>273.52999999999997</v>
      </c>
      <c r="E55" s="3"/>
      <c r="F55" s="7">
        <f t="shared" si="0"/>
        <v>1.6520753377277943E-3</v>
      </c>
      <c r="G55" s="3"/>
      <c r="H55" s="6"/>
      <c r="I55" s="3"/>
      <c r="J55" s="7">
        <f t="shared" si="1"/>
        <v>0</v>
      </c>
      <c r="K55" s="3"/>
      <c r="L55" s="6">
        <f t="shared" si="2"/>
        <v>273.52999999999997</v>
      </c>
      <c r="M55" s="3"/>
      <c r="N55" s="7">
        <f t="shared" si="3"/>
        <v>0</v>
      </c>
      <c r="O55" s="9"/>
      <c r="P55" s="6">
        <v>3282.14</v>
      </c>
      <c r="Q55" s="3"/>
      <c r="R55" s="7">
        <f t="shared" si="4"/>
        <v>8.0232109561312217E-4</v>
      </c>
      <c r="S55" s="3"/>
      <c r="T55" s="6"/>
      <c r="U55" s="3"/>
      <c r="V55" s="7">
        <f t="shared" si="5"/>
        <v>0</v>
      </c>
      <c r="W55" s="3"/>
      <c r="X55" s="6">
        <f t="shared" si="6"/>
        <v>3282.14</v>
      </c>
      <c r="Y55" s="3"/>
      <c r="Z55" s="7">
        <f t="shared" si="7"/>
        <v>0</v>
      </c>
    </row>
    <row r="56" spans="1:26" s="69" customFormat="1" ht="15" customHeight="1" outlineLevel="1" collapsed="1" x14ac:dyDescent="0.3">
      <c r="A56" s="20"/>
      <c r="B56" s="11" t="str">
        <f>CONCATENATE("     ","Donations                                         ")</f>
        <v xml:space="preserve">     Donations                                         </v>
      </c>
      <c r="C56" s="11"/>
      <c r="D56" s="2">
        <f>SUM(OSRRefD22_6x_0)</f>
        <v>0</v>
      </c>
      <c r="E56" s="2"/>
      <c r="F56" s="5">
        <f t="shared" si="0"/>
        <v>0</v>
      </c>
      <c r="G56" s="2"/>
      <c r="H56" s="2">
        <f>SUM(OSRRefH22_6x_0)</f>
        <v>0</v>
      </c>
      <c r="I56" s="2"/>
      <c r="J56" s="5">
        <f t="shared" si="1"/>
        <v>0</v>
      </c>
      <c r="K56" s="2"/>
      <c r="L56" s="2">
        <f t="shared" si="2"/>
        <v>0</v>
      </c>
      <c r="M56" s="2"/>
      <c r="N56" s="5">
        <f t="shared" si="3"/>
        <v>0</v>
      </c>
      <c r="O56" s="11"/>
      <c r="P56" s="2">
        <f>SUM(OSRRefP22_6x_0)</f>
        <v>35511.86</v>
      </c>
      <c r="Q56" s="2"/>
      <c r="R56" s="5">
        <f t="shared" si="4"/>
        <v>8.6808955201361955E-3</v>
      </c>
      <c r="S56" s="2"/>
      <c r="T56" s="2">
        <f>SUM(OSRRefT22_6x_0)</f>
        <v>60000</v>
      </c>
      <c r="U56" s="2"/>
      <c r="V56" s="5">
        <f t="shared" si="5"/>
        <v>1.6835016835016835E-2</v>
      </c>
      <c r="W56" s="2"/>
      <c r="X56" s="2">
        <f t="shared" si="6"/>
        <v>-24488.14</v>
      </c>
      <c r="Y56" s="2"/>
      <c r="Z56" s="5">
        <f t="shared" si="7"/>
        <v>-0.40813566666666667</v>
      </c>
    </row>
    <row r="57" spans="1:26" s="70" customFormat="1" ht="15" hidden="1" customHeight="1" outlineLevel="2" x14ac:dyDescent="0.3">
      <c r="A57" s="21"/>
      <c r="B57" s="9" t="str">
        <f>CONCATENATE("          ","6399"," - ","DONATION-ON CAMPUS")</f>
        <v xml:space="preserve">          6399 - DONATION-ON CAMPUS</v>
      </c>
      <c r="C57" s="9"/>
      <c r="D57" s="6"/>
      <c r="E57" s="3"/>
      <c r="F57" s="7">
        <f t="shared" ref="F57:F87" si="8">IF(D$12=0,0,D57/D$12)</f>
        <v>0</v>
      </c>
      <c r="G57" s="3"/>
      <c r="H57" s="6"/>
      <c r="I57" s="3"/>
      <c r="J57" s="7">
        <f t="shared" ref="J57:J87" si="9">IF(H$12=0,0,H57/H$12)</f>
        <v>0</v>
      </c>
      <c r="K57" s="3"/>
      <c r="L57" s="6">
        <f t="shared" ref="L57:L87" si="10">+D57-H57</f>
        <v>0</v>
      </c>
      <c r="M57" s="3"/>
      <c r="N57" s="7">
        <f t="shared" ref="N57:N87" si="11">IF(H57=0,0,L57/H57)</f>
        <v>0</v>
      </c>
      <c r="O57" s="9"/>
      <c r="P57" s="6">
        <v>35511.86</v>
      </c>
      <c r="Q57" s="3"/>
      <c r="R57" s="7">
        <f t="shared" ref="R57:R87" si="12">IF(P$12=0,0,P57/P$12)</f>
        <v>8.6808955201361955E-3</v>
      </c>
      <c r="S57" s="3"/>
      <c r="T57" s="6">
        <v>60000</v>
      </c>
      <c r="U57" s="3"/>
      <c r="V57" s="7">
        <f t="shared" ref="V57:V87" si="13">IF(T$12=0,0,T57/T$12)</f>
        <v>1.6835016835016835E-2</v>
      </c>
      <c r="W57" s="3"/>
      <c r="X57" s="6">
        <f t="shared" ref="X57:X87" si="14">+P57-T57</f>
        <v>-24488.14</v>
      </c>
      <c r="Y57" s="3"/>
      <c r="Z57" s="7">
        <f t="shared" ref="Z57:Z87" si="15">IF(T57=0,0,X57/T57)</f>
        <v>-0.40813566666666667</v>
      </c>
    </row>
    <row r="58" spans="1:26" s="69" customFormat="1" ht="15" customHeight="1" outlineLevel="1" collapsed="1" x14ac:dyDescent="0.3">
      <c r="A58" s="20"/>
      <c r="B58" s="11" t="str">
        <f>CONCATENATE("     ","Employees' Appreciation                           ")</f>
        <v xml:space="preserve">     Employees' Appreciation                           </v>
      </c>
      <c r="C58" s="11"/>
      <c r="D58" s="2">
        <f>SUM(OSRRefD22_7x_0)</f>
        <v>0</v>
      </c>
      <c r="E58" s="2"/>
      <c r="F58" s="5">
        <f t="shared" si="8"/>
        <v>0</v>
      </c>
      <c r="G58" s="2"/>
      <c r="H58" s="2">
        <f>SUM(OSRRefH22_7x_0)</f>
        <v>0</v>
      </c>
      <c r="I58" s="2"/>
      <c r="J58" s="5">
        <f t="shared" si="9"/>
        <v>0</v>
      </c>
      <c r="K58" s="2"/>
      <c r="L58" s="2">
        <f t="shared" si="10"/>
        <v>0</v>
      </c>
      <c r="M58" s="2"/>
      <c r="N58" s="5">
        <f t="shared" si="11"/>
        <v>0</v>
      </c>
      <c r="O58" s="11"/>
      <c r="P58" s="2">
        <f>SUM(OSRRefP22_7x_0)</f>
        <v>34.47</v>
      </c>
      <c r="Q58" s="2"/>
      <c r="R58" s="5">
        <f t="shared" si="12"/>
        <v>8.4262122169634205E-6</v>
      </c>
      <c r="S58" s="2"/>
      <c r="T58" s="2">
        <f>SUM(OSRRefT22_7x_0)</f>
        <v>700</v>
      </c>
      <c r="U58" s="2"/>
      <c r="V58" s="5">
        <f t="shared" si="13"/>
        <v>1.9640852974186308E-4</v>
      </c>
      <c r="W58" s="2"/>
      <c r="X58" s="2">
        <f t="shared" si="14"/>
        <v>-665.53</v>
      </c>
      <c r="Y58" s="2"/>
      <c r="Z58" s="5">
        <f t="shared" si="15"/>
        <v>-0.95075714285714286</v>
      </c>
    </row>
    <row r="59" spans="1:26" s="70" customFormat="1" ht="15" hidden="1" customHeight="1" outlineLevel="2" x14ac:dyDescent="0.3">
      <c r="A59" s="21"/>
      <c r="B59" s="9" t="str">
        <f>CONCATENATE("          ","6277"," - ","EMPLOYEE APPRECIATION")</f>
        <v xml:space="preserve">          6277 - EMPLOYEE APPRECIATION</v>
      </c>
      <c r="C59" s="9"/>
      <c r="D59" s="6"/>
      <c r="E59" s="3"/>
      <c r="F59" s="7">
        <f t="shared" si="8"/>
        <v>0</v>
      </c>
      <c r="G59" s="3"/>
      <c r="H59" s="6"/>
      <c r="I59" s="3"/>
      <c r="J59" s="7">
        <f t="shared" si="9"/>
        <v>0</v>
      </c>
      <c r="K59" s="3"/>
      <c r="L59" s="6">
        <f t="shared" si="10"/>
        <v>0</v>
      </c>
      <c r="M59" s="3"/>
      <c r="N59" s="7">
        <f t="shared" si="11"/>
        <v>0</v>
      </c>
      <c r="O59" s="9"/>
      <c r="P59" s="6">
        <v>34.47</v>
      </c>
      <c r="Q59" s="3"/>
      <c r="R59" s="7">
        <f t="shared" si="12"/>
        <v>8.4262122169634205E-6</v>
      </c>
      <c r="S59" s="3"/>
      <c r="T59" s="6">
        <v>700</v>
      </c>
      <c r="U59" s="3"/>
      <c r="V59" s="7">
        <f t="shared" si="13"/>
        <v>1.9640852974186308E-4</v>
      </c>
      <c r="W59" s="3"/>
      <c r="X59" s="6">
        <f t="shared" si="14"/>
        <v>-665.53</v>
      </c>
      <c r="Y59" s="3"/>
      <c r="Z59" s="7">
        <f t="shared" si="15"/>
        <v>-0.95075714285714286</v>
      </c>
    </row>
    <row r="60" spans="1:26" s="69" customFormat="1" ht="15" customHeight="1" outlineLevel="1" collapsed="1" x14ac:dyDescent="0.3">
      <c r="A60" s="20"/>
      <c r="B60" s="11" t="str">
        <f>CONCATENATE("     ","Equipment Rental                                  ")</f>
        <v xml:space="preserve">     Equipment Rental                                  </v>
      </c>
      <c r="C60" s="11"/>
      <c r="D60" s="2">
        <f>SUM(OSRRefD22_8x_0)</f>
        <v>227.44</v>
      </c>
      <c r="E60" s="2"/>
      <c r="F60" s="5">
        <f t="shared" si="8"/>
        <v>1.3736994655533564E-3</v>
      </c>
      <c r="G60" s="2"/>
      <c r="H60" s="2">
        <f>SUM(OSRRefH22_8x_0)</f>
        <v>500</v>
      </c>
      <c r="I60" s="2"/>
      <c r="J60" s="5">
        <f t="shared" si="9"/>
        <v>0</v>
      </c>
      <c r="K60" s="2"/>
      <c r="L60" s="2">
        <f t="shared" si="10"/>
        <v>-272.56</v>
      </c>
      <c r="M60" s="2"/>
      <c r="N60" s="5">
        <f t="shared" si="11"/>
        <v>-0.54512000000000005</v>
      </c>
      <c r="O60" s="11"/>
      <c r="P60" s="2">
        <f>SUM(OSRRefP22_8x_0)</f>
        <v>7847.97</v>
      </c>
      <c r="Q60" s="2"/>
      <c r="R60" s="5">
        <f t="shared" si="12"/>
        <v>1.91844098324231E-3</v>
      </c>
      <c r="S60" s="2"/>
      <c r="T60" s="2">
        <f>SUM(OSRRefT22_8x_0)</f>
        <v>6000</v>
      </c>
      <c r="U60" s="2"/>
      <c r="V60" s="5">
        <f t="shared" si="13"/>
        <v>1.6835016835016834E-3</v>
      </c>
      <c r="W60" s="2"/>
      <c r="X60" s="2">
        <f t="shared" si="14"/>
        <v>1847.9700000000003</v>
      </c>
      <c r="Y60" s="2"/>
      <c r="Z60" s="5">
        <f t="shared" si="15"/>
        <v>0.30799500000000002</v>
      </c>
    </row>
    <row r="61" spans="1:26" s="70" customFormat="1" ht="15" hidden="1" customHeight="1" outlineLevel="2" x14ac:dyDescent="0.3">
      <c r="A61" s="21"/>
      <c r="B61" s="9" t="str">
        <f>CONCATENATE("          ","6351"," - ","EQUIPMENT RENTAL")</f>
        <v xml:space="preserve">          6351 - EQUIPMENT RENTAL</v>
      </c>
      <c r="C61" s="9"/>
      <c r="D61" s="6">
        <v>227.44</v>
      </c>
      <c r="E61" s="3"/>
      <c r="F61" s="7">
        <f t="shared" si="8"/>
        <v>1.3736994655533564E-3</v>
      </c>
      <c r="G61" s="3"/>
      <c r="H61" s="6">
        <v>500</v>
      </c>
      <c r="I61" s="3"/>
      <c r="J61" s="7">
        <f t="shared" si="9"/>
        <v>0</v>
      </c>
      <c r="K61" s="3"/>
      <c r="L61" s="6">
        <f t="shared" si="10"/>
        <v>-272.56</v>
      </c>
      <c r="M61" s="3"/>
      <c r="N61" s="7">
        <f t="shared" si="11"/>
        <v>-0.54512000000000005</v>
      </c>
      <c r="O61" s="9"/>
      <c r="P61" s="6">
        <v>7847.97</v>
      </c>
      <c r="Q61" s="3"/>
      <c r="R61" s="7">
        <f t="shared" si="12"/>
        <v>1.91844098324231E-3</v>
      </c>
      <c r="S61" s="3"/>
      <c r="T61" s="6">
        <v>6000</v>
      </c>
      <c r="U61" s="3"/>
      <c r="V61" s="7">
        <f t="shared" si="13"/>
        <v>1.6835016835016834E-3</v>
      </c>
      <c r="W61" s="3"/>
      <c r="X61" s="6">
        <f t="shared" si="14"/>
        <v>1847.9700000000003</v>
      </c>
      <c r="Y61" s="3"/>
      <c r="Z61" s="7">
        <f t="shared" si="15"/>
        <v>0.30799500000000002</v>
      </c>
    </row>
    <row r="62" spans="1:26" s="69" customFormat="1" ht="15" customHeight="1" outlineLevel="1" collapsed="1" x14ac:dyDescent="0.3">
      <c r="A62" s="20"/>
      <c r="B62" s="11" t="str">
        <f>CONCATENATE("     ","General                                           ")</f>
        <v xml:space="preserve">     General                                           </v>
      </c>
      <c r="C62" s="11"/>
      <c r="D62" s="2">
        <f>SUM(OSRRefD22_9x_0)</f>
        <v>62.59</v>
      </c>
      <c r="E62" s="2"/>
      <c r="F62" s="5">
        <f t="shared" si="8"/>
        <v>3.7803310564977393E-4</v>
      </c>
      <c r="G62" s="2"/>
      <c r="H62" s="2">
        <f>SUM(OSRRefH22_9x_0)</f>
        <v>150</v>
      </c>
      <c r="I62" s="2"/>
      <c r="J62" s="5">
        <f t="shared" si="9"/>
        <v>0</v>
      </c>
      <c r="K62" s="2"/>
      <c r="L62" s="2">
        <f t="shared" si="10"/>
        <v>-87.41</v>
      </c>
      <c r="M62" s="2"/>
      <c r="N62" s="5">
        <f t="shared" si="11"/>
        <v>-0.58273333333333333</v>
      </c>
      <c r="O62" s="11"/>
      <c r="P62" s="2">
        <f>SUM(OSRRefP22_9x_0)</f>
        <v>12151.3</v>
      </c>
      <c r="Q62" s="2"/>
      <c r="R62" s="5">
        <f t="shared" si="12"/>
        <v>2.9703925881052399E-3</v>
      </c>
      <c r="S62" s="2"/>
      <c r="T62" s="2">
        <f>SUM(OSRRefT22_9x_0)</f>
        <v>3450</v>
      </c>
      <c r="U62" s="2"/>
      <c r="V62" s="5">
        <f t="shared" si="13"/>
        <v>9.6801346801346803E-4</v>
      </c>
      <c r="W62" s="2"/>
      <c r="X62" s="2">
        <f t="shared" si="14"/>
        <v>8701.2999999999993</v>
      </c>
      <c r="Y62" s="2"/>
      <c r="Z62" s="5">
        <f t="shared" si="15"/>
        <v>2.5221159420289854</v>
      </c>
    </row>
    <row r="63" spans="1:26" s="70" customFormat="1" ht="15" hidden="1" customHeight="1" outlineLevel="2" x14ac:dyDescent="0.3">
      <c r="A63" s="21"/>
      <c r="B63" s="9" t="str">
        <f>CONCATENATE("          ","6279"," - ","GENERAL EXPENSE")</f>
        <v xml:space="preserve">          6279 - GENERAL EXPENSE</v>
      </c>
      <c r="C63" s="9"/>
      <c r="D63" s="6">
        <v>62.59</v>
      </c>
      <c r="E63" s="3"/>
      <c r="F63" s="7">
        <f t="shared" si="8"/>
        <v>3.7803310564977393E-4</v>
      </c>
      <c r="G63" s="3"/>
      <c r="H63" s="6">
        <v>150</v>
      </c>
      <c r="I63" s="3"/>
      <c r="J63" s="7">
        <f t="shared" si="9"/>
        <v>0</v>
      </c>
      <c r="K63" s="3"/>
      <c r="L63" s="6">
        <f t="shared" si="10"/>
        <v>-87.41</v>
      </c>
      <c r="M63" s="3"/>
      <c r="N63" s="7">
        <f t="shared" si="11"/>
        <v>-0.58273333333333333</v>
      </c>
      <c r="O63" s="9"/>
      <c r="P63" s="6">
        <v>12151.3</v>
      </c>
      <c r="Q63" s="3"/>
      <c r="R63" s="7">
        <f t="shared" si="12"/>
        <v>2.9703925881052399E-3</v>
      </c>
      <c r="S63" s="3"/>
      <c r="T63" s="6">
        <v>3450</v>
      </c>
      <c r="U63" s="3"/>
      <c r="V63" s="7">
        <f t="shared" si="13"/>
        <v>9.6801346801346803E-4</v>
      </c>
      <c r="W63" s="3"/>
      <c r="X63" s="6">
        <f t="shared" si="14"/>
        <v>8701.2999999999993</v>
      </c>
      <c r="Y63" s="3"/>
      <c r="Z63" s="7">
        <f t="shared" si="15"/>
        <v>2.5221159420289854</v>
      </c>
    </row>
    <row r="64" spans="1:26" s="69" customFormat="1" ht="15" customHeight="1" outlineLevel="1" collapsed="1" x14ac:dyDescent="0.3">
      <c r="A64" s="20"/>
      <c r="B64" s="11" t="str">
        <f>CONCATENATE("     ","R/H Commissions                                   ")</f>
        <v xml:space="preserve">     R/H Commissions                                   </v>
      </c>
      <c r="C64" s="11"/>
      <c r="D64" s="2">
        <f>SUM(OSRRefD22_10x_0)</f>
        <v>13318.07</v>
      </c>
      <c r="E64" s="2"/>
      <c r="F64" s="5">
        <f t="shared" si="8"/>
        <v>8.0438909783688839E-2</v>
      </c>
      <c r="G64" s="2"/>
      <c r="H64" s="2">
        <f>SUM(OSRRefH22_10x_0)</f>
        <v>0</v>
      </c>
      <c r="I64" s="2"/>
      <c r="J64" s="5">
        <f t="shared" si="9"/>
        <v>0</v>
      </c>
      <c r="K64" s="2"/>
      <c r="L64" s="2">
        <f t="shared" si="10"/>
        <v>13318.07</v>
      </c>
      <c r="M64" s="2"/>
      <c r="N64" s="5">
        <f t="shared" si="11"/>
        <v>0</v>
      </c>
      <c r="O64" s="11"/>
      <c r="P64" s="2">
        <f>SUM(OSRRefP22_10x_0)</f>
        <v>320915.96999999997</v>
      </c>
      <c r="Q64" s="2"/>
      <c r="R64" s="5">
        <f t="shared" si="12"/>
        <v>7.8448101741591725E-2</v>
      </c>
      <c r="S64" s="2"/>
      <c r="T64" s="2">
        <f>SUM(OSRRefT22_10x_0)</f>
        <v>285120</v>
      </c>
      <c r="U64" s="2"/>
      <c r="V64" s="5">
        <f t="shared" si="13"/>
        <v>0.08</v>
      </c>
      <c r="W64" s="2"/>
      <c r="X64" s="2">
        <f t="shared" si="14"/>
        <v>35795.969999999972</v>
      </c>
      <c r="Y64" s="2"/>
      <c r="Z64" s="5">
        <f t="shared" si="15"/>
        <v>0.12554703282828272</v>
      </c>
    </row>
    <row r="65" spans="1:26" s="70" customFormat="1" ht="15" hidden="1" customHeight="1" outlineLevel="2" x14ac:dyDescent="0.3">
      <c r="A65" s="21"/>
      <c r="B65" s="9" t="str">
        <f>CONCATENATE("          ","6387"," - ","COMMISSION DUE HOUSING")</f>
        <v xml:space="preserve">          6387 - COMMISSION DUE HOUSING</v>
      </c>
      <c r="C65" s="9"/>
      <c r="D65" s="6">
        <v>13318.07</v>
      </c>
      <c r="E65" s="3"/>
      <c r="F65" s="7">
        <f t="shared" si="8"/>
        <v>8.0438909783688839E-2</v>
      </c>
      <c r="G65" s="3"/>
      <c r="H65" s="6"/>
      <c r="I65" s="3"/>
      <c r="J65" s="7">
        <f t="shared" si="9"/>
        <v>0</v>
      </c>
      <c r="K65" s="3"/>
      <c r="L65" s="6">
        <f t="shared" si="10"/>
        <v>13318.07</v>
      </c>
      <c r="M65" s="3"/>
      <c r="N65" s="7">
        <f t="shared" si="11"/>
        <v>0</v>
      </c>
      <c r="O65" s="9"/>
      <c r="P65" s="6">
        <v>320915.96999999997</v>
      </c>
      <c r="Q65" s="3"/>
      <c r="R65" s="7">
        <f t="shared" si="12"/>
        <v>7.8448101741591725E-2</v>
      </c>
      <c r="S65" s="3"/>
      <c r="T65" s="6">
        <v>285120</v>
      </c>
      <c r="U65" s="3"/>
      <c r="V65" s="7">
        <f t="shared" si="13"/>
        <v>0.08</v>
      </c>
      <c r="W65" s="3"/>
      <c r="X65" s="6">
        <f t="shared" si="14"/>
        <v>35795.969999999972</v>
      </c>
      <c r="Y65" s="3"/>
      <c r="Z65" s="7">
        <f t="shared" si="15"/>
        <v>0.12554703282828272</v>
      </c>
    </row>
    <row r="66" spans="1:26" s="69" customFormat="1" ht="15" customHeight="1" outlineLevel="1" collapsed="1" x14ac:dyDescent="0.3">
      <c r="A66" s="20"/>
      <c r="B66" s="11" t="str">
        <f>CONCATENATE("     ","Repair and Maintenance                            ")</f>
        <v xml:space="preserve">     Repair and Maintenance                            </v>
      </c>
      <c r="C66" s="11"/>
      <c r="D66" s="2">
        <f>SUM(OSRRefD22_11x_0)</f>
        <v>1991.28</v>
      </c>
      <c r="E66" s="2"/>
      <c r="F66" s="5">
        <f t="shared" si="8"/>
        <v>1.2026997325743437E-2</v>
      </c>
      <c r="G66" s="2"/>
      <c r="H66" s="2">
        <f>SUM(OSRRefH22_11x_0)</f>
        <v>250</v>
      </c>
      <c r="I66" s="2"/>
      <c r="J66" s="5">
        <f t="shared" si="9"/>
        <v>0</v>
      </c>
      <c r="K66" s="2"/>
      <c r="L66" s="2">
        <f t="shared" si="10"/>
        <v>1741.28</v>
      </c>
      <c r="M66" s="2"/>
      <c r="N66" s="5">
        <f t="shared" si="11"/>
        <v>6.9651199999999998</v>
      </c>
      <c r="O66" s="11"/>
      <c r="P66" s="2">
        <f>SUM(OSRRefP22_11x_0)</f>
        <v>5511.85</v>
      </c>
      <c r="Q66" s="2"/>
      <c r="R66" s="5">
        <f t="shared" si="12"/>
        <v>1.3473750452007497E-3</v>
      </c>
      <c r="S66" s="2"/>
      <c r="T66" s="2">
        <f>SUM(OSRRefT22_11x_0)</f>
        <v>10200</v>
      </c>
      <c r="U66" s="2"/>
      <c r="V66" s="5">
        <f t="shared" si="13"/>
        <v>2.861952861952862E-3</v>
      </c>
      <c r="W66" s="2"/>
      <c r="X66" s="2">
        <f t="shared" si="14"/>
        <v>-4688.1499999999996</v>
      </c>
      <c r="Y66" s="2"/>
      <c r="Z66" s="5">
        <f t="shared" si="15"/>
        <v>-0.45962254901960781</v>
      </c>
    </row>
    <row r="67" spans="1:26" s="70" customFormat="1" ht="15" hidden="1" customHeight="1" outlineLevel="2" x14ac:dyDescent="0.3">
      <c r="A67" s="21"/>
      <c r="B67" s="9" t="str">
        <f>CONCATENATE("          ","6371"," - ","COMPUTER SOFTWARE MAINTENANCE")</f>
        <v xml:space="preserve">          6371 - COMPUTER SOFTWARE MAINTENANCE</v>
      </c>
      <c r="C67" s="9"/>
      <c r="D67" s="6"/>
      <c r="E67" s="3"/>
      <c r="F67" s="7">
        <f t="shared" si="8"/>
        <v>0</v>
      </c>
      <c r="G67" s="3"/>
      <c r="H67" s="6">
        <v>0</v>
      </c>
      <c r="I67" s="3"/>
      <c r="J67" s="7">
        <f t="shared" si="9"/>
        <v>0</v>
      </c>
      <c r="K67" s="3"/>
      <c r="L67" s="6">
        <f t="shared" si="10"/>
        <v>0</v>
      </c>
      <c r="M67" s="3"/>
      <c r="N67" s="7">
        <f t="shared" si="11"/>
        <v>0</v>
      </c>
      <c r="O67" s="9"/>
      <c r="P67" s="6"/>
      <c r="Q67" s="3"/>
      <c r="R67" s="7">
        <f t="shared" si="12"/>
        <v>0</v>
      </c>
      <c r="S67" s="3"/>
      <c r="T67" s="6">
        <v>0</v>
      </c>
      <c r="U67" s="3"/>
      <c r="V67" s="7">
        <f t="shared" si="13"/>
        <v>0</v>
      </c>
      <c r="W67" s="3"/>
      <c r="X67" s="6">
        <f t="shared" si="14"/>
        <v>0</v>
      </c>
      <c r="Y67" s="3"/>
      <c r="Z67" s="7">
        <f t="shared" si="15"/>
        <v>0</v>
      </c>
    </row>
    <row r="68" spans="1:26" s="70" customFormat="1" ht="15" hidden="1" customHeight="1" outlineLevel="2" x14ac:dyDescent="0.3">
      <c r="A68" s="21"/>
      <c r="B68" s="9" t="str">
        <f>CONCATENATE("          ","6373"," - ","MAINTENANCE CONTRACTS")</f>
        <v xml:space="preserve">          6373 - MAINTENANCE CONTRACTS</v>
      </c>
      <c r="C68" s="9"/>
      <c r="D68" s="6">
        <v>1991.28</v>
      </c>
      <c r="E68" s="3"/>
      <c r="F68" s="7">
        <f t="shared" si="8"/>
        <v>1.2026997325743437E-2</v>
      </c>
      <c r="G68" s="3"/>
      <c r="H68" s="6"/>
      <c r="I68" s="3"/>
      <c r="J68" s="7">
        <f t="shared" si="9"/>
        <v>0</v>
      </c>
      <c r="K68" s="3"/>
      <c r="L68" s="6">
        <f t="shared" si="10"/>
        <v>1991.28</v>
      </c>
      <c r="M68" s="3"/>
      <c r="N68" s="7">
        <f t="shared" si="11"/>
        <v>0</v>
      </c>
      <c r="O68" s="9"/>
      <c r="P68" s="6">
        <v>2268.85</v>
      </c>
      <c r="Q68" s="3"/>
      <c r="R68" s="7">
        <f t="shared" si="12"/>
        <v>5.5462174611132749E-4</v>
      </c>
      <c r="S68" s="3"/>
      <c r="T68" s="6">
        <v>7200</v>
      </c>
      <c r="U68" s="3"/>
      <c r="V68" s="7">
        <f t="shared" si="13"/>
        <v>2.0202020202020202E-3</v>
      </c>
      <c r="W68" s="3"/>
      <c r="X68" s="6">
        <f t="shared" si="14"/>
        <v>-4931.1499999999996</v>
      </c>
      <c r="Y68" s="3"/>
      <c r="Z68" s="7">
        <f t="shared" si="15"/>
        <v>-0.68488194444444439</v>
      </c>
    </row>
    <row r="69" spans="1:26" s="70" customFormat="1" ht="15" hidden="1" customHeight="1" outlineLevel="2" x14ac:dyDescent="0.3">
      <c r="A69" s="21"/>
      <c r="B69" s="9" t="str">
        <f>CONCATENATE("          ","6375"," - ","OUTSIDE REPAIRS &amp; MAINTENANCE")</f>
        <v xml:space="preserve">          6375 - OUTSIDE REPAIRS &amp; MAINTENANCE</v>
      </c>
      <c r="C69" s="9"/>
      <c r="D69" s="6"/>
      <c r="E69" s="3"/>
      <c r="F69" s="7">
        <f t="shared" si="8"/>
        <v>0</v>
      </c>
      <c r="G69" s="3"/>
      <c r="H69" s="6">
        <v>250</v>
      </c>
      <c r="I69" s="3"/>
      <c r="J69" s="7">
        <f t="shared" si="9"/>
        <v>0</v>
      </c>
      <c r="K69" s="3"/>
      <c r="L69" s="6">
        <f t="shared" si="10"/>
        <v>-250</v>
      </c>
      <c r="M69" s="3"/>
      <c r="N69" s="7">
        <f t="shared" si="11"/>
        <v>-1</v>
      </c>
      <c r="O69" s="9"/>
      <c r="P69" s="6">
        <v>3243</v>
      </c>
      <c r="Q69" s="3"/>
      <c r="R69" s="7">
        <f t="shared" si="12"/>
        <v>7.9275329908942195E-4</v>
      </c>
      <c r="S69" s="3"/>
      <c r="T69" s="6">
        <v>3000</v>
      </c>
      <c r="U69" s="3"/>
      <c r="V69" s="7">
        <f t="shared" si="13"/>
        <v>8.4175084175084171E-4</v>
      </c>
      <c r="W69" s="3"/>
      <c r="X69" s="6">
        <f t="shared" si="14"/>
        <v>243</v>
      </c>
      <c r="Y69" s="3"/>
      <c r="Z69" s="7">
        <f t="shared" si="15"/>
        <v>8.1000000000000003E-2</v>
      </c>
    </row>
    <row r="70" spans="1:26" s="69" customFormat="1" ht="15" customHeight="1" outlineLevel="1" collapsed="1" x14ac:dyDescent="0.3">
      <c r="A70" s="20"/>
      <c r="B70" s="11" t="str">
        <f>CONCATENATE("     ","Services                                          ")</f>
        <v xml:space="preserve">     Services                                          </v>
      </c>
      <c r="C70" s="11"/>
      <c r="D70" s="2">
        <f>SUM(OSRRefD22_12x_0)</f>
        <v>7452.0099999999993</v>
      </c>
      <c r="E70" s="2"/>
      <c r="F70" s="5">
        <f t="shared" si="8"/>
        <v>4.5008890935184079E-2</v>
      </c>
      <c r="G70" s="2"/>
      <c r="H70" s="2">
        <f>SUM(OSRRefH22_12x_0)</f>
        <v>7150</v>
      </c>
      <c r="I70" s="2"/>
      <c r="J70" s="5">
        <f t="shared" si="9"/>
        <v>0</v>
      </c>
      <c r="K70" s="2"/>
      <c r="L70" s="2">
        <f t="shared" si="10"/>
        <v>302.00999999999931</v>
      </c>
      <c r="M70" s="2"/>
      <c r="N70" s="5">
        <f t="shared" si="11"/>
        <v>4.2239160839160746E-2</v>
      </c>
      <c r="O70" s="11"/>
      <c r="P70" s="2">
        <f>SUM(OSRRefP22_12x_0)</f>
        <v>73257.759999999995</v>
      </c>
      <c r="Q70" s="2"/>
      <c r="R70" s="5">
        <f t="shared" si="12"/>
        <v>1.790790346096241E-2</v>
      </c>
      <c r="S70" s="2"/>
      <c r="T70" s="2">
        <f>SUM(OSRRefT22_12x_0)</f>
        <v>85800</v>
      </c>
      <c r="U70" s="2"/>
      <c r="V70" s="5">
        <f t="shared" si="13"/>
        <v>2.4074074074074074E-2</v>
      </c>
      <c r="W70" s="2"/>
      <c r="X70" s="2">
        <f t="shared" si="14"/>
        <v>-12542.240000000005</v>
      </c>
      <c r="Y70" s="2"/>
      <c r="Z70" s="5">
        <f t="shared" si="15"/>
        <v>-0.14617995337995343</v>
      </c>
    </row>
    <row r="71" spans="1:26" s="70" customFormat="1" ht="15" hidden="1" customHeight="1" outlineLevel="2" x14ac:dyDescent="0.3">
      <c r="A71" s="21"/>
      <c r="B71" s="9" t="str">
        <f>CONCATENATE("          ","6282"," - ","JANITORIAL/EXTERMINATOR EXPENS")</f>
        <v xml:space="preserve">          6282 - JANITORIAL/EXTERMINATOR EXPENS</v>
      </c>
      <c r="C71" s="9"/>
      <c r="D71" s="6">
        <v>454.95</v>
      </c>
      <c r="E71" s="3"/>
      <c r="F71" s="7">
        <f t="shared" si="8"/>
        <v>2.7478217193699413E-3</v>
      </c>
      <c r="G71" s="3"/>
      <c r="H71" s="6">
        <v>450</v>
      </c>
      <c r="I71" s="3"/>
      <c r="J71" s="7">
        <f t="shared" si="9"/>
        <v>0</v>
      </c>
      <c r="K71" s="3"/>
      <c r="L71" s="6">
        <f t="shared" si="10"/>
        <v>4.9499999999999886</v>
      </c>
      <c r="M71" s="3"/>
      <c r="N71" s="7">
        <f t="shared" si="11"/>
        <v>1.0999999999999975E-2</v>
      </c>
      <c r="O71" s="9"/>
      <c r="P71" s="6">
        <v>5688.77</v>
      </c>
      <c r="Q71" s="3"/>
      <c r="R71" s="7">
        <f t="shared" si="12"/>
        <v>1.3906232455322021E-3</v>
      </c>
      <c r="S71" s="3"/>
      <c r="T71" s="6">
        <v>5400</v>
      </c>
      <c r="U71" s="3"/>
      <c r="V71" s="7">
        <f t="shared" si="13"/>
        <v>1.5151515151515152E-3</v>
      </c>
      <c r="W71" s="3"/>
      <c r="X71" s="6">
        <f t="shared" si="14"/>
        <v>288.77000000000044</v>
      </c>
      <c r="Y71" s="3"/>
      <c r="Z71" s="7">
        <f t="shared" si="15"/>
        <v>5.347592592592601E-2</v>
      </c>
    </row>
    <row r="72" spans="1:26" s="70" customFormat="1" ht="15" hidden="1" customHeight="1" outlineLevel="2" x14ac:dyDescent="0.3">
      <c r="A72" s="21"/>
      <c r="B72" s="9" t="str">
        <f>CONCATENATE("          ","6284"," - ","TRASH REMOVAL EXPENSE")</f>
        <v xml:space="preserve">          6284 - TRASH REMOVAL EXPENSE</v>
      </c>
      <c r="C72" s="9"/>
      <c r="D72" s="6"/>
      <c r="E72" s="3"/>
      <c r="F72" s="7">
        <f t="shared" si="8"/>
        <v>0</v>
      </c>
      <c r="G72" s="3"/>
      <c r="H72" s="6">
        <v>500</v>
      </c>
      <c r="I72" s="3"/>
      <c r="J72" s="7">
        <f t="shared" si="9"/>
        <v>0</v>
      </c>
      <c r="K72" s="3"/>
      <c r="L72" s="6">
        <f t="shared" si="10"/>
        <v>-500</v>
      </c>
      <c r="M72" s="3"/>
      <c r="N72" s="7">
        <f t="shared" si="11"/>
        <v>-1</v>
      </c>
      <c r="O72" s="9"/>
      <c r="P72" s="6"/>
      <c r="Q72" s="3"/>
      <c r="R72" s="7">
        <f t="shared" si="12"/>
        <v>0</v>
      </c>
      <c r="S72" s="3"/>
      <c r="T72" s="6">
        <v>6000</v>
      </c>
      <c r="U72" s="3"/>
      <c r="V72" s="7">
        <f t="shared" si="13"/>
        <v>1.6835016835016834E-3</v>
      </c>
      <c r="W72" s="3"/>
      <c r="X72" s="6">
        <f t="shared" si="14"/>
        <v>-6000</v>
      </c>
      <c r="Y72" s="3"/>
      <c r="Z72" s="7">
        <f t="shared" si="15"/>
        <v>-1</v>
      </c>
    </row>
    <row r="73" spans="1:26" s="70" customFormat="1" ht="15" hidden="1" customHeight="1" outlineLevel="2" x14ac:dyDescent="0.3">
      <c r="A73" s="21"/>
      <c r="B73" s="9" t="str">
        <f>CONCATENATE("          ","6285"," - ","JANITORIAL SERVICES")</f>
        <v xml:space="preserve">          6285 - JANITORIAL SERVICES</v>
      </c>
      <c r="C73" s="9"/>
      <c r="D73" s="6">
        <v>4428.8599999999997</v>
      </c>
      <c r="E73" s="3"/>
      <c r="F73" s="7">
        <f t="shared" si="8"/>
        <v>2.674957182118641E-2</v>
      </c>
      <c r="G73" s="3"/>
      <c r="H73" s="6">
        <v>4700</v>
      </c>
      <c r="I73" s="3"/>
      <c r="J73" s="7">
        <f t="shared" si="9"/>
        <v>0</v>
      </c>
      <c r="K73" s="3"/>
      <c r="L73" s="6">
        <f t="shared" si="10"/>
        <v>-271.14000000000033</v>
      </c>
      <c r="M73" s="3"/>
      <c r="N73" s="7">
        <f t="shared" si="11"/>
        <v>-5.7689361702127732E-2</v>
      </c>
      <c r="O73" s="9"/>
      <c r="P73" s="6">
        <v>53629.32</v>
      </c>
      <c r="Q73" s="3"/>
      <c r="R73" s="7">
        <f t="shared" si="12"/>
        <v>1.3109719505988998E-2</v>
      </c>
      <c r="S73" s="3"/>
      <c r="T73" s="6">
        <v>56400</v>
      </c>
      <c r="U73" s="3"/>
      <c r="V73" s="7">
        <f t="shared" si="13"/>
        <v>1.5824915824915825E-2</v>
      </c>
      <c r="W73" s="3"/>
      <c r="X73" s="6">
        <f t="shared" si="14"/>
        <v>-2770.6800000000003</v>
      </c>
      <c r="Y73" s="3"/>
      <c r="Z73" s="7">
        <f t="shared" si="15"/>
        <v>-4.9125531914893619E-2</v>
      </c>
    </row>
    <row r="74" spans="1:26" s="70" customFormat="1" ht="15" hidden="1" customHeight="1" outlineLevel="2" x14ac:dyDescent="0.3">
      <c r="A74" s="21"/>
      <c r="B74" s="9" t="str">
        <f>CONCATENATE("          ","6286"," - ","LAUNDRY EXPENSE")</f>
        <v xml:space="preserve">          6286 - LAUNDRY EXPENSE</v>
      </c>
      <c r="C74" s="9"/>
      <c r="D74" s="6">
        <v>2568.1999999999998</v>
      </c>
      <c r="E74" s="3"/>
      <c r="F74" s="7">
        <f t="shared" si="8"/>
        <v>1.5511497394627724E-2</v>
      </c>
      <c r="G74" s="3"/>
      <c r="H74" s="6">
        <v>1500</v>
      </c>
      <c r="I74" s="3"/>
      <c r="J74" s="7">
        <f t="shared" si="9"/>
        <v>0</v>
      </c>
      <c r="K74" s="3"/>
      <c r="L74" s="6">
        <f t="shared" si="10"/>
        <v>1068.1999999999998</v>
      </c>
      <c r="M74" s="3"/>
      <c r="N74" s="7">
        <f t="shared" si="11"/>
        <v>0.71213333333333317</v>
      </c>
      <c r="O74" s="9"/>
      <c r="P74" s="6">
        <v>13939.67</v>
      </c>
      <c r="Q74" s="3"/>
      <c r="R74" s="7">
        <f t="shared" si="12"/>
        <v>3.4075607094412098E-3</v>
      </c>
      <c r="S74" s="3"/>
      <c r="T74" s="6">
        <v>18000</v>
      </c>
      <c r="U74" s="3"/>
      <c r="V74" s="7">
        <f t="shared" si="13"/>
        <v>5.0505050505050509E-3</v>
      </c>
      <c r="W74" s="3"/>
      <c r="X74" s="6">
        <f t="shared" si="14"/>
        <v>-4060.33</v>
      </c>
      <c r="Y74" s="3"/>
      <c r="Z74" s="7">
        <f t="shared" si="15"/>
        <v>-0.22557388888888888</v>
      </c>
    </row>
    <row r="75" spans="1:26" s="69" customFormat="1" ht="15" customHeight="1" outlineLevel="1" collapsed="1" x14ac:dyDescent="0.3">
      <c r="A75" s="20"/>
      <c r="B75" s="11" t="str">
        <f>CONCATENATE("     ","Supplies                                          ")</f>
        <v xml:space="preserve">     Supplies                                          </v>
      </c>
      <c r="C75" s="11"/>
      <c r="D75" s="2">
        <f>SUM(OSRRefD22_13x_0)</f>
        <v>3923.41</v>
      </c>
      <c r="E75" s="2"/>
      <c r="F75" s="5">
        <f t="shared" si="8"/>
        <v>2.3696738569058625E-2</v>
      </c>
      <c r="G75" s="2"/>
      <c r="H75" s="2">
        <f>SUM(OSRRefH22_13x_0)</f>
        <v>11394</v>
      </c>
      <c r="I75" s="2"/>
      <c r="J75" s="5">
        <f t="shared" si="9"/>
        <v>0</v>
      </c>
      <c r="K75" s="2"/>
      <c r="L75" s="2">
        <f t="shared" si="10"/>
        <v>-7470.59</v>
      </c>
      <c r="M75" s="2"/>
      <c r="N75" s="5">
        <f t="shared" si="11"/>
        <v>-0.65565999648938034</v>
      </c>
      <c r="O75" s="11"/>
      <c r="P75" s="2">
        <f>SUM(OSRRefP22_13x_0)</f>
        <v>85862.83</v>
      </c>
      <c r="Q75" s="2"/>
      <c r="R75" s="5">
        <f t="shared" si="12"/>
        <v>2.0989220398289914E-2</v>
      </c>
      <c r="S75" s="2"/>
      <c r="T75" s="2">
        <f>SUM(OSRRefT22_13x_0)</f>
        <v>136750</v>
      </c>
      <c r="U75" s="2"/>
      <c r="V75" s="5">
        <f t="shared" si="13"/>
        <v>3.8369809203142535E-2</v>
      </c>
      <c r="W75" s="2"/>
      <c r="X75" s="2">
        <f t="shared" si="14"/>
        <v>-50887.17</v>
      </c>
      <c r="Y75" s="2"/>
      <c r="Z75" s="5">
        <f t="shared" si="15"/>
        <v>-0.37211824497257767</v>
      </c>
    </row>
    <row r="76" spans="1:26" s="70" customFormat="1" ht="15" hidden="1" customHeight="1" outlineLevel="2" x14ac:dyDescent="0.3">
      <c r="A76" s="21"/>
      <c r="B76" s="9" t="str">
        <f>CONCATENATE("          ","6234"," - ","EXPENDABLE SUPPLIES &amp; EQUIPMEN")</f>
        <v xml:space="preserve">          6234 - EXPENDABLE SUPPLIES &amp; EQUIPMEN</v>
      </c>
      <c r="C76" s="9"/>
      <c r="D76" s="6">
        <v>525.74</v>
      </c>
      <c r="E76" s="3"/>
      <c r="F76" s="7">
        <f t="shared" si="8"/>
        <v>3.1753814501407915E-3</v>
      </c>
      <c r="G76" s="3"/>
      <c r="H76" s="6"/>
      <c r="I76" s="3"/>
      <c r="J76" s="7">
        <f t="shared" si="9"/>
        <v>0</v>
      </c>
      <c r="K76" s="3"/>
      <c r="L76" s="6">
        <f t="shared" si="10"/>
        <v>525.74</v>
      </c>
      <c r="M76" s="3"/>
      <c r="N76" s="7">
        <f t="shared" si="11"/>
        <v>0</v>
      </c>
      <c r="O76" s="9"/>
      <c r="P76" s="6">
        <v>547.72</v>
      </c>
      <c r="Q76" s="3"/>
      <c r="R76" s="7">
        <f t="shared" si="12"/>
        <v>1.3389048318756036E-4</v>
      </c>
      <c r="S76" s="3"/>
      <c r="T76" s="6"/>
      <c r="U76" s="3"/>
      <c r="V76" s="7">
        <f t="shared" si="13"/>
        <v>0</v>
      </c>
      <c r="W76" s="3"/>
      <c r="X76" s="6">
        <f t="shared" si="14"/>
        <v>547.72</v>
      </c>
      <c r="Y76" s="3"/>
      <c r="Z76" s="7">
        <f t="shared" si="15"/>
        <v>0</v>
      </c>
    </row>
    <row r="77" spans="1:26" s="70" customFormat="1" ht="15" hidden="1" customHeight="1" outlineLevel="2" x14ac:dyDescent="0.3">
      <c r="A77" s="21"/>
      <c r="B77" s="9" t="str">
        <f>CONCATENATE("          ","6237"," - ","JANITORIAL SUPPLIES")</f>
        <v xml:space="preserve">          6237 - JANITORIAL SUPPLIES</v>
      </c>
      <c r="C77" s="9"/>
      <c r="D77" s="6">
        <v>1474.44</v>
      </c>
      <c r="E77" s="3"/>
      <c r="F77" s="7">
        <f t="shared" si="8"/>
        <v>8.9053703833560094E-3</v>
      </c>
      <c r="G77" s="3"/>
      <c r="H77" s="6">
        <v>4000</v>
      </c>
      <c r="I77" s="3"/>
      <c r="J77" s="7">
        <f t="shared" si="9"/>
        <v>0</v>
      </c>
      <c r="K77" s="3"/>
      <c r="L77" s="6">
        <f t="shared" si="10"/>
        <v>-2525.56</v>
      </c>
      <c r="M77" s="3"/>
      <c r="N77" s="7">
        <f t="shared" si="11"/>
        <v>-0.63139000000000001</v>
      </c>
      <c r="O77" s="9"/>
      <c r="P77" s="6">
        <v>18126.990000000002</v>
      </c>
      <c r="Q77" s="3"/>
      <c r="R77" s="7">
        <f t="shared" si="12"/>
        <v>4.4311536000804699E-3</v>
      </c>
      <c r="S77" s="3"/>
      <c r="T77" s="6">
        <v>48000</v>
      </c>
      <c r="U77" s="3"/>
      <c r="V77" s="7">
        <f t="shared" si="13"/>
        <v>1.3468013468013467E-2</v>
      </c>
      <c r="W77" s="3"/>
      <c r="X77" s="6">
        <f t="shared" si="14"/>
        <v>-29873.01</v>
      </c>
      <c r="Y77" s="3"/>
      <c r="Z77" s="7">
        <f t="shared" si="15"/>
        <v>-0.62235437500000002</v>
      </c>
    </row>
    <row r="78" spans="1:26" s="70" customFormat="1" ht="15" hidden="1" customHeight="1" outlineLevel="2" x14ac:dyDescent="0.3">
      <c r="A78" s="21"/>
      <c r="B78" s="9" t="str">
        <f>CONCATENATE("          ","6239"," - ","KITCHEN SUPPLIES")</f>
        <v xml:space="preserve">          6239 - KITCHEN SUPPLIES</v>
      </c>
      <c r="C78" s="9"/>
      <c r="D78" s="6">
        <v>246.88</v>
      </c>
      <c r="E78" s="3"/>
      <c r="F78" s="7">
        <f t="shared" si="8"/>
        <v>1.4911138060842975E-3</v>
      </c>
      <c r="G78" s="3"/>
      <c r="H78" s="6">
        <v>1500</v>
      </c>
      <c r="I78" s="3"/>
      <c r="J78" s="7">
        <f t="shared" si="9"/>
        <v>0</v>
      </c>
      <c r="K78" s="3"/>
      <c r="L78" s="6">
        <f t="shared" si="10"/>
        <v>-1253.1199999999999</v>
      </c>
      <c r="M78" s="3"/>
      <c r="N78" s="7">
        <f t="shared" si="11"/>
        <v>-0.83541333333333323</v>
      </c>
      <c r="O78" s="9"/>
      <c r="P78" s="6">
        <v>13823.76</v>
      </c>
      <c r="Q78" s="3"/>
      <c r="R78" s="7">
        <f t="shared" si="12"/>
        <v>3.3792264402776407E-3</v>
      </c>
      <c r="S78" s="3"/>
      <c r="T78" s="6">
        <v>18000</v>
      </c>
      <c r="U78" s="3"/>
      <c r="V78" s="7">
        <f t="shared" si="13"/>
        <v>5.0505050505050509E-3</v>
      </c>
      <c r="W78" s="3"/>
      <c r="X78" s="6">
        <f t="shared" si="14"/>
        <v>-4176.24</v>
      </c>
      <c r="Y78" s="3"/>
      <c r="Z78" s="7">
        <f t="shared" si="15"/>
        <v>-0.23201333333333332</v>
      </c>
    </row>
    <row r="79" spans="1:26" s="70" customFormat="1" ht="15" hidden="1" customHeight="1" outlineLevel="2" x14ac:dyDescent="0.3">
      <c r="A79" s="21"/>
      <c r="B79" s="9" t="str">
        <f>CONCATENATE("          ","6241"," - ","OFFICE EXPENSE")</f>
        <v xml:space="preserve">          6241 - OFFICE EXPENSE</v>
      </c>
      <c r="C79" s="9"/>
      <c r="D79" s="6">
        <v>21.99</v>
      </c>
      <c r="E79" s="3"/>
      <c r="F79" s="7">
        <f t="shared" si="8"/>
        <v>1.3281591297712938E-4</v>
      </c>
      <c r="G79" s="3"/>
      <c r="H79" s="6">
        <v>500</v>
      </c>
      <c r="I79" s="3"/>
      <c r="J79" s="7">
        <f t="shared" si="9"/>
        <v>0</v>
      </c>
      <c r="K79" s="3"/>
      <c r="L79" s="6">
        <f t="shared" si="10"/>
        <v>-478.01</v>
      </c>
      <c r="M79" s="3"/>
      <c r="N79" s="7">
        <f t="shared" si="11"/>
        <v>-0.95601999999999998</v>
      </c>
      <c r="O79" s="9"/>
      <c r="P79" s="6">
        <v>4360.79</v>
      </c>
      <c r="Q79" s="3"/>
      <c r="R79" s="7">
        <f t="shared" si="12"/>
        <v>1.0659977363972127E-3</v>
      </c>
      <c r="S79" s="3"/>
      <c r="T79" s="6">
        <v>6000</v>
      </c>
      <c r="U79" s="3"/>
      <c r="V79" s="7">
        <f t="shared" si="13"/>
        <v>1.6835016835016834E-3</v>
      </c>
      <c r="W79" s="3"/>
      <c r="X79" s="6">
        <f t="shared" si="14"/>
        <v>-1639.21</v>
      </c>
      <c r="Y79" s="3"/>
      <c r="Z79" s="7">
        <f t="shared" si="15"/>
        <v>-0.27320166666666668</v>
      </c>
    </row>
    <row r="80" spans="1:26" s="70" customFormat="1" ht="15" hidden="1" customHeight="1" outlineLevel="2" x14ac:dyDescent="0.3">
      <c r="A80" s="21"/>
      <c r="B80" s="9" t="str">
        <f>CONCATENATE("          ","6243"," - ","PAPER SUPPLIES")</f>
        <v xml:space="preserve">          6243 - PAPER SUPPLIES</v>
      </c>
      <c r="C80" s="9"/>
      <c r="D80" s="6">
        <v>1654.36</v>
      </c>
      <c r="E80" s="3"/>
      <c r="F80" s="7">
        <f t="shared" si="8"/>
        <v>9.9920570165003986E-3</v>
      </c>
      <c r="G80" s="3"/>
      <c r="H80" s="6">
        <v>5000</v>
      </c>
      <c r="I80" s="3"/>
      <c r="J80" s="7">
        <f t="shared" si="9"/>
        <v>0</v>
      </c>
      <c r="K80" s="3"/>
      <c r="L80" s="6">
        <f t="shared" si="10"/>
        <v>-3345.6400000000003</v>
      </c>
      <c r="M80" s="3"/>
      <c r="N80" s="7">
        <f t="shared" si="11"/>
        <v>-0.66912800000000006</v>
      </c>
      <c r="O80" s="9"/>
      <c r="P80" s="6">
        <v>46551.75</v>
      </c>
      <c r="Q80" s="3"/>
      <c r="R80" s="7">
        <f t="shared" si="12"/>
        <v>1.1379603265768116E-2</v>
      </c>
      <c r="S80" s="3"/>
      <c r="T80" s="6">
        <v>60000</v>
      </c>
      <c r="U80" s="3"/>
      <c r="V80" s="7">
        <f t="shared" si="13"/>
        <v>1.6835016835016835E-2</v>
      </c>
      <c r="W80" s="3"/>
      <c r="X80" s="6">
        <f t="shared" si="14"/>
        <v>-13448.25</v>
      </c>
      <c r="Y80" s="3"/>
      <c r="Z80" s="7">
        <f t="shared" si="15"/>
        <v>-0.22413749999999999</v>
      </c>
    </row>
    <row r="81" spans="1:26" s="70" customFormat="1" ht="15" hidden="1" customHeight="1" outlineLevel="2" x14ac:dyDescent="0.3">
      <c r="A81" s="21"/>
      <c r="B81" s="9" t="str">
        <f>CONCATENATE("          ","6244"," - ","SAFETY SUPPLY EXPENSE")</f>
        <v xml:space="preserve">          6244 - SAFETY SUPPLY EXPENSE</v>
      </c>
      <c r="C81" s="9"/>
      <c r="D81" s="6"/>
      <c r="E81" s="3"/>
      <c r="F81" s="7">
        <f t="shared" si="8"/>
        <v>0</v>
      </c>
      <c r="G81" s="3"/>
      <c r="H81" s="6">
        <v>200</v>
      </c>
      <c r="I81" s="3"/>
      <c r="J81" s="7">
        <f t="shared" si="9"/>
        <v>0</v>
      </c>
      <c r="K81" s="3"/>
      <c r="L81" s="6">
        <f t="shared" si="10"/>
        <v>-200</v>
      </c>
      <c r="M81" s="3"/>
      <c r="N81" s="7">
        <f t="shared" si="11"/>
        <v>-1</v>
      </c>
      <c r="O81" s="9"/>
      <c r="P81" s="6"/>
      <c r="Q81" s="3"/>
      <c r="R81" s="7">
        <f t="shared" si="12"/>
        <v>0</v>
      </c>
      <c r="S81" s="3"/>
      <c r="T81" s="6">
        <v>2400</v>
      </c>
      <c r="U81" s="3"/>
      <c r="V81" s="7">
        <f t="shared" si="13"/>
        <v>6.7340067340067344E-4</v>
      </c>
      <c r="W81" s="3"/>
      <c r="X81" s="6">
        <f t="shared" si="14"/>
        <v>-2400</v>
      </c>
      <c r="Y81" s="3"/>
      <c r="Z81" s="7">
        <f t="shared" si="15"/>
        <v>-1</v>
      </c>
    </row>
    <row r="82" spans="1:26" s="70" customFormat="1" ht="15" hidden="1" customHeight="1" outlineLevel="2" x14ac:dyDescent="0.3">
      <c r="A82" s="21"/>
      <c r="B82" s="9" t="str">
        <f>CONCATENATE("          ","6247"," - ","STORE SUPPLIES")</f>
        <v xml:space="preserve">          6247 - STORE SUPPLIES</v>
      </c>
      <c r="C82" s="9"/>
      <c r="D82" s="6"/>
      <c r="E82" s="3"/>
      <c r="F82" s="7">
        <f t="shared" si="8"/>
        <v>0</v>
      </c>
      <c r="G82" s="3"/>
      <c r="H82" s="6"/>
      <c r="I82" s="3"/>
      <c r="J82" s="7">
        <f t="shared" si="9"/>
        <v>0</v>
      </c>
      <c r="K82" s="3"/>
      <c r="L82" s="6">
        <f t="shared" si="10"/>
        <v>0</v>
      </c>
      <c r="M82" s="3"/>
      <c r="N82" s="7">
        <f t="shared" si="11"/>
        <v>0</v>
      </c>
      <c r="O82" s="9"/>
      <c r="P82" s="6">
        <v>581.41999999999996</v>
      </c>
      <c r="Q82" s="3"/>
      <c r="R82" s="7">
        <f t="shared" si="12"/>
        <v>1.4212846844174274E-4</v>
      </c>
      <c r="S82" s="3"/>
      <c r="T82" s="6"/>
      <c r="U82" s="3"/>
      <c r="V82" s="7">
        <f t="shared" si="13"/>
        <v>0</v>
      </c>
      <c r="W82" s="3"/>
      <c r="X82" s="6">
        <f t="shared" si="14"/>
        <v>581.41999999999996</v>
      </c>
      <c r="Y82" s="3"/>
      <c r="Z82" s="7">
        <f t="shared" si="15"/>
        <v>0</v>
      </c>
    </row>
    <row r="83" spans="1:26" s="70" customFormat="1" ht="15" hidden="1" customHeight="1" outlineLevel="2" x14ac:dyDescent="0.3">
      <c r="A83" s="21"/>
      <c r="B83" s="9" t="str">
        <f>CONCATENATE("          ","6248"," - ","UNIFORMS")</f>
        <v xml:space="preserve">          6248 - UNIFORMS</v>
      </c>
      <c r="C83" s="9"/>
      <c r="D83" s="6"/>
      <c r="E83" s="3"/>
      <c r="F83" s="7">
        <f t="shared" si="8"/>
        <v>0</v>
      </c>
      <c r="G83" s="3"/>
      <c r="H83" s="6">
        <v>194</v>
      </c>
      <c r="I83" s="3"/>
      <c r="J83" s="7">
        <f t="shared" si="9"/>
        <v>0</v>
      </c>
      <c r="K83" s="3"/>
      <c r="L83" s="6">
        <f t="shared" si="10"/>
        <v>-194</v>
      </c>
      <c r="M83" s="3"/>
      <c r="N83" s="7">
        <f t="shared" si="11"/>
        <v>-1</v>
      </c>
      <c r="O83" s="9"/>
      <c r="P83" s="6">
        <v>1870.4</v>
      </c>
      <c r="Q83" s="3"/>
      <c r="R83" s="7">
        <f t="shared" si="12"/>
        <v>4.5722040413717391E-4</v>
      </c>
      <c r="S83" s="3"/>
      <c r="T83" s="6">
        <v>2350</v>
      </c>
      <c r="U83" s="3"/>
      <c r="V83" s="7">
        <f t="shared" si="13"/>
        <v>6.5937149270482601E-4</v>
      </c>
      <c r="W83" s="3"/>
      <c r="X83" s="6">
        <f t="shared" si="14"/>
        <v>-479.59999999999991</v>
      </c>
      <c r="Y83" s="3"/>
      <c r="Z83" s="7">
        <f t="shared" si="15"/>
        <v>-0.20408510638297869</v>
      </c>
    </row>
    <row r="84" spans="1:26" s="69" customFormat="1" ht="15" customHeight="1" outlineLevel="1" collapsed="1" x14ac:dyDescent="0.3">
      <c r="A84" s="20"/>
      <c r="B84" s="11" t="str">
        <f>CONCATENATE("     ","Telephone/Data Lines                              ")</f>
        <v xml:space="preserve">     Telephone/Data Lines                              </v>
      </c>
      <c r="C84" s="11"/>
      <c r="D84" s="2">
        <f>SUM(OSRRefD22_14x_0)</f>
        <v>89</v>
      </c>
      <c r="E84" s="2"/>
      <c r="F84" s="5">
        <f t="shared" si="8"/>
        <v>5.3754507753362964E-4</v>
      </c>
      <c r="G84" s="2"/>
      <c r="H84" s="2">
        <f>SUM(OSRRefH22_14x_0)</f>
        <v>175</v>
      </c>
      <c r="I84" s="2"/>
      <c r="J84" s="5">
        <f t="shared" si="9"/>
        <v>0</v>
      </c>
      <c r="K84" s="2"/>
      <c r="L84" s="2">
        <f t="shared" si="10"/>
        <v>-86</v>
      </c>
      <c r="M84" s="2"/>
      <c r="N84" s="5">
        <f t="shared" si="11"/>
        <v>-0.49142857142857144</v>
      </c>
      <c r="O84" s="11"/>
      <c r="P84" s="2">
        <f>SUM(OSRRefP22_14x_0)</f>
        <v>2268</v>
      </c>
      <c r="Q84" s="2"/>
      <c r="R84" s="5">
        <f t="shared" si="12"/>
        <v>5.5441396310046528E-4</v>
      </c>
      <c r="S84" s="2"/>
      <c r="T84" s="2">
        <f>SUM(OSRRefT22_14x_0)</f>
        <v>2100</v>
      </c>
      <c r="U84" s="2"/>
      <c r="V84" s="5">
        <f t="shared" si="13"/>
        <v>5.8922558922558919E-4</v>
      </c>
      <c r="W84" s="2"/>
      <c r="X84" s="2">
        <f t="shared" si="14"/>
        <v>168</v>
      </c>
      <c r="Y84" s="2"/>
      <c r="Z84" s="5">
        <f t="shared" si="15"/>
        <v>0.08</v>
      </c>
    </row>
    <row r="85" spans="1:26" s="70" customFormat="1" ht="15" hidden="1" customHeight="1" outlineLevel="2" x14ac:dyDescent="0.3">
      <c r="A85" s="21"/>
      <c r="B85" s="9" t="str">
        <f>CONCATENATE("          ","6309"," - ","TELEPHONE")</f>
        <v xml:space="preserve">          6309 - TELEPHONE</v>
      </c>
      <c r="C85" s="9"/>
      <c r="D85" s="6">
        <v>89</v>
      </c>
      <c r="E85" s="3"/>
      <c r="F85" s="7">
        <f t="shared" si="8"/>
        <v>5.3754507753362964E-4</v>
      </c>
      <c r="G85" s="3"/>
      <c r="H85" s="6">
        <v>175</v>
      </c>
      <c r="I85" s="3"/>
      <c r="J85" s="7">
        <f t="shared" si="9"/>
        <v>0</v>
      </c>
      <c r="K85" s="3"/>
      <c r="L85" s="6">
        <f t="shared" si="10"/>
        <v>-86</v>
      </c>
      <c r="M85" s="3"/>
      <c r="N85" s="7">
        <f t="shared" si="11"/>
        <v>-0.49142857142857144</v>
      </c>
      <c r="O85" s="9"/>
      <c r="P85" s="6">
        <v>2268</v>
      </c>
      <c r="Q85" s="3"/>
      <c r="R85" s="7">
        <f t="shared" si="12"/>
        <v>5.5441396310046528E-4</v>
      </c>
      <c r="S85" s="3"/>
      <c r="T85" s="6">
        <v>2100</v>
      </c>
      <c r="U85" s="3"/>
      <c r="V85" s="7">
        <f t="shared" si="13"/>
        <v>5.8922558922558919E-4</v>
      </c>
      <c r="W85" s="3"/>
      <c r="X85" s="6">
        <f t="shared" si="14"/>
        <v>168</v>
      </c>
      <c r="Y85" s="3"/>
      <c r="Z85" s="7">
        <f t="shared" si="15"/>
        <v>0.08</v>
      </c>
    </row>
    <row r="86" spans="1:26" s="69" customFormat="1" ht="15" customHeight="1" outlineLevel="1" collapsed="1" x14ac:dyDescent="0.3">
      <c r="A86" s="20"/>
      <c r="B86" s="11" t="str">
        <f>CONCATENATE("     ","Training                                          ")</f>
        <v xml:space="preserve">     Training                                          </v>
      </c>
      <c r="C86" s="11"/>
      <c r="D86" s="2">
        <f>SUM(OSRRefD22_15x_0)</f>
        <v>134.29</v>
      </c>
      <c r="E86" s="2"/>
      <c r="F86" s="5">
        <f t="shared" si="8"/>
        <v>8.1108908384259679E-4</v>
      </c>
      <c r="G86" s="2"/>
      <c r="H86" s="2">
        <f>SUM(OSRRefH22_15x_0)</f>
        <v>1000</v>
      </c>
      <c r="I86" s="2"/>
      <c r="J86" s="5">
        <f t="shared" si="9"/>
        <v>0</v>
      </c>
      <c r="K86" s="2"/>
      <c r="L86" s="2">
        <f t="shared" si="10"/>
        <v>-865.71</v>
      </c>
      <c r="M86" s="2"/>
      <c r="N86" s="5">
        <f t="shared" si="11"/>
        <v>-0.86571000000000009</v>
      </c>
      <c r="O86" s="11"/>
      <c r="P86" s="2">
        <f>SUM(OSRRefP22_15x_0)</f>
        <v>446.29</v>
      </c>
      <c r="Q86" s="2"/>
      <c r="R86" s="5">
        <f t="shared" si="12"/>
        <v>1.0909585872667843E-4</v>
      </c>
      <c r="S86" s="2"/>
      <c r="T86" s="2">
        <f>SUM(OSRRefT22_15x_0)</f>
        <v>2000</v>
      </c>
      <c r="U86" s="2"/>
      <c r="V86" s="5">
        <f t="shared" si="13"/>
        <v>5.6116722783389455E-4</v>
      </c>
      <c r="W86" s="2"/>
      <c r="X86" s="2">
        <f t="shared" si="14"/>
        <v>-1553.71</v>
      </c>
      <c r="Y86" s="2"/>
      <c r="Z86" s="5">
        <f t="shared" si="15"/>
        <v>-0.77685500000000007</v>
      </c>
    </row>
    <row r="87" spans="1:26" s="70" customFormat="1" ht="15" hidden="1" customHeight="1" outlineLevel="2" x14ac:dyDescent="0.3">
      <c r="A87" s="21"/>
      <c r="B87" s="9" t="str">
        <f>CONCATENATE("          ","6376"," - ","TRAINING")</f>
        <v xml:space="preserve">          6376 - TRAINING</v>
      </c>
      <c r="C87" s="9"/>
      <c r="D87" s="6">
        <v>134.29</v>
      </c>
      <c r="E87" s="3"/>
      <c r="F87" s="7">
        <f t="shared" si="8"/>
        <v>8.1108908384259679E-4</v>
      </c>
      <c r="G87" s="3"/>
      <c r="H87" s="6">
        <v>1000</v>
      </c>
      <c r="I87" s="3"/>
      <c r="J87" s="7">
        <f t="shared" si="9"/>
        <v>0</v>
      </c>
      <c r="K87" s="3"/>
      <c r="L87" s="6">
        <f t="shared" si="10"/>
        <v>-865.71</v>
      </c>
      <c r="M87" s="3"/>
      <c r="N87" s="7">
        <f t="shared" si="11"/>
        <v>-0.86571000000000009</v>
      </c>
      <c r="O87" s="9"/>
      <c r="P87" s="6">
        <v>446.29</v>
      </c>
      <c r="Q87" s="3"/>
      <c r="R87" s="7">
        <f t="shared" si="12"/>
        <v>1.0909585872667843E-4</v>
      </c>
      <c r="S87" s="3"/>
      <c r="T87" s="6">
        <v>2000</v>
      </c>
      <c r="U87" s="3"/>
      <c r="V87" s="7">
        <f t="shared" si="13"/>
        <v>5.6116722783389455E-4</v>
      </c>
      <c r="W87" s="3"/>
      <c r="X87" s="6">
        <f t="shared" si="14"/>
        <v>-1553.71</v>
      </c>
      <c r="Y87" s="3"/>
      <c r="Z87" s="7">
        <f t="shared" si="15"/>
        <v>-0.77685500000000007</v>
      </c>
    </row>
    <row r="88" spans="1:26" s="65" customFormat="1" ht="15" customHeight="1" x14ac:dyDescent="0.3">
      <c r="A88" s="36"/>
      <c r="B88" s="36"/>
      <c r="C88" s="36"/>
      <c r="D88" s="2"/>
      <c r="E88" s="2"/>
      <c r="F88" s="5"/>
      <c r="G88" s="2"/>
      <c r="H88" s="2"/>
      <c r="I88" s="2"/>
      <c r="J88" s="5"/>
      <c r="K88" s="2"/>
      <c r="L88" s="2"/>
      <c r="M88" s="2"/>
      <c r="N88" s="5"/>
      <c r="O88" s="36"/>
      <c r="P88" s="2"/>
      <c r="Q88" s="2"/>
      <c r="R88" s="5"/>
      <c r="S88" s="2"/>
      <c r="T88" s="2"/>
      <c r="U88" s="2"/>
      <c r="V88" s="5"/>
      <c r="W88" s="2"/>
      <c r="X88" s="2"/>
      <c r="Y88" s="2"/>
      <c r="Z88" s="5"/>
    </row>
    <row r="89" spans="1:26" s="63" customFormat="1" ht="15" customHeight="1" x14ac:dyDescent="0.3">
      <c r="A89" s="13"/>
      <c r="B89" s="28" t="s">
        <v>291</v>
      </c>
      <c r="C89" s="13"/>
      <c r="D89" s="8">
        <f>SUM(0)</f>
        <v>0</v>
      </c>
      <c r="E89" s="8"/>
      <c r="F89" s="14">
        <f>IF(D$12=0,0,D89/D$12)</f>
        <v>0</v>
      </c>
      <c r="G89" s="8"/>
      <c r="H89" s="8">
        <f>SUM(0)</f>
        <v>0</v>
      </c>
      <c r="I89" s="8"/>
      <c r="J89" s="14">
        <f>IF(H$12=0,0,H89/H$12)</f>
        <v>0</v>
      </c>
      <c r="K89" s="8"/>
      <c r="L89" s="8">
        <f>+D89-H89</f>
        <v>0</v>
      </c>
      <c r="M89" s="8"/>
      <c r="N89" s="14">
        <f>IF(H89=0,0,L89/H89)</f>
        <v>0</v>
      </c>
      <c r="O89" s="13"/>
      <c r="P89" s="8">
        <f>SUM(0)</f>
        <v>0</v>
      </c>
      <c r="Q89" s="8"/>
      <c r="R89" s="14">
        <f>IF(P$12=0,0,P89/P$12)</f>
        <v>0</v>
      </c>
      <c r="S89" s="8"/>
      <c r="T89" s="8">
        <f>SUM(0)</f>
        <v>0</v>
      </c>
      <c r="U89" s="8"/>
      <c r="V89" s="14">
        <f>IF(T$12=0,0,T89/T$12)</f>
        <v>0</v>
      </c>
      <c r="W89" s="8"/>
      <c r="X89" s="8">
        <f>+P89-T89</f>
        <v>0</v>
      </c>
      <c r="Y89" s="8"/>
      <c r="Z89" s="14">
        <f>IF(T89=0,0,X89/T89)</f>
        <v>0</v>
      </c>
    </row>
    <row r="90" spans="1:26" ht="15" customHeight="1" x14ac:dyDescent="0.3">
      <c r="A90" s="12"/>
      <c r="B90" s="13"/>
      <c r="C90" s="13"/>
      <c r="D90" s="4"/>
      <c r="E90" s="4"/>
      <c r="F90" s="10"/>
      <c r="G90" s="4"/>
      <c r="H90" s="4"/>
      <c r="I90" s="4"/>
      <c r="J90" s="10"/>
      <c r="K90" s="4"/>
      <c r="L90" s="4"/>
      <c r="M90" s="4"/>
      <c r="N90" s="10"/>
      <c r="O90" s="13"/>
      <c r="P90" s="4"/>
      <c r="Q90" s="4"/>
      <c r="R90" s="10"/>
      <c r="S90" s="4"/>
      <c r="T90" s="4"/>
      <c r="U90" s="4"/>
      <c r="V90" s="10"/>
      <c r="W90" s="4"/>
      <c r="X90" s="4"/>
      <c r="Y90" s="4"/>
      <c r="Z90" s="10"/>
    </row>
    <row r="91" spans="1:26" s="63" customFormat="1" ht="15" customHeight="1" x14ac:dyDescent="0.3">
      <c r="A91" s="13"/>
      <c r="B91" s="27" t="s">
        <v>292</v>
      </c>
      <c r="C91" s="27"/>
      <c r="D91" s="23">
        <f>+D23-D25+D89</f>
        <v>41316.020000000004</v>
      </c>
      <c r="E91" s="15"/>
      <c r="F91" s="22">
        <f>IF(D$12=0,0,D91/D$12)</f>
        <v>0.24954183341888758</v>
      </c>
      <c r="G91" s="15"/>
      <c r="H91" s="23">
        <f>+H23-H25+H89</f>
        <v>-89793.209896923014</v>
      </c>
      <c r="I91" s="15"/>
      <c r="J91" s="22">
        <f>IF(H$12=0,0,H91/H$12)</f>
        <v>0</v>
      </c>
      <c r="K91" s="17"/>
      <c r="L91" s="23">
        <f>+D91-H91</f>
        <v>131109.229896923</v>
      </c>
      <c r="M91" s="17"/>
      <c r="N91" s="22">
        <f>IF(H91=0,0,L91/H91)</f>
        <v>-1.4601241012257853</v>
      </c>
      <c r="O91" s="28"/>
      <c r="P91" s="23">
        <f>+P23-P25+P89</f>
        <v>1420232.09</v>
      </c>
      <c r="Q91" s="15"/>
      <c r="R91" s="22">
        <f>IF(P$12=0,0,P91/P$12)</f>
        <v>0.34717658798031603</v>
      </c>
      <c r="S91" s="15"/>
      <c r="T91" s="23">
        <f>+T23-T25+T89</f>
        <v>654647.24833999993</v>
      </c>
      <c r="U91" s="15"/>
      <c r="V91" s="22">
        <f>IF(T$12=0,0,T91/T$12)</f>
        <v>0.18368329078002243</v>
      </c>
      <c r="W91" s="17"/>
      <c r="X91" s="23">
        <f>+P91-T91</f>
        <v>765584.84166000015</v>
      </c>
      <c r="Y91" s="17"/>
      <c r="Z91" s="22">
        <f>IF(T91=0,0,X91/T91)</f>
        <v>1.1694616354094614</v>
      </c>
    </row>
    <row r="92" spans="1:26" ht="15" customHeight="1" x14ac:dyDescent="0.3">
      <c r="A92" s="12"/>
      <c r="B92" s="13"/>
      <c r="C92" s="12"/>
      <c r="D92" s="4"/>
      <c r="E92" s="4"/>
      <c r="F92" s="10"/>
      <c r="G92" s="4"/>
      <c r="H92" s="4"/>
      <c r="I92" s="4"/>
      <c r="J92" s="10"/>
      <c r="K92" s="4"/>
      <c r="L92" s="4"/>
      <c r="M92" s="4"/>
      <c r="N92" s="10"/>
      <c r="P92" s="4"/>
      <c r="Q92" s="4"/>
      <c r="R92" s="10"/>
      <c r="S92" s="4"/>
      <c r="T92" s="4"/>
      <c r="U92" s="4"/>
      <c r="V92" s="10"/>
      <c r="W92" s="4"/>
      <c r="X92" s="4"/>
      <c r="Y92" s="4"/>
      <c r="Z92" s="10"/>
    </row>
    <row r="93" spans="1:26" s="63" customFormat="1" ht="15" customHeight="1" x14ac:dyDescent="0.3">
      <c r="A93" s="49"/>
      <c r="B93" s="13" t="s">
        <v>293</v>
      </c>
      <c r="C93" s="13"/>
      <c r="D93" s="8">
        <v>-912920.16</v>
      </c>
      <c r="E93" s="8"/>
      <c r="F93" s="14">
        <f>IF(D$12=0,0,D93/D$12)</f>
        <v>-5.5138846987552084</v>
      </c>
      <c r="G93" s="8"/>
      <c r="H93" s="8">
        <v>-37665</v>
      </c>
      <c r="I93" s="8"/>
      <c r="J93" s="14">
        <f>IF(H$12=0,0,H93/H$12)</f>
        <v>0</v>
      </c>
      <c r="K93" s="8"/>
      <c r="L93" s="8">
        <f>+D93-H93</f>
        <v>-875255.16</v>
      </c>
      <c r="M93" s="8"/>
      <c r="N93" s="14">
        <f>IF(H93=0,0,L93/H93)</f>
        <v>23.237890880127441</v>
      </c>
      <c r="O93" s="13"/>
      <c r="P93" s="8">
        <v>-471623.82</v>
      </c>
      <c r="Q93" s="8"/>
      <c r="R93" s="14">
        <f>IF(P$12=0,0,P93/P$12)</f>
        <v>-0.11528872625166689</v>
      </c>
      <c r="S93" s="8"/>
      <c r="T93" s="8">
        <v>404136</v>
      </c>
      <c r="U93" s="8"/>
      <c r="V93" s="14">
        <f>IF(T$12=0,0,T93/T$12)</f>
        <v>0.11339393939393939</v>
      </c>
      <c r="W93" s="8"/>
      <c r="X93" s="8">
        <f>+P93-T93</f>
        <v>-875759.82000000007</v>
      </c>
      <c r="Y93" s="8"/>
      <c r="Z93" s="14">
        <f>IF(T93=0,0,X93/T93)</f>
        <v>-2.1669928439931114</v>
      </c>
    </row>
    <row r="94" spans="1:26" ht="15" customHeight="1" x14ac:dyDescent="0.3">
      <c r="A94" s="12"/>
      <c r="B94" s="13"/>
      <c r="C94" s="13"/>
      <c r="D94" s="4"/>
      <c r="E94" s="4"/>
      <c r="F94" s="10"/>
      <c r="G94" s="4"/>
      <c r="H94" s="4"/>
      <c r="I94" s="4"/>
      <c r="J94" s="10"/>
      <c r="K94" s="4"/>
      <c r="L94" s="4"/>
      <c r="M94" s="4"/>
      <c r="N94" s="10"/>
      <c r="O94" s="13"/>
      <c r="P94" s="4"/>
      <c r="Q94" s="4"/>
      <c r="R94" s="10"/>
      <c r="S94" s="4"/>
      <c r="T94" s="4"/>
      <c r="U94" s="4"/>
      <c r="V94" s="10"/>
      <c r="W94" s="4"/>
      <c r="X94" s="4"/>
      <c r="Y94" s="4"/>
      <c r="Z94" s="10"/>
    </row>
    <row r="95" spans="1:26" s="63" customFormat="1" ht="15" customHeight="1" x14ac:dyDescent="0.3">
      <c r="A95" s="13"/>
      <c r="B95" s="27" t="s">
        <v>294</v>
      </c>
      <c r="C95" s="27"/>
      <c r="D95" s="30">
        <f>+D91-D93</f>
        <v>954236.18</v>
      </c>
      <c r="E95" s="15"/>
      <c r="F95" s="35">
        <f>IF(D$12=0,0,D95/D$12)</f>
        <v>5.7634265321740958</v>
      </c>
      <c r="G95" s="15"/>
      <c r="H95" s="30">
        <f>+H91-H93</f>
        <v>-52128.209896923014</v>
      </c>
      <c r="I95" s="15"/>
      <c r="J95" s="35">
        <f>IF(H$12=0,0,H95/H$12)</f>
        <v>0</v>
      </c>
      <c r="K95" s="17"/>
      <c r="L95" s="30">
        <f>D95-H95</f>
        <v>1006364.3898969231</v>
      </c>
      <c r="M95" s="17"/>
      <c r="N95" s="35">
        <f>IF(H95=0,0,L95/H95)</f>
        <v>-19.305562034201486</v>
      </c>
      <c r="O95" s="28"/>
      <c r="P95" s="30">
        <f>+P91-P93</f>
        <v>1891855.9100000001</v>
      </c>
      <c r="Q95" s="15"/>
      <c r="R95" s="35">
        <f>IF(P$12=0,0,P95/P$12)</f>
        <v>0.46246531423198295</v>
      </c>
      <c r="S95" s="15"/>
      <c r="T95" s="30">
        <f>+T91-T93</f>
        <v>250511.24833999993</v>
      </c>
      <c r="U95" s="15"/>
      <c r="V95" s="35">
        <f>IF(T$12=0,0,T95/T$12)</f>
        <v>7.028935138608304E-2</v>
      </c>
      <c r="W95" s="17"/>
      <c r="X95" s="30">
        <f>P95-T95</f>
        <v>1641344.6616600002</v>
      </c>
      <c r="Y95" s="17"/>
      <c r="Z95" s="35">
        <f>IF(T95=0,0,X95/T95)</f>
        <v>6.5519798912675071</v>
      </c>
    </row>
    <row r="96" spans="1:26" ht="15" customHeight="1" x14ac:dyDescent="0.3">
      <c r="A96" s="12"/>
      <c r="B96" s="12"/>
      <c r="C96" s="12"/>
      <c r="D96" s="4"/>
      <c r="E96" s="4"/>
      <c r="F96" s="10"/>
      <c r="G96" s="4"/>
      <c r="H96" s="4"/>
      <c r="I96" s="4"/>
      <c r="J96" s="10"/>
      <c r="K96" s="4"/>
      <c r="L96" s="4"/>
      <c r="M96" s="4"/>
      <c r="N96" s="10"/>
      <c r="P96" s="4"/>
      <c r="Q96" s="4"/>
      <c r="R96" s="10"/>
      <c r="S96" s="4"/>
      <c r="T96" s="4"/>
      <c r="U96" s="4"/>
      <c r="V96" s="10"/>
      <c r="W96" s="4"/>
      <c r="X96" s="4"/>
      <c r="Y96" s="4"/>
      <c r="Z96" s="10"/>
    </row>
    <row r="97" spans="1:26" ht="15" customHeight="1" x14ac:dyDescent="0.3">
      <c r="A97" s="12"/>
      <c r="B97" s="12"/>
      <c r="C97" s="12"/>
      <c r="D97" s="4"/>
      <c r="E97" s="4"/>
      <c r="F97" s="10"/>
      <c r="G97" s="4"/>
      <c r="H97" s="4"/>
      <c r="I97" s="4"/>
      <c r="J97" s="10"/>
      <c r="K97" s="4"/>
      <c r="L97" s="4"/>
      <c r="M97" s="4"/>
      <c r="N97" s="10"/>
      <c r="P97" s="4"/>
      <c r="Q97" s="4"/>
      <c r="R97" s="10"/>
      <c r="S97" s="4"/>
      <c r="T97" s="4"/>
      <c r="U97" s="4"/>
      <c r="V97" s="10"/>
      <c r="W97" s="4"/>
      <c r="X97" s="4"/>
      <c r="Y97" s="4"/>
      <c r="Z97" s="10"/>
    </row>
    <row r="98" spans="1:26" s="63" customFormat="1" ht="15" customHeight="1" x14ac:dyDescent="0.3">
      <c r="A98" s="13"/>
      <c r="B98" s="27" t="s">
        <v>297</v>
      </c>
      <c r="C98" s="27"/>
      <c r="D98" s="33">
        <f>SUM(D95:D97)</f>
        <v>954236.18</v>
      </c>
      <c r="E98" s="15"/>
      <c r="F98" s="31">
        <f>IF(D$12=0,0,D98/D$12)</f>
        <v>5.7634265321740958</v>
      </c>
      <c r="G98" s="15"/>
      <c r="H98" s="33">
        <f>SUM(H95:H97)</f>
        <v>-52128.209896923014</v>
      </c>
      <c r="I98" s="15"/>
      <c r="J98" s="31">
        <f>IF(H$12=0,0,H98/H$12)</f>
        <v>0</v>
      </c>
      <c r="K98" s="17"/>
      <c r="L98" s="33">
        <f>+D98-H98</f>
        <v>1006364.3898969231</v>
      </c>
      <c r="M98" s="17"/>
      <c r="N98" s="31">
        <f>IF(H98=0,0,L98/H98)</f>
        <v>-19.305562034201486</v>
      </c>
      <c r="O98" s="28"/>
      <c r="P98" s="33">
        <f>SUM(P95:P97)</f>
        <v>1891855.9100000001</v>
      </c>
      <c r="Q98" s="15"/>
      <c r="R98" s="31">
        <f>IF(P$12=0,0,P98/P$12)</f>
        <v>0.46246531423198295</v>
      </c>
      <c r="S98" s="15"/>
      <c r="T98" s="33">
        <f>SUM(T95:T97)</f>
        <v>250511.24833999993</v>
      </c>
      <c r="U98" s="15"/>
      <c r="V98" s="31">
        <f>IF(T$12=0,0,T98/T$12)</f>
        <v>7.028935138608304E-2</v>
      </c>
      <c r="W98" s="17"/>
      <c r="X98" s="33">
        <f>+P98-T98</f>
        <v>1641344.6616600002</v>
      </c>
      <c r="Y98" s="17"/>
      <c r="Z98" s="31">
        <f>IF(T98=0,0,X98/T98)</f>
        <v>6.5519798912675071</v>
      </c>
    </row>
    <row r="99" spans="1:26" ht="15" customHeight="1" x14ac:dyDescent="0.3">
      <c r="A99" s="12"/>
      <c r="C99" s="12"/>
      <c r="D99" s="19"/>
      <c r="E99" s="19"/>
      <c r="G99" s="19"/>
      <c r="H99" s="19"/>
      <c r="I99" s="19"/>
      <c r="J99" s="41"/>
      <c r="K99" s="19"/>
      <c r="L99" s="19"/>
      <c r="M99" s="19"/>
      <c r="P99" s="19"/>
      <c r="Q99" s="19"/>
      <c r="R99" s="41"/>
      <c r="S99" s="19"/>
      <c r="T99" s="19"/>
      <c r="U99" s="19"/>
      <c r="V99" s="41"/>
      <c r="W99" s="19"/>
      <c r="X99" s="19"/>
    </row>
    <row r="100" spans="1:26" ht="15" customHeight="1" x14ac:dyDescent="0.3">
      <c r="A100" s="12"/>
      <c r="B100" s="50">
        <v>44767.799547766204</v>
      </c>
      <c r="D100" s="19"/>
      <c r="E100" s="19"/>
      <c r="G100" s="19"/>
      <c r="H100" s="19"/>
      <c r="I100" s="19"/>
      <c r="J100" s="41"/>
      <c r="K100" s="19"/>
      <c r="L100" s="19"/>
      <c r="M100" s="19"/>
      <c r="P100" s="19"/>
      <c r="Q100" s="19"/>
      <c r="R100" s="41"/>
      <c r="S100" s="19"/>
      <c r="T100" s="19"/>
      <c r="U100" s="19"/>
      <c r="V100" s="41"/>
      <c r="W100" s="19"/>
      <c r="X100" s="19"/>
    </row>
    <row r="101" spans="1:26" ht="15" customHeight="1" x14ac:dyDescent="0.3">
      <c r="A101" s="12"/>
      <c r="B101" s="57" t="s">
        <v>298</v>
      </c>
      <c r="D101" s="19"/>
      <c r="E101" s="19"/>
      <c r="G101" s="19"/>
      <c r="H101" s="19"/>
      <c r="I101" s="19"/>
      <c r="J101" s="41"/>
      <c r="K101" s="19"/>
      <c r="L101" s="19"/>
      <c r="M101" s="19"/>
      <c r="P101" s="19"/>
      <c r="Q101" s="19"/>
      <c r="R101" s="41"/>
      <c r="S101" s="19"/>
      <c r="T101" s="19"/>
      <c r="U101" s="19"/>
      <c r="V101" s="41"/>
      <c r="W101" s="19"/>
      <c r="X101" s="19"/>
    </row>
    <row r="102" spans="1:26" ht="15" customHeight="1" x14ac:dyDescent="0.3">
      <c r="A102" s="12"/>
      <c r="B102" s="51"/>
      <c r="D102" s="19"/>
      <c r="E102" s="19"/>
      <c r="G102" s="19"/>
      <c r="H102" s="19"/>
      <c r="I102" s="19"/>
      <c r="J102" s="41"/>
      <c r="K102" s="19"/>
      <c r="L102" s="19"/>
      <c r="M102" s="19"/>
      <c r="P102" s="19"/>
      <c r="Q102" s="19"/>
      <c r="R102" s="41"/>
      <c r="S102" s="19"/>
      <c r="T102" s="19"/>
      <c r="U102" s="19"/>
      <c r="V102" s="41"/>
      <c r="W102" s="19"/>
      <c r="X102" s="19"/>
    </row>
    <row r="103" spans="1:26" ht="15" customHeight="1" x14ac:dyDescent="0.3">
      <c r="D103" s="19"/>
      <c r="E103" s="19"/>
      <c r="G103" s="19"/>
      <c r="H103" s="19"/>
      <c r="I103" s="19"/>
      <c r="J103" s="41"/>
      <c r="K103" s="19"/>
      <c r="L103" s="19"/>
      <c r="M103" s="19"/>
      <c r="P103" s="19"/>
      <c r="Q103" s="19"/>
      <c r="R103" s="41"/>
      <c r="S103" s="19"/>
      <c r="T103" s="19"/>
      <c r="U103" s="19"/>
      <c r="V103" s="41"/>
      <c r="W103" s="19"/>
      <c r="X103" s="19"/>
    </row>
  </sheetData>
  <pageMargins left="0.25" right="0.25" top="0.75" bottom="0.75" header="0.3" footer="0.3"/>
  <pageSetup scale="55" orientation="landscape" r:id="rId1"/>
  <headerFooter>
    <oddHeader>&amp;RPre-Audit</oddHeader>
    <oddFooter>&amp;L&amp;C&amp;R</oddFooter>
    <evenHeader>&amp;L&amp;C&amp;R</evenHeader>
    <evenFooter>&amp;L&amp;C&amp;R</evenFoot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19B54A-5173-14AD-3ABF-23E2B1728A87}">
  <sheetPr>
    <tabColor rgb="FF92D050"/>
    <outlinePr summaryBelow="0" summaryRight="0"/>
  </sheetPr>
  <dimension ref="A2:Z48"/>
  <sheetViews>
    <sheetView showGridLines="0" defaultGridColor="0" colorId="8" zoomScale="80" workbookViewId="0">
      <pane xSplit="3" ySplit="10" topLeftCell="D11" activePane="bottomRight" state="frozen"/>
      <selection activeCell="D78" sqref="D78"/>
      <selection pane="topRight" activeCell="D78" sqref="D78"/>
      <selection pane="bottomLeft" activeCell="D78" sqref="D78"/>
      <selection pane="bottomRight" activeCell="D78" sqref="D78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3" t="s">
        <v>276</v>
      </c>
    </row>
    <row r="3" spans="1:26" ht="15" customHeight="1" x14ac:dyDescent="0.3">
      <c r="D3" s="53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3" t="str">
        <f>CONCATENATE("Period ",RIGHT(202212,2),", ",2022)</f>
        <v>Period 12,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5"/>
      <c r="D5" s="60">
        <v>44742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5"/>
      <c r="B6" s="47"/>
      <c r="C6" s="47"/>
      <c r="D6" s="25" t="str">
        <f>CONCATENATE("Department ","435"," - ","Ground Floor Coffee House")</f>
        <v>Department 435 - Ground Floor Coffee House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4"/>
    </row>
    <row r="8" spans="1:26" ht="15" customHeight="1" x14ac:dyDescent="0.3">
      <c r="B8" s="54"/>
    </row>
    <row r="9" spans="1:26" ht="15" customHeight="1" x14ac:dyDescent="0.3">
      <c r="B9" s="12"/>
      <c r="C9" s="12"/>
      <c r="D9" s="16" t="s">
        <v>279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280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ht="15" customHeight="1" x14ac:dyDescent="0.3">
      <c r="A10" s="13"/>
      <c r="B10" s="52"/>
      <c r="C10" s="13"/>
      <c r="D10" s="40" t="s">
        <v>281</v>
      </c>
      <c r="E10" s="32"/>
      <c r="F10" s="39" t="s">
        <v>282</v>
      </c>
      <c r="G10" s="32"/>
      <c r="H10" s="45" t="s">
        <v>283</v>
      </c>
      <c r="I10" s="32"/>
      <c r="J10" s="42" t="s">
        <v>284</v>
      </c>
      <c r="K10" s="13"/>
      <c r="L10" s="40" t="s">
        <v>285</v>
      </c>
      <c r="M10" s="13"/>
      <c r="N10" s="39" t="s">
        <v>286</v>
      </c>
      <c r="O10" s="13"/>
      <c r="P10" s="55" t="s">
        <v>281</v>
      </c>
      <c r="Q10" s="32"/>
      <c r="R10" s="39" t="s">
        <v>282</v>
      </c>
      <c r="S10" s="32"/>
      <c r="T10" s="45" t="s">
        <v>283</v>
      </c>
      <c r="U10" s="32"/>
      <c r="V10" s="42" t="s">
        <v>284</v>
      </c>
      <c r="W10" s="13"/>
      <c r="X10" s="40" t="s">
        <v>285</v>
      </c>
      <c r="Y10" s="13"/>
      <c r="Z10" s="39" t="s">
        <v>286</v>
      </c>
    </row>
    <row r="11" spans="1:26" ht="16.5" customHeight="1" x14ac:dyDescent="0.3">
      <c r="A11" s="12"/>
      <c r="B11" s="58"/>
      <c r="C11" s="12"/>
      <c r="D11" s="12"/>
      <c r="E11" s="12"/>
      <c r="F11" s="10"/>
      <c r="G11" s="12"/>
      <c r="H11" s="12"/>
      <c r="I11" s="12"/>
      <c r="J11" s="43"/>
      <c r="K11" s="12"/>
      <c r="L11" s="12"/>
      <c r="M11" s="12"/>
      <c r="N11" s="10"/>
      <c r="P11" s="12"/>
      <c r="Q11" s="12"/>
      <c r="R11" s="10"/>
      <c r="S11" s="12"/>
      <c r="T11" s="12"/>
      <c r="U11" s="12"/>
      <c r="V11" s="43"/>
      <c r="W11" s="12"/>
      <c r="X11" s="12"/>
      <c r="Y11" s="12"/>
      <c r="Z11" s="10"/>
    </row>
    <row r="12" spans="1:26" s="63" customFormat="1" ht="15" customHeight="1" collapsed="1" x14ac:dyDescent="0.3">
      <c r="A12" s="13"/>
      <c r="B12" s="28" t="s">
        <v>287</v>
      </c>
      <c r="C12" s="13"/>
      <c r="D12" s="8">
        <f>SUM(OSRRefD13x_0)</f>
        <v>0</v>
      </c>
      <c r="E12" s="8"/>
      <c r="F12" s="14"/>
      <c r="G12" s="8"/>
      <c r="H12" s="8">
        <f>SUM(OSRRefH13x_0)</f>
        <v>0</v>
      </c>
      <c r="I12" s="8"/>
      <c r="J12" s="14"/>
      <c r="K12" s="8"/>
      <c r="L12" s="8">
        <f>+D12-H12</f>
        <v>0</v>
      </c>
      <c r="M12" s="8"/>
      <c r="N12" s="14">
        <f>IF(H12=0,0,L12/H12)</f>
        <v>0</v>
      </c>
      <c r="O12" s="13"/>
      <c r="P12" s="8">
        <f>SUM(OSRRefP13x_0)</f>
        <v>6754.04</v>
      </c>
      <c r="Q12" s="8"/>
      <c r="R12" s="14"/>
      <c r="S12" s="8"/>
      <c r="T12" s="8">
        <f>SUM(OSRRefT13x_0)</f>
        <v>0</v>
      </c>
      <c r="U12" s="8"/>
      <c r="V12" s="14"/>
      <c r="W12" s="8"/>
      <c r="X12" s="8">
        <f>+P12-T12</f>
        <v>6754.04</v>
      </c>
      <c r="Y12" s="8"/>
      <c r="Z12" s="14">
        <f>IF(T12=0,0,X12/T12)</f>
        <v>0</v>
      </c>
    </row>
    <row r="13" spans="1:26" s="70" customFormat="1" ht="15" hidden="1" customHeight="1" outlineLevel="1" x14ac:dyDescent="0.3">
      <c r="A13" s="48"/>
      <c r="B13" s="9" t="str">
        <f>CONCATENATE("          ","4055"," - ","TAXABLE SALES-FOOD")</f>
        <v xml:space="preserve">          4055 - TAXABLE SALES-FOOD</v>
      </c>
      <c r="C13" s="9"/>
      <c r="D13" s="3">
        <f>0</f>
        <v>0</v>
      </c>
      <c r="E13" s="3"/>
      <c r="F13" s="26"/>
      <c r="G13" s="3"/>
      <c r="H13" s="3"/>
      <c r="I13" s="3"/>
      <c r="J13" s="26"/>
      <c r="K13" s="3"/>
      <c r="L13" s="3">
        <f>+D13-H13</f>
        <v>0</v>
      </c>
      <c r="M13" s="3"/>
      <c r="N13" s="26">
        <f>IF(H13=0,0,L13/H13)</f>
        <v>0</v>
      </c>
      <c r="O13" s="9"/>
      <c r="P13" s="3">
        <f>--2070.63</f>
        <v>2070.63</v>
      </c>
      <c r="Q13" s="3"/>
      <c r="R13" s="26"/>
      <c r="S13" s="3"/>
      <c r="T13" s="3"/>
      <c r="U13" s="3"/>
      <c r="V13" s="26"/>
      <c r="W13" s="3"/>
      <c r="X13" s="3">
        <f>+P13-T13</f>
        <v>2070.63</v>
      </c>
      <c r="Y13" s="3"/>
      <c r="Z13" s="26">
        <f>IF(T13=0,0,X13/T13)</f>
        <v>0</v>
      </c>
    </row>
    <row r="14" spans="1:26" s="70" customFormat="1" ht="15" hidden="1" customHeight="1" outlineLevel="1" x14ac:dyDescent="0.3">
      <c r="A14" s="48"/>
      <c r="B14" s="9" t="str">
        <f>CONCATENATE("          ","4155"," - ","NON-TAXABLE SALES-FOOD")</f>
        <v xml:space="preserve">          4155 - NON-TAXABLE SALES-FOOD</v>
      </c>
      <c r="C14" s="9"/>
      <c r="D14" s="3">
        <f>0</f>
        <v>0</v>
      </c>
      <c r="E14" s="3"/>
      <c r="F14" s="26"/>
      <c r="G14" s="3"/>
      <c r="H14" s="3"/>
      <c r="I14" s="3"/>
      <c r="J14" s="26"/>
      <c r="K14" s="3"/>
      <c r="L14" s="3">
        <f>+D14-H14</f>
        <v>0</v>
      </c>
      <c r="M14" s="3"/>
      <c r="N14" s="26">
        <f>IF(H14=0,0,L14/H14)</f>
        <v>0</v>
      </c>
      <c r="O14" s="9"/>
      <c r="P14" s="3">
        <f>--4683.41</f>
        <v>4683.41</v>
      </c>
      <c r="Q14" s="3"/>
      <c r="R14" s="26"/>
      <c r="S14" s="3"/>
      <c r="T14" s="3"/>
      <c r="U14" s="3"/>
      <c r="V14" s="26"/>
      <c r="W14" s="3"/>
      <c r="X14" s="3">
        <f>+P14-T14</f>
        <v>4683.41</v>
      </c>
      <c r="Y14" s="3"/>
      <c r="Z14" s="26">
        <f>IF(T14=0,0,X14/T14)</f>
        <v>0</v>
      </c>
    </row>
    <row r="15" spans="1:26" ht="15" customHeight="1" x14ac:dyDescent="0.3">
      <c r="A15" s="12"/>
      <c r="B15" s="13"/>
      <c r="C15" s="12"/>
      <c r="D15" s="4"/>
      <c r="E15" s="4"/>
      <c r="F15" s="10"/>
      <c r="G15" s="4"/>
      <c r="H15" s="4"/>
      <c r="I15" s="4"/>
      <c r="J15" s="10"/>
      <c r="K15" s="4"/>
      <c r="L15" s="4"/>
      <c r="M15" s="4"/>
      <c r="N15" s="10"/>
      <c r="P15" s="4"/>
      <c r="Q15" s="4"/>
      <c r="R15" s="10"/>
      <c r="S15" s="4"/>
      <c r="T15" s="4"/>
      <c r="U15" s="4"/>
      <c r="V15" s="10"/>
      <c r="W15" s="4"/>
      <c r="X15" s="4"/>
      <c r="Y15" s="4"/>
      <c r="Z15" s="10"/>
    </row>
    <row r="16" spans="1:26" s="63" customFormat="1" ht="15" customHeight="1" collapsed="1" x14ac:dyDescent="0.3">
      <c r="A16" s="13"/>
      <c r="B16" s="28" t="s">
        <v>288</v>
      </c>
      <c r="C16" s="13"/>
      <c r="D16" s="8">
        <f>SUM(OSRRefD16x_0)</f>
        <v>0</v>
      </c>
      <c r="E16" s="8"/>
      <c r="F16" s="14">
        <f>IF(D$12=0,0,D16/D$12)</f>
        <v>0</v>
      </c>
      <c r="G16" s="8"/>
      <c r="H16" s="8">
        <f>SUM(OSRRefH16x_0)</f>
        <v>0</v>
      </c>
      <c r="I16" s="8"/>
      <c r="J16" s="14">
        <f>IF(H$12=0,0,H16/H$12)</f>
        <v>0</v>
      </c>
      <c r="K16" s="8"/>
      <c r="L16" s="8">
        <f>+D16-H16</f>
        <v>0</v>
      </c>
      <c r="M16" s="8"/>
      <c r="N16" s="14">
        <f>IF(H16=0,0,L16/H16)</f>
        <v>0</v>
      </c>
      <c r="O16" s="13"/>
      <c r="P16" s="8">
        <f>SUM(OSRRefP16x_0)</f>
        <v>1232.01</v>
      </c>
      <c r="Q16" s="8"/>
      <c r="R16" s="14">
        <f>IF(P$12=0,0,P16/P$12)</f>
        <v>0.18241082374401099</v>
      </c>
      <c r="S16" s="8"/>
      <c r="T16" s="8">
        <f>SUM(OSRRefT16x_0)</f>
        <v>0</v>
      </c>
      <c r="U16" s="8"/>
      <c r="V16" s="14">
        <f>IF(T$12=0,0,T16/T$12)</f>
        <v>0</v>
      </c>
      <c r="W16" s="8"/>
      <c r="X16" s="8">
        <f>+P16-T16</f>
        <v>1232.01</v>
      </c>
      <c r="Y16" s="8"/>
      <c r="Z16" s="14">
        <f>IF(T16=0,0,X16/T16)</f>
        <v>0</v>
      </c>
    </row>
    <row r="17" spans="1:26" s="70" customFormat="1" ht="15" hidden="1" customHeight="1" outlineLevel="1" x14ac:dyDescent="0.3">
      <c r="A17" s="48"/>
      <c r="B17" s="9" t="str">
        <f>CONCATENATE("          ","5053"," - ","PURCHASES @ COST-FOOD")</f>
        <v xml:space="preserve">          5053 - PURCHASES @ COST-FOOD</v>
      </c>
      <c r="C17" s="9"/>
      <c r="D17" s="3"/>
      <c r="E17" s="3"/>
      <c r="F17" s="26">
        <f>IF(D$12=0,0,D17/D$12)</f>
        <v>0</v>
      </c>
      <c r="G17" s="3"/>
      <c r="H17" s="3"/>
      <c r="I17" s="3"/>
      <c r="J17" s="26">
        <f>IF(H$12=0,0,H17/H$12)</f>
        <v>0</v>
      </c>
      <c r="K17" s="3"/>
      <c r="L17" s="3">
        <f>+D17-H17</f>
        <v>0</v>
      </c>
      <c r="M17" s="3"/>
      <c r="N17" s="26">
        <f>IF(H17=0,0,L17/H17)</f>
        <v>0</v>
      </c>
      <c r="O17" s="9"/>
      <c r="P17" s="3">
        <v>1232.01</v>
      </c>
      <c r="Q17" s="3"/>
      <c r="R17" s="26">
        <f>IF(P$12=0,0,P17/P$12)</f>
        <v>0.18241082374401099</v>
      </c>
      <c r="S17" s="3"/>
      <c r="T17" s="3"/>
      <c r="U17" s="3"/>
      <c r="V17" s="26">
        <f>IF(T$12=0,0,T17/T$12)</f>
        <v>0</v>
      </c>
      <c r="W17" s="3"/>
      <c r="X17" s="3">
        <f>+P17-T17</f>
        <v>1232.01</v>
      </c>
      <c r="Y17" s="3"/>
      <c r="Z17" s="26">
        <f>IF(T17=0,0,X17/T17)</f>
        <v>0</v>
      </c>
    </row>
    <row r="18" spans="1:26" ht="15" customHeight="1" x14ac:dyDescent="0.3">
      <c r="A18" s="12"/>
      <c r="B18" s="13"/>
      <c r="C18" s="13"/>
      <c r="D18" s="4"/>
      <c r="E18" s="4"/>
      <c r="F18" s="10"/>
      <c r="G18" s="4"/>
      <c r="H18" s="4"/>
      <c r="I18" s="4"/>
      <c r="J18" s="10"/>
      <c r="K18" s="4"/>
      <c r="L18" s="4"/>
      <c r="M18" s="4"/>
      <c r="N18" s="10"/>
      <c r="O18" s="13"/>
      <c r="P18" s="4"/>
      <c r="Q18" s="4"/>
      <c r="R18" s="10"/>
      <c r="S18" s="4"/>
      <c r="T18" s="4"/>
      <c r="U18" s="4"/>
      <c r="V18" s="10"/>
      <c r="W18" s="4"/>
      <c r="X18" s="4"/>
      <c r="Y18" s="4"/>
      <c r="Z18" s="10"/>
    </row>
    <row r="19" spans="1:26" s="63" customFormat="1" ht="15" customHeight="1" x14ac:dyDescent="0.3">
      <c r="A19" s="13"/>
      <c r="B19" s="27" t="s">
        <v>289</v>
      </c>
      <c r="C19" s="27"/>
      <c r="D19" s="23">
        <f>D12-D16</f>
        <v>0</v>
      </c>
      <c r="E19" s="15"/>
      <c r="F19" s="22">
        <f>IF(D$12=0,0,D19/D$12)</f>
        <v>0</v>
      </c>
      <c r="G19" s="15"/>
      <c r="H19" s="23">
        <f>H12-H16</f>
        <v>0</v>
      </c>
      <c r="I19" s="15"/>
      <c r="J19" s="22">
        <f>IF(H$12=0,0,H19/H$12)</f>
        <v>0</v>
      </c>
      <c r="K19" s="17"/>
      <c r="L19" s="23">
        <f>+D19-H19</f>
        <v>0</v>
      </c>
      <c r="M19" s="17"/>
      <c r="N19" s="22">
        <f>IF(H19=0,0,L19/H19)</f>
        <v>0</v>
      </c>
      <c r="O19" s="28"/>
      <c r="P19" s="23">
        <f>P12-P16</f>
        <v>5522.03</v>
      </c>
      <c r="Q19" s="15"/>
      <c r="R19" s="22">
        <f>IF(P$12=0,0,P19/P$12)</f>
        <v>0.81758917625598893</v>
      </c>
      <c r="S19" s="15"/>
      <c r="T19" s="23">
        <f>T12-T16</f>
        <v>0</v>
      </c>
      <c r="U19" s="15"/>
      <c r="V19" s="22">
        <f>IF(T$12=0,0,T19/T$12)</f>
        <v>0</v>
      </c>
      <c r="W19" s="17"/>
      <c r="X19" s="23">
        <f>+P19-T19</f>
        <v>5522.03</v>
      </c>
      <c r="Y19" s="17"/>
      <c r="Z19" s="22">
        <f>IF(T19=0,0,X19/T19)</f>
        <v>0</v>
      </c>
    </row>
    <row r="20" spans="1:26" ht="15" customHeight="1" x14ac:dyDescent="0.3">
      <c r="A20" s="12"/>
      <c r="B20" s="13"/>
      <c r="C20" s="12"/>
      <c r="D20" s="2"/>
      <c r="E20" s="2"/>
      <c r="F20" s="5"/>
      <c r="G20" s="2"/>
      <c r="H20" s="2"/>
      <c r="I20" s="2"/>
      <c r="J20" s="5"/>
      <c r="K20" s="2"/>
      <c r="L20" s="2"/>
      <c r="M20" s="2"/>
      <c r="N20" s="5"/>
      <c r="O20" s="36"/>
      <c r="P20" s="2"/>
      <c r="Q20" s="2"/>
      <c r="R20" s="5"/>
      <c r="S20" s="2"/>
      <c r="T20" s="2"/>
      <c r="U20" s="2"/>
      <c r="V20" s="5"/>
      <c r="W20" s="2"/>
      <c r="X20" s="2"/>
      <c r="Y20" s="2"/>
      <c r="Z20" s="5"/>
    </row>
    <row r="21" spans="1:26" s="63" customFormat="1" ht="15" customHeight="1" x14ac:dyDescent="0.3">
      <c r="A21" s="13"/>
      <c r="B21" s="28" t="s">
        <v>290</v>
      </c>
      <c r="C21" s="13"/>
      <c r="D21" s="24" cm="1">
        <f t="array" ref="D21">SUM(OSRRefD22x_0)</f>
        <v>0</v>
      </c>
      <c r="E21" s="24"/>
      <c r="F21" s="34">
        <f t="shared" ref="F21:F32" si="0">IF(D$12=0,0,D21/D$12)</f>
        <v>0</v>
      </c>
      <c r="G21" s="24"/>
      <c r="H21" s="24" cm="1">
        <f t="array" ref="H21">SUM(OSRRefH22x_0)</f>
        <v>0</v>
      </c>
      <c r="I21" s="24"/>
      <c r="J21" s="34">
        <f t="shared" ref="J21:J32" si="1">IF(H$12=0,0,H21/H$12)</f>
        <v>0</v>
      </c>
      <c r="K21" s="8"/>
      <c r="L21" s="24">
        <f t="shared" ref="L21:L32" si="2">+D21-H21</f>
        <v>0</v>
      </c>
      <c r="M21" s="8"/>
      <c r="N21" s="34">
        <f t="shared" ref="N21:N32" si="3">IF(H21=0,0,L21/H21)</f>
        <v>0</v>
      </c>
      <c r="O21" s="13"/>
      <c r="P21" s="24" cm="1">
        <f t="array" ref="P21">SUM(OSRRefP22x_0)</f>
        <v>5930.6699999999983</v>
      </c>
      <c r="Q21" s="24"/>
      <c r="R21" s="34">
        <f t="shared" ref="R21:R32" si="4">IF(P$12=0,0,P21/P$12)</f>
        <v>0.87809222332115267</v>
      </c>
      <c r="S21" s="24"/>
      <c r="T21" s="24" cm="1">
        <f t="array" ref="T21">SUM(OSRRefT22x_0)</f>
        <v>0</v>
      </c>
      <c r="U21" s="24"/>
      <c r="V21" s="34">
        <f t="shared" ref="V21:V32" si="5">IF(T$12=0,0,T21/T$12)</f>
        <v>0</v>
      </c>
      <c r="W21" s="8"/>
      <c r="X21" s="24">
        <f t="shared" ref="X21:X32" si="6">+P21-T21</f>
        <v>5930.6699999999983</v>
      </c>
      <c r="Y21" s="8"/>
      <c r="Z21" s="34">
        <f t="shared" ref="Z21:Z32" si="7">IF(T21=0,0,X21/T21)</f>
        <v>0</v>
      </c>
    </row>
    <row r="22" spans="1:26" s="69" customFormat="1" ht="15" customHeight="1" outlineLevel="1" collapsed="1" x14ac:dyDescent="0.3">
      <c r="A22" s="20"/>
      <c r="B22" s="11" t="str">
        <f>CONCATENATE("     ","*Benefits                                         ")</f>
        <v xml:space="preserve">     *Benefits                                         </v>
      </c>
      <c r="C22" s="11"/>
      <c r="D22" s="2">
        <f>SUM(OSRRefD22_0x_0)</f>
        <v>0</v>
      </c>
      <c r="E22" s="2"/>
      <c r="F22" s="5">
        <f t="shared" si="0"/>
        <v>0</v>
      </c>
      <c r="G22" s="2"/>
      <c r="H22" s="2">
        <f>SUM(OSRRefH22_0x_0)</f>
        <v>0</v>
      </c>
      <c r="I22" s="2"/>
      <c r="J22" s="5">
        <f t="shared" si="1"/>
        <v>0</v>
      </c>
      <c r="K22" s="2"/>
      <c r="L22" s="2">
        <f t="shared" si="2"/>
        <v>0</v>
      </c>
      <c r="M22" s="2"/>
      <c r="N22" s="5">
        <f t="shared" si="3"/>
        <v>0</v>
      </c>
      <c r="O22" s="11"/>
      <c r="P22" s="2">
        <f>SUM(OSRRefP22_0x_0)</f>
        <v>274.69</v>
      </c>
      <c r="Q22" s="2"/>
      <c r="R22" s="5">
        <f t="shared" si="4"/>
        <v>4.067047278369687E-2</v>
      </c>
      <c r="S22" s="2"/>
      <c r="T22" s="2">
        <f>SUM(OSRRefT22_0x_0)</f>
        <v>0</v>
      </c>
      <c r="U22" s="2"/>
      <c r="V22" s="5">
        <f t="shared" si="5"/>
        <v>0</v>
      </c>
      <c r="W22" s="2"/>
      <c r="X22" s="2">
        <f t="shared" si="6"/>
        <v>274.69</v>
      </c>
      <c r="Y22" s="2"/>
      <c r="Z22" s="5">
        <f t="shared" si="7"/>
        <v>0</v>
      </c>
    </row>
    <row r="23" spans="1:26" s="70" customFormat="1" ht="15" hidden="1" customHeight="1" outlineLevel="2" x14ac:dyDescent="0.3">
      <c r="A23" s="21"/>
      <c r="B23" s="9" t="str">
        <f>CONCATENATE("          ","6112"," - ","COMPENSATION INSURANCE")</f>
        <v xml:space="preserve">          6112 - COMPENSATION INSURANCE</v>
      </c>
      <c r="C23" s="9"/>
      <c r="D23" s="6"/>
      <c r="E23" s="3"/>
      <c r="F23" s="7">
        <f t="shared" si="0"/>
        <v>0</v>
      </c>
      <c r="G23" s="3"/>
      <c r="H23" s="6"/>
      <c r="I23" s="3"/>
      <c r="J23" s="7">
        <f t="shared" si="1"/>
        <v>0</v>
      </c>
      <c r="K23" s="3"/>
      <c r="L23" s="6">
        <f t="shared" si="2"/>
        <v>0</v>
      </c>
      <c r="M23" s="3"/>
      <c r="N23" s="7">
        <f t="shared" si="3"/>
        <v>0</v>
      </c>
      <c r="O23" s="9"/>
      <c r="P23" s="6">
        <v>256.18</v>
      </c>
      <c r="Q23" s="3"/>
      <c r="R23" s="7">
        <f t="shared" si="4"/>
        <v>3.7929890850513175E-2</v>
      </c>
      <c r="S23" s="3"/>
      <c r="T23" s="6"/>
      <c r="U23" s="3"/>
      <c r="V23" s="7">
        <f t="shared" si="5"/>
        <v>0</v>
      </c>
      <c r="W23" s="3"/>
      <c r="X23" s="6">
        <f t="shared" si="6"/>
        <v>256.18</v>
      </c>
      <c r="Y23" s="3"/>
      <c r="Z23" s="7">
        <f t="shared" si="7"/>
        <v>0</v>
      </c>
    </row>
    <row r="24" spans="1:26" s="70" customFormat="1" ht="15" hidden="1" customHeight="1" outlineLevel="2" x14ac:dyDescent="0.3">
      <c r="A24" s="21"/>
      <c r="B24" s="9" t="str">
        <f>CONCATENATE("          ","6114"," - ","STATE UNEMPLOYMENT INSURANCE")</f>
        <v xml:space="preserve">          6114 - STATE UNEMPLOYMENT INSURANCE</v>
      </c>
      <c r="C24" s="9"/>
      <c r="D24" s="6"/>
      <c r="E24" s="3"/>
      <c r="F24" s="7">
        <f t="shared" si="0"/>
        <v>0</v>
      </c>
      <c r="G24" s="3"/>
      <c r="H24" s="6"/>
      <c r="I24" s="3"/>
      <c r="J24" s="7">
        <f t="shared" si="1"/>
        <v>0</v>
      </c>
      <c r="K24" s="3"/>
      <c r="L24" s="6">
        <f t="shared" si="2"/>
        <v>0</v>
      </c>
      <c r="M24" s="3"/>
      <c r="N24" s="7">
        <f t="shared" si="3"/>
        <v>0</v>
      </c>
      <c r="O24" s="9"/>
      <c r="P24" s="6">
        <v>18.510000000000002</v>
      </c>
      <c r="Q24" s="3"/>
      <c r="R24" s="7">
        <f t="shared" si="4"/>
        <v>2.7405819331836946E-3</v>
      </c>
      <c r="S24" s="3"/>
      <c r="T24" s="6"/>
      <c r="U24" s="3"/>
      <c r="V24" s="7">
        <f t="shared" si="5"/>
        <v>0</v>
      </c>
      <c r="W24" s="3"/>
      <c r="X24" s="6">
        <f t="shared" si="6"/>
        <v>18.510000000000002</v>
      </c>
      <c r="Y24" s="3"/>
      <c r="Z24" s="7">
        <f t="shared" si="7"/>
        <v>0</v>
      </c>
    </row>
    <row r="25" spans="1:26" s="69" customFormat="1" ht="15" customHeight="1" outlineLevel="1" collapsed="1" x14ac:dyDescent="0.3">
      <c r="A25" s="20"/>
      <c r="B25" s="11" t="str">
        <f>CONCATENATE("     ","*Payroll                                          ")</f>
        <v xml:space="preserve">     *Payroll                                          </v>
      </c>
      <c r="C25" s="11"/>
      <c r="D25" s="2">
        <f>SUM(OSRRefD22_1x_0)</f>
        <v>0</v>
      </c>
      <c r="E25" s="2"/>
      <c r="F25" s="5">
        <f t="shared" si="0"/>
        <v>0</v>
      </c>
      <c r="G25" s="2"/>
      <c r="H25" s="2">
        <f>SUM(OSRRefH22_1x_0)</f>
        <v>0</v>
      </c>
      <c r="I25" s="2"/>
      <c r="J25" s="5">
        <f t="shared" si="1"/>
        <v>0</v>
      </c>
      <c r="K25" s="2"/>
      <c r="L25" s="2">
        <f t="shared" si="2"/>
        <v>0</v>
      </c>
      <c r="M25" s="2"/>
      <c r="N25" s="5">
        <f t="shared" si="3"/>
        <v>0</v>
      </c>
      <c r="O25" s="11"/>
      <c r="P25" s="2">
        <f>SUM(OSRRefP22_1x_0)</f>
        <v>5125.3999999999996</v>
      </c>
      <c r="Q25" s="2"/>
      <c r="R25" s="5">
        <f t="shared" si="4"/>
        <v>0.75886432416746119</v>
      </c>
      <c r="S25" s="2"/>
      <c r="T25" s="2">
        <f>SUM(OSRRefT22_1x_0)</f>
        <v>0</v>
      </c>
      <c r="U25" s="2"/>
      <c r="V25" s="5">
        <f t="shared" si="5"/>
        <v>0</v>
      </c>
      <c r="W25" s="2"/>
      <c r="X25" s="2">
        <f t="shared" si="6"/>
        <v>5125.3999999999996</v>
      </c>
      <c r="Y25" s="2"/>
      <c r="Z25" s="5">
        <f t="shared" si="7"/>
        <v>0</v>
      </c>
    </row>
    <row r="26" spans="1:26" s="70" customFormat="1" ht="15" hidden="1" customHeight="1" outlineLevel="2" x14ac:dyDescent="0.3">
      <c r="A26" s="21"/>
      <c r="B26" s="9" t="str">
        <f>CONCATENATE("          ","6007"," - ","STUDENT HOURLY")</f>
        <v xml:space="preserve">          6007 - STUDENT HOURLY</v>
      </c>
      <c r="C26" s="9"/>
      <c r="D26" s="6"/>
      <c r="E26" s="3"/>
      <c r="F26" s="7">
        <f t="shared" si="0"/>
        <v>0</v>
      </c>
      <c r="G26" s="3"/>
      <c r="H26" s="6"/>
      <c r="I26" s="3"/>
      <c r="J26" s="7">
        <f t="shared" si="1"/>
        <v>0</v>
      </c>
      <c r="K26" s="3"/>
      <c r="L26" s="6">
        <f t="shared" si="2"/>
        <v>0</v>
      </c>
      <c r="M26" s="3"/>
      <c r="N26" s="7">
        <f t="shared" si="3"/>
        <v>0</v>
      </c>
      <c r="O26" s="9"/>
      <c r="P26" s="6">
        <v>5125.3999999999996</v>
      </c>
      <c r="Q26" s="3"/>
      <c r="R26" s="7">
        <f t="shared" si="4"/>
        <v>0.75886432416746119</v>
      </c>
      <c r="S26" s="3"/>
      <c r="T26" s="6"/>
      <c r="U26" s="3"/>
      <c r="V26" s="7">
        <f t="shared" si="5"/>
        <v>0</v>
      </c>
      <c r="W26" s="3"/>
      <c r="X26" s="6">
        <f t="shared" si="6"/>
        <v>5125.3999999999996</v>
      </c>
      <c r="Y26" s="3"/>
      <c r="Z26" s="7">
        <f t="shared" si="7"/>
        <v>0</v>
      </c>
    </row>
    <row r="27" spans="1:26" s="69" customFormat="1" ht="15" customHeight="1" outlineLevel="1" collapsed="1" x14ac:dyDescent="0.3">
      <c r="A27" s="20"/>
      <c r="B27" s="11" t="str">
        <f>CONCATENATE("     ","Bad Debts/Over/Short                              ")</f>
        <v xml:space="preserve">     Bad Debts/Over/Short                              </v>
      </c>
      <c r="C27" s="11"/>
      <c r="D27" s="2">
        <f>SUM(OSRRefD22_2x_0)</f>
        <v>0</v>
      </c>
      <c r="E27" s="2"/>
      <c r="F27" s="5">
        <f t="shared" si="0"/>
        <v>0</v>
      </c>
      <c r="G27" s="2"/>
      <c r="H27" s="2">
        <f>SUM(OSRRefH22_2x_0)</f>
        <v>0</v>
      </c>
      <c r="I27" s="2"/>
      <c r="J27" s="5">
        <f t="shared" si="1"/>
        <v>0</v>
      </c>
      <c r="K27" s="2"/>
      <c r="L27" s="2">
        <f t="shared" si="2"/>
        <v>0</v>
      </c>
      <c r="M27" s="2"/>
      <c r="N27" s="5">
        <f t="shared" si="3"/>
        <v>0</v>
      </c>
      <c r="O27" s="11"/>
      <c r="P27" s="2">
        <f>SUM(OSRRefP22_2x_0)</f>
        <v>-0.1</v>
      </c>
      <c r="Q27" s="2"/>
      <c r="R27" s="5">
        <f t="shared" si="4"/>
        <v>-1.4805953177653671E-5</v>
      </c>
      <c r="S27" s="2"/>
      <c r="T27" s="2">
        <f>SUM(OSRRefT22_2x_0)</f>
        <v>0</v>
      </c>
      <c r="U27" s="2"/>
      <c r="V27" s="5">
        <f t="shared" si="5"/>
        <v>0</v>
      </c>
      <c r="W27" s="2"/>
      <c r="X27" s="2">
        <f t="shared" si="6"/>
        <v>-0.1</v>
      </c>
      <c r="Y27" s="2"/>
      <c r="Z27" s="5">
        <f t="shared" si="7"/>
        <v>0</v>
      </c>
    </row>
    <row r="28" spans="1:26" s="70" customFormat="1" ht="15" hidden="1" customHeight="1" outlineLevel="2" x14ac:dyDescent="0.3">
      <c r="A28" s="21"/>
      <c r="B28" s="9" t="str">
        <f>CONCATENATE("          ","6272"," - ","CASH (OVER/SHORT)")</f>
        <v xml:space="preserve">          6272 - CASH (OVER/SHORT)</v>
      </c>
      <c r="C28" s="9"/>
      <c r="D28" s="6"/>
      <c r="E28" s="3"/>
      <c r="F28" s="7">
        <f t="shared" si="0"/>
        <v>0</v>
      </c>
      <c r="G28" s="3"/>
      <c r="H28" s="6"/>
      <c r="I28" s="3"/>
      <c r="J28" s="7">
        <f t="shared" si="1"/>
        <v>0</v>
      </c>
      <c r="K28" s="3"/>
      <c r="L28" s="6">
        <f t="shared" si="2"/>
        <v>0</v>
      </c>
      <c r="M28" s="3"/>
      <c r="N28" s="7">
        <f t="shared" si="3"/>
        <v>0</v>
      </c>
      <c r="O28" s="9"/>
      <c r="P28" s="6">
        <v>-0.1</v>
      </c>
      <c r="Q28" s="3"/>
      <c r="R28" s="7">
        <f t="shared" si="4"/>
        <v>-1.4805953177653671E-5</v>
      </c>
      <c r="S28" s="3"/>
      <c r="T28" s="6"/>
      <c r="U28" s="3"/>
      <c r="V28" s="7">
        <f t="shared" si="5"/>
        <v>0</v>
      </c>
      <c r="W28" s="3"/>
      <c r="X28" s="6">
        <f t="shared" si="6"/>
        <v>-0.1</v>
      </c>
      <c r="Y28" s="3"/>
      <c r="Z28" s="7">
        <f t="shared" si="7"/>
        <v>0</v>
      </c>
    </row>
    <row r="29" spans="1:26" s="69" customFormat="1" ht="15" customHeight="1" outlineLevel="1" collapsed="1" x14ac:dyDescent="0.3">
      <c r="A29" s="20"/>
      <c r="B29" s="11" t="str">
        <f>CONCATENATE("     ","Bank/card Fees                                    ")</f>
        <v xml:space="preserve">     Bank/card Fees                                    </v>
      </c>
      <c r="C29" s="11"/>
      <c r="D29" s="2">
        <f>SUM(OSRRefD22_3x_0)</f>
        <v>0</v>
      </c>
      <c r="E29" s="2"/>
      <c r="F29" s="5">
        <f t="shared" si="0"/>
        <v>0</v>
      </c>
      <c r="G29" s="2"/>
      <c r="H29" s="2">
        <f>SUM(OSRRefH22_3x_0)</f>
        <v>0</v>
      </c>
      <c r="I29" s="2"/>
      <c r="J29" s="5">
        <f t="shared" si="1"/>
        <v>0</v>
      </c>
      <c r="K29" s="2"/>
      <c r="L29" s="2">
        <f t="shared" si="2"/>
        <v>0</v>
      </c>
      <c r="M29" s="2"/>
      <c r="N29" s="5">
        <f t="shared" si="3"/>
        <v>0</v>
      </c>
      <c r="O29" s="11"/>
      <c r="P29" s="2">
        <f>SUM(OSRRefP22_3x_0)</f>
        <v>0.28000000000000003</v>
      </c>
      <c r="Q29" s="2"/>
      <c r="R29" s="5">
        <f t="shared" si="4"/>
        <v>4.1456668897430281E-5</v>
      </c>
      <c r="S29" s="2"/>
      <c r="T29" s="2">
        <f>SUM(OSRRefT22_3x_0)</f>
        <v>0</v>
      </c>
      <c r="U29" s="2"/>
      <c r="V29" s="5">
        <f t="shared" si="5"/>
        <v>0</v>
      </c>
      <c r="W29" s="2"/>
      <c r="X29" s="2">
        <f t="shared" si="6"/>
        <v>0.28000000000000003</v>
      </c>
      <c r="Y29" s="2"/>
      <c r="Z29" s="5">
        <f t="shared" si="7"/>
        <v>0</v>
      </c>
    </row>
    <row r="30" spans="1:26" s="70" customFormat="1" ht="15" hidden="1" customHeight="1" outlineLevel="2" x14ac:dyDescent="0.3">
      <c r="A30" s="21"/>
      <c r="B30" s="9" t="str">
        <f>CONCATENATE("          ","6381"," - ","BANK/CREDIT CARD FEES")</f>
        <v xml:space="preserve">          6381 - BANK/CREDIT CARD FEES</v>
      </c>
      <c r="C30" s="9"/>
      <c r="D30" s="6"/>
      <c r="E30" s="3"/>
      <c r="F30" s="7">
        <f t="shared" si="0"/>
        <v>0</v>
      </c>
      <c r="G30" s="3"/>
      <c r="H30" s="6"/>
      <c r="I30" s="3"/>
      <c r="J30" s="7">
        <f t="shared" si="1"/>
        <v>0</v>
      </c>
      <c r="K30" s="3"/>
      <c r="L30" s="6">
        <f t="shared" si="2"/>
        <v>0</v>
      </c>
      <c r="M30" s="3"/>
      <c r="N30" s="7">
        <f t="shared" si="3"/>
        <v>0</v>
      </c>
      <c r="O30" s="9"/>
      <c r="P30" s="6">
        <v>0.28000000000000003</v>
      </c>
      <c r="Q30" s="3"/>
      <c r="R30" s="7">
        <f t="shared" si="4"/>
        <v>4.1456668897430281E-5</v>
      </c>
      <c r="S30" s="3"/>
      <c r="T30" s="6"/>
      <c r="U30" s="3"/>
      <c r="V30" s="7">
        <f t="shared" si="5"/>
        <v>0</v>
      </c>
      <c r="W30" s="3"/>
      <c r="X30" s="6">
        <f t="shared" si="6"/>
        <v>0.28000000000000003</v>
      </c>
      <c r="Y30" s="3"/>
      <c r="Z30" s="7">
        <f t="shared" si="7"/>
        <v>0</v>
      </c>
    </row>
    <row r="31" spans="1:26" s="69" customFormat="1" ht="15" customHeight="1" outlineLevel="1" collapsed="1" x14ac:dyDescent="0.3">
      <c r="A31" s="20"/>
      <c r="B31" s="11" t="str">
        <f>CONCATENATE("     ","General                                           ")</f>
        <v xml:space="preserve">     General                                           </v>
      </c>
      <c r="C31" s="11"/>
      <c r="D31" s="2">
        <f>SUM(OSRRefD22_4x_0)</f>
        <v>0</v>
      </c>
      <c r="E31" s="2"/>
      <c r="F31" s="5">
        <f t="shared" si="0"/>
        <v>0</v>
      </c>
      <c r="G31" s="2"/>
      <c r="H31" s="2">
        <f>SUM(OSRRefH22_4x_0)</f>
        <v>0</v>
      </c>
      <c r="I31" s="2"/>
      <c r="J31" s="5">
        <f t="shared" si="1"/>
        <v>0</v>
      </c>
      <c r="K31" s="2"/>
      <c r="L31" s="2">
        <f t="shared" si="2"/>
        <v>0</v>
      </c>
      <c r="M31" s="2"/>
      <c r="N31" s="5">
        <f t="shared" si="3"/>
        <v>0</v>
      </c>
      <c r="O31" s="11"/>
      <c r="P31" s="2">
        <f>SUM(OSRRefP22_4x_0)</f>
        <v>530.4</v>
      </c>
      <c r="Q31" s="2"/>
      <c r="R31" s="5">
        <f t="shared" si="4"/>
        <v>7.8530775654275062E-2</v>
      </c>
      <c r="S31" s="2"/>
      <c r="T31" s="2">
        <f>SUM(OSRRefT22_4x_0)</f>
        <v>0</v>
      </c>
      <c r="U31" s="2"/>
      <c r="V31" s="5">
        <f t="shared" si="5"/>
        <v>0</v>
      </c>
      <c r="W31" s="2"/>
      <c r="X31" s="2">
        <f t="shared" si="6"/>
        <v>530.4</v>
      </c>
      <c r="Y31" s="2"/>
      <c r="Z31" s="5">
        <f t="shared" si="7"/>
        <v>0</v>
      </c>
    </row>
    <row r="32" spans="1:26" s="70" customFormat="1" ht="15" hidden="1" customHeight="1" outlineLevel="2" x14ac:dyDescent="0.3">
      <c r="A32" s="21"/>
      <c r="B32" s="9" t="str">
        <f>CONCATENATE("          ","6279"," - ","GENERAL EXPENSE")</f>
        <v xml:space="preserve">          6279 - GENERAL EXPENSE</v>
      </c>
      <c r="C32" s="9"/>
      <c r="D32" s="6"/>
      <c r="E32" s="3"/>
      <c r="F32" s="7">
        <f t="shared" si="0"/>
        <v>0</v>
      </c>
      <c r="G32" s="3"/>
      <c r="H32" s="6"/>
      <c r="I32" s="3"/>
      <c r="J32" s="7">
        <f t="shared" si="1"/>
        <v>0</v>
      </c>
      <c r="K32" s="3"/>
      <c r="L32" s="6">
        <f t="shared" si="2"/>
        <v>0</v>
      </c>
      <c r="M32" s="3"/>
      <c r="N32" s="7">
        <f t="shared" si="3"/>
        <v>0</v>
      </c>
      <c r="O32" s="9"/>
      <c r="P32" s="6">
        <v>530.4</v>
      </c>
      <c r="Q32" s="3"/>
      <c r="R32" s="7">
        <f t="shared" si="4"/>
        <v>7.8530775654275062E-2</v>
      </c>
      <c r="S32" s="3"/>
      <c r="T32" s="6"/>
      <c r="U32" s="3"/>
      <c r="V32" s="7">
        <f t="shared" si="5"/>
        <v>0</v>
      </c>
      <c r="W32" s="3"/>
      <c r="X32" s="6">
        <f t="shared" si="6"/>
        <v>530.4</v>
      </c>
      <c r="Y32" s="3"/>
      <c r="Z32" s="7">
        <f t="shared" si="7"/>
        <v>0</v>
      </c>
    </row>
    <row r="33" spans="1:26" s="65" customFormat="1" ht="15" customHeight="1" x14ac:dyDescent="0.3">
      <c r="A33" s="36"/>
      <c r="B33" s="36"/>
      <c r="C33" s="36"/>
      <c r="D33" s="2"/>
      <c r="E33" s="2"/>
      <c r="F33" s="5"/>
      <c r="G33" s="2"/>
      <c r="H33" s="2"/>
      <c r="I33" s="2"/>
      <c r="J33" s="5"/>
      <c r="K33" s="2"/>
      <c r="L33" s="2"/>
      <c r="M33" s="2"/>
      <c r="N33" s="5"/>
      <c r="O33" s="36"/>
      <c r="P33" s="2"/>
      <c r="Q33" s="2"/>
      <c r="R33" s="5"/>
      <c r="S33" s="2"/>
      <c r="T33" s="2"/>
      <c r="U33" s="2"/>
      <c r="V33" s="5"/>
      <c r="W33" s="2"/>
      <c r="X33" s="2"/>
      <c r="Y33" s="2"/>
      <c r="Z33" s="5"/>
    </row>
    <row r="34" spans="1:26" s="63" customFormat="1" ht="15" customHeight="1" x14ac:dyDescent="0.3">
      <c r="A34" s="13"/>
      <c r="B34" s="28" t="s">
        <v>291</v>
      </c>
      <c r="C34" s="13"/>
      <c r="D34" s="8">
        <f>SUM(0)</f>
        <v>0</v>
      </c>
      <c r="E34" s="8"/>
      <c r="F34" s="14">
        <f>IF(D$12=0,0,D34/D$12)</f>
        <v>0</v>
      </c>
      <c r="G34" s="8"/>
      <c r="H34" s="8">
        <f>SUM(0)</f>
        <v>0</v>
      </c>
      <c r="I34" s="8"/>
      <c r="J34" s="14">
        <f>IF(H$12=0,0,H34/H$12)</f>
        <v>0</v>
      </c>
      <c r="K34" s="8"/>
      <c r="L34" s="8">
        <f>+D34-H34</f>
        <v>0</v>
      </c>
      <c r="M34" s="8"/>
      <c r="N34" s="14">
        <f>IF(H34=0,0,L34/H34)</f>
        <v>0</v>
      </c>
      <c r="O34" s="13"/>
      <c r="P34" s="8">
        <f>SUM(0)</f>
        <v>0</v>
      </c>
      <c r="Q34" s="8"/>
      <c r="R34" s="14">
        <f>IF(P$12=0,0,P34/P$12)</f>
        <v>0</v>
      </c>
      <c r="S34" s="8"/>
      <c r="T34" s="8">
        <f>SUM(0)</f>
        <v>0</v>
      </c>
      <c r="U34" s="8"/>
      <c r="V34" s="14">
        <f>IF(T$12=0,0,T34/T$12)</f>
        <v>0</v>
      </c>
      <c r="W34" s="8"/>
      <c r="X34" s="8">
        <f>+P34-T34</f>
        <v>0</v>
      </c>
      <c r="Y34" s="8"/>
      <c r="Z34" s="14">
        <f>IF(T34=0,0,X34/T34)</f>
        <v>0</v>
      </c>
    </row>
    <row r="35" spans="1:26" ht="15" customHeight="1" x14ac:dyDescent="0.3">
      <c r="A35" s="12"/>
      <c r="B35" s="13"/>
      <c r="C35" s="13"/>
      <c r="D35" s="4"/>
      <c r="E35" s="4"/>
      <c r="F35" s="10"/>
      <c r="G35" s="4"/>
      <c r="H35" s="4"/>
      <c r="I35" s="4"/>
      <c r="J35" s="10"/>
      <c r="K35" s="4"/>
      <c r="L35" s="4"/>
      <c r="M35" s="4"/>
      <c r="N35" s="10"/>
      <c r="O35" s="13"/>
      <c r="P35" s="4"/>
      <c r="Q35" s="4"/>
      <c r="R35" s="10"/>
      <c r="S35" s="4"/>
      <c r="T35" s="4"/>
      <c r="U35" s="4"/>
      <c r="V35" s="10"/>
      <c r="W35" s="4"/>
      <c r="X35" s="4"/>
      <c r="Y35" s="4"/>
      <c r="Z35" s="10"/>
    </row>
    <row r="36" spans="1:26" s="63" customFormat="1" ht="15" customHeight="1" x14ac:dyDescent="0.3">
      <c r="A36" s="13"/>
      <c r="B36" s="27" t="s">
        <v>292</v>
      </c>
      <c r="C36" s="27"/>
      <c r="D36" s="23">
        <f>+D19-D21+D34</f>
        <v>0</v>
      </c>
      <c r="E36" s="15"/>
      <c r="F36" s="22">
        <f>IF(D$12=0,0,D36/D$12)</f>
        <v>0</v>
      </c>
      <c r="G36" s="15"/>
      <c r="H36" s="23">
        <f>+H19-H21+H34</f>
        <v>0</v>
      </c>
      <c r="I36" s="15"/>
      <c r="J36" s="22">
        <f>IF(H$12=0,0,H36/H$12)</f>
        <v>0</v>
      </c>
      <c r="K36" s="17"/>
      <c r="L36" s="23">
        <f>+D36-H36</f>
        <v>0</v>
      </c>
      <c r="M36" s="17"/>
      <c r="N36" s="22">
        <f>IF(H36=0,0,L36/H36)</f>
        <v>0</v>
      </c>
      <c r="O36" s="28"/>
      <c r="P36" s="23">
        <f>+P19-P21+P34</f>
        <v>-408.63999999999851</v>
      </c>
      <c r="Q36" s="15"/>
      <c r="R36" s="22">
        <f>IF(P$12=0,0,P36/P$12)</f>
        <v>-6.050304706516374E-2</v>
      </c>
      <c r="S36" s="15"/>
      <c r="T36" s="23">
        <f>+T19-T21+T34</f>
        <v>0</v>
      </c>
      <c r="U36" s="15"/>
      <c r="V36" s="22">
        <f>IF(T$12=0,0,T36/T$12)</f>
        <v>0</v>
      </c>
      <c r="W36" s="17"/>
      <c r="X36" s="23">
        <f>+P36-T36</f>
        <v>-408.63999999999851</v>
      </c>
      <c r="Y36" s="17"/>
      <c r="Z36" s="22">
        <f>IF(T36=0,0,X36/T36)</f>
        <v>0</v>
      </c>
    </row>
    <row r="37" spans="1:26" ht="15" customHeight="1" x14ac:dyDescent="0.3">
      <c r="A37" s="12"/>
      <c r="B37" s="13"/>
      <c r="C37" s="12"/>
      <c r="D37" s="4"/>
      <c r="E37" s="4"/>
      <c r="F37" s="10"/>
      <c r="G37" s="4"/>
      <c r="H37" s="4"/>
      <c r="I37" s="4"/>
      <c r="J37" s="10"/>
      <c r="K37" s="4"/>
      <c r="L37" s="4"/>
      <c r="M37" s="4"/>
      <c r="N37" s="10"/>
      <c r="P37" s="4"/>
      <c r="Q37" s="4"/>
      <c r="R37" s="10"/>
      <c r="S37" s="4"/>
      <c r="T37" s="4"/>
      <c r="U37" s="4"/>
      <c r="V37" s="10"/>
      <c r="W37" s="4"/>
      <c r="X37" s="4"/>
      <c r="Y37" s="4"/>
      <c r="Z37" s="10"/>
    </row>
    <row r="38" spans="1:26" s="63" customFormat="1" ht="15" customHeight="1" x14ac:dyDescent="0.3">
      <c r="A38" s="49"/>
      <c r="B38" s="13" t="s">
        <v>293</v>
      </c>
      <c r="C38" s="13"/>
      <c r="D38" s="8">
        <v>-1537.99</v>
      </c>
      <c r="E38" s="8"/>
      <c r="F38" s="14">
        <f>IF(D$12=0,0,D38/D$12)</f>
        <v>0</v>
      </c>
      <c r="G38" s="8"/>
      <c r="H38" s="8"/>
      <c r="I38" s="8"/>
      <c r="J38" s="14">
        <f>IF(H$12=0,0,H38/H$12)</f>
        <v>0</v>
      </c>
      <c r="K38" s="8"/>
      <c r="L38" s="8">
        <f>+D38-H38</f>
        <v>-1537.99</v>
      </c>
      <c r="M38" s="8"/>
      <c r="N38" s="14">
        <f>IF(H38=0,0,L38/H38)</f>
        <v>0</v>
      </c>
      <c r="O38" s="13"/>
      <c r="P38" s="8">
        <v>-778.66</v>
      </c>
      <c r="Q38" s="8"/>
      <c r="R38" s="14">
        <f>IF(P$12=0,0,P38/P$12)</f>
        <v>-0.11528803501311807</v>
      </c>
      <c r="S38" s="8"/>
      <c r="T38" s="8"/>
      <c r="U38" s="8"/>
      <c r="V38" s="14">
        <f>IF(T$12=0,0,T38/T$12)</f>
        <v>0</v>
      </c>
      <c r="W38" s="8"/>
      <c r="X38" s="8">
        <f>+P38-T38</f>
        <v>-778.66</v>
      </c>
      <c r="Y38" s="8"/>
      <c r="Z38" s="14">
        <f>IF(T38=0,0,X38/T38)</f>
        <v>0</v>
      </c>
    </row>
    <row r="39" spans="1:26" ht="15" customHeight="1" x14ac:dyDescent="0.3">
      <c r="A39" s="12"/>
      <c r="B39" s="13"/>
      <c r="C39" s="13"/>
      <c r="D39" s="4"/>
      <c r="E39" s="4"/>
      <c r="F39" s="10"/>
      <c r="G39" s="4"/>
      <c r="H39" s="4"/>
      <c r="I39" s="4"/>
      <c r="J39" s="10"/>
      <c r="K39" s="4"/>
      <c r="L39" s="4"/>
      <c r="M39" s="4"/>
      <c r="N39" s="10"/>
      <c r="O39" s="13"/>
      <c r="P39" s="4"/>
      <c r="Q39" s="4"/>
      <c r="R39" s="10"/>
      <c r="S39" s="4"/>
      <c r="T39" s="4"/>
      <c r="U39" s="4"/>
      <c r="V39" s="10"/>
      <c r="W39" s="4"/>
      <c r="X39" s="4"/>
      <c r="Y39" s="4"/>
      <c r="Z39" s="10"/>
    </row>
    <row r="40" spans="1:26" s="63" customFormat="1" ht="15" customHeight="1" x14ac:dyDescent="0.3">
      <c r="A40" s="13"/>
      <c r="B40" s="27" t="s">
        <v>294</v>
      </c>
      <c r="C40" s="27"/>
      <c r="D40" s="30">
        <f>+D36-D38</f>
        <v>1537.99</v>
      </c>
      <c r="E40" s="15"/>
      <c r="F40" s="35">
        <f>IF(D$12=0,0,D40/D$12)</f>
        <v>0</v>
      </c>
      <c r="G40" s="15"/>
      <c r="H40" s="30">
        <f>+H36-H38</f>
        <v>0</v>
      </c>
      <c r="I40" s="15"/>
      <c r="J40" s="35">
        <f>IF(H$12=0,0,H40/H$12)</f>
        <v>0</v>
      </c>
      <c r="K40" s="17"/>
      <c r="L40" s="30">
        <f>D40-H40</f>
        <v>1537.99</v>
      </c>
      <c r="M40" s="17"/>
      <c r="N40" s="35">
        <f>IF(H40=0,0,L40/H40)</f>
        <v>0</v>
      </c>
      <c r="O40" s="28"/>
      <c r="P40" s="30">
        <f>+P36-P38</f>
        <v>370.02000000000146</v>
      </c>
      <c r="Q40" s="15"/>
      <c r="R40" s="35">
        <f>IF(P$12=0,0,P40/P$12)</f>
        <v>5.4784987947954326E-2</v>
      </c>
      <c r="S40" s="15"/>
      <c r="T40" s="30">
        <f>+T36-T38</f>
        <v>0</v>
      </c>
      <c r="U40" s="15"/>
      <c r="V40" s="35">
        <f>IF(T$12=0,0,T40/T$12)</f>
        <v>0</v>
      </c>
      <c r="W40" s="17"/>
      <c r="X40" s="30">
        <f>P40-T40</f>
        <v>370.02000000000146</v>
      </c>
      <c r="Y40" s="17"/>
      <c r="Z40" s="35">
        <f>IF(T40=0,0,X40/T40)</f>
        <v>0</v>
      </c>
    </row>
    <row r="41" spans="1:26" ht="15" customHeight="1" x14ac:dyDescent="0.3">
      <c r="A41" s="12"/>
      <c r="B41" s="12"/>
      <c r="C41" s="12"/>
      <c r="D41" s="4"/>
      <c r="E41" s="4"/>
      <c r="F41" s="10"/>
      <c r="G41" s="4"/>
      <c r="H41" s="4"/>
      <c r="I41" s="4"/>
      <c r="J41" s="10"/>
      <c r="K41" s="4"/>
      <c r="L41" s="4"/>
      <c r="M41" s="4"/>
      <c r="N41" s="10"/>
      <c r="P41" s="4"/>
      <c r="Q41" s="4"/>
      <c r="R41" s="10"/>
      <c r="S41" s="4"/>
      <c r="T41" s="4"/>
      <c r="U41" s="4"/>
      <c r="V41" s="10"/>
      <c r="W41" s="4"/>
      <c r="X41" s="4"/>
      <c r="Y41" s="4"/>
      <c r="Z41" s="10"/>
    </row>
    <row r="42" spans="1:26" ht="15" customHeight="1" x14ac:dyDescent="0.3">
      <c r="A42" s="12"/>
      <c r="B42" s="12"/>
      <c r="C42" s="12"/>
      <c r="D42" s="4"/>
      <c r="E42" s="4"/>
      <c r="F42" s="10"/>
      <c r="G42" s="4"/>
      <c r="H42" s="4"/>
      <c r="I42" s="4"/>
      <c r="J42" s="10"/>
      <c r="K42" s="4"/>
      <c r="L42" s="4"/>
      <c r="M42" s="4"/>
      <c r="N42" s="10"/>
      <c r="P42" s="4"/>
      <c r="Q42" s="4"/>
      <c r="R42" s="10"/>
      <c r="S42" s="4"/>
      <c r="T42" s="4"/>
      <c r="U42" s="4"/>
      <c r="V42" s="10"/>
      <c r="W42" s="4"/>
      <c r="X42" s="4"/>
      <c r="Y42" s="4"/>
      <c r="Z42" s="10"/>
    </row>
    <row r="43" spans="1:26" s="63" customFormat="1" ht="15" customHeight="1" x14ac:dyDescent="0.3">
      <c r="A43" s="13"/>
      <c r="B43" s="27" t="s">
        <v>297</v>
      </c>
      <c r="C43" s="27"/>
      <c r="D43" s="33">
        <f>SUM(D40:D42)</f>
        <v>1537.99</v>
      </c>
      <c r="E43" s="15"/>
      <c r="F43" s="31">
        <f>IF(D$12=0,0,D43/D$12)</f>
        <v>0</v>
      </c>
      <c r="G43" s="15"/>
      <c r="H43" s="33">
        <f>SUM(H40:H42)</f>
        <v>0</v>
      </c>
      <c r="I43" s="15"/>
      <c r="J43" s="31">
        <f>IF(H$12=0,0,H43/H$12)</f>
        <v>0</v>
      </c>
      <c r="K43" s="17"/>
      <c r="L43" s="33">
        <f>+D43-H43</f>
        <v>1537.99</v>
      </c>
      <c r="M43" s="17"/>
      <c r="N43" s="31">
        <f>IF(H43=0,0,L43/H43)</f>
        <v>0</v>
      </c>
      <c r="O43" s="28"/>
      <c r="P43" s="33">
        <f>SUM(P40:P42)</f>
        <v>370.02000000000146</v>
      </c>
      <c r="Q43" s="15"/>
      <c r="R43" s="31">
        <f>IF(P$12=0,0,P43/P$12)</f>
        <v>5.4784987947954326E-2</v>
      </c>
      <c r="S43" s="15"/>
      <c r="T43" s="33">
        <f>SUM(T40:T42)</f>
        <v>0</v>
      </c>
      <c r="U43" s="15"/>
      <c r="V43" s="31">
        <f>IF(T$12=0,0,T43/T$12)</f>
        <v>0</v>
      </c>
      <c r="W43" s="17"/>
      <c r="X43" s="33">
        <f>+P43-T43</f>
        <v>370.02000000000146</v>
      </c>
      <c r="Y43" s="17"/>
      <c r="Z43" s="31">
        <f>IF(T43=0,0,X43/T43)</f>
        <v>0</v>
      </c>
    </row>
    <row r="44" spans="1:26" ht="15" customHeight="1" x14ac:dyDescent="0.3">
      <c r="A44" s="12"/>
      <c r="C44" s="12"/>
      <c r="D44" s="19"/>
      <c r="E44" s="19"/>
      <c r="G44" s="19"/>
      <c r="H44" s="19"/>
      <c r="I44" s="19"/>
      <c r="J44" s="41"/>
      <c r="K44" s="19"/>
      <c r="L44" s="19"/>
      <c r="M44" s="19"/>
      <c r="P44" s="19"/>
      <c r="Q44" s="19"/>
      <c r="R44" s="41"/>
      <c r="S44" s="19"/>
      <c r="T44" s="19"/>
      <c r="U44" s="19"/>
      <c r="V44" s="41"/>
      <c r="W44" s="19"/>
      <c r="X44" s="19"/>
    </row>
    <row r="45" spans="1:26" ht="15" customHeight="1" x14ac:dyDescent="0.3">
      <c r="A45" s="12"/>
      <c r="B45" s="50">
        <v>44767.799547766204</v>
      </c>
      <c r="D45" s="19"/>
      <c r="E45" s="19"/>
      <c r="G45" s="19"/>
      <c r="H45" s="19"/>
      <c r="I45" s="19"/>
      <c r="J45" s="41"/>
      <c r="K45" s="19"/>
      <c r="L45" s="19"/>
      <c r="M45" s="19"/>
      <c r="P45" s="19"/>
      <c r="Q45" s="19"/>
      <c r="R45" s="41"/>
      <c r="S45" s="19"/>
      <c r="T45" s="19"/>
      <c r="U45" s="19"/>
      <c r="V45" s="41"/>
      <c r="W45" s="19"/>
      <c r="X45" s="19"/>
    </row>
    <row r="46" spans="1:26" ht="15" customHeight="1" x14ac:dyDescent="0.3">
      <c r="A46" s="12"/>
      <c r="B46" s="57" t="s">
        <v>298</v>
      </c>
      <c r="D46" s="19"/>
      <c r="E46" s="19"/>
      <c r="G46" s="19"/>
      <c r="H46" s="19"/>
      <c r="I46" s="19"/>
      <c r="J46" s="41"/>
      <c r="K46" s="19"/>
      <c r="L46" s="19"/>
      <c r="M46" s="19"/>
      <c r="P46" s="19"/>
      <c r="Q46" s="19"/>
      <c r="R46" s="41"/>
      <c r="S46" s="19"/>
      <c r="T46" s="19"/>
      <c r="U46" s="19"/>
      <c r="V46" s="41"/>
      <c r="W46" s="19"/>
      <c r="X46" s="19"/>
    </row>
    <row r="47" spans="1:26" ht="15" customHeight="1" x14ac:dyDescent="0.3">
      <c r="A47" s="12"/>
      <c r="B47" s="51"/>
      <c r="D47" s="19"/>
      <c r="E47" s="19"/>
      <c r="G47" s="19"/>
      <c r="H47" s="19"/>
      <c r="I47" s="19"/>
      <c r="J47" s="41"/>
      <c r="K47" s="19"/>
      <c r="L47" s="19"/>
      <c r="M47" s="19"/>
      <c r="P47" s="19"/>
      <c r="Q47" s="19"/>
      <c r="R47" s="41"/>
      <c r="S47" s="19"/>
      <c r="T47" s="19"/>
      <c r="U47" s="19"/>
      <c r="V47" s="41"/>
      <c r="W47" s="19"/>
      <c r="X47" s="19"/>
    </row>
    <row r="48" spans="1:26" ht="15" customHeight="1" x14ac:dyDescent="0.3">
      <c r="D48" s="19"/>
      <c r="E48" s="19"/>
      <c r="G48" s="19"/>
      <c r="H48" s="19"/>
      <c r="I48" s="19"/>
      <c r="J48" s="41"/>
      <c r="K48" s="19"/>
      <c r="L48" s="19"/>
      <c r="M48" s="19"/>
      <c r="P48" s="19"/>
      <c r="Q48" s="19"/>
      <c r="R48" s="41"/>
      <c r="S48" s="19"/>
      <c r="T48" s="19"/>
      <c r="U48" s="19"/>
      <c r="V48" s="41"/>
      <c r="W48" s="19"/>
      <c r="X48" s="19"/>
    </row>
  </sheetData>
  <pageMargins left="0.25" right="0.25" top="0.75" bottom="0.75" header="0.3" footer="0.3"/>
  <pageSetup scale="55" orientation="landscape" r:id="rId1"/>
  <headerFooter>
    <oddHeader>&amp;RPre-Audit</oddHeader>
    <oddFooter>&amp;L&amp;C&amp;R</oddFooter>
    <evenHeader>&amp;L&amp;C&amp;R</evenHeader>
    <evenFooter>&amp;L&amp;C&amp;R</evenFooter>
  </headerFooter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048AA4-053E-39A5-77D4-CD59AB57F931}">
  <sheetPr>
    <tabColor rgb="FF92D050"/>
    <outlinePr summaryBelow="0" summaryRight="0"/>
  </sheetPr>
  <dimension ref="A2:Z105"/>
  <sheetViews>
    <sheetView showGridLines="0" defaultGridColor="0" colorId="8" zoomScale="80" workbookViewId="0">
      <pane xSplit="3" ySplit="10" topLeftCell="D11" activePane="bottomRight" state="frozen"/>
      <selection activeCell="D78" sqref="D78"/>
      <selection pane="topRight" activeCell="D78" sqref="D78"/>
      <selection pane="bottomLeft" activeCell="D78" sqref="D78"/>
      <selection pane="bottomRight" activeCell="D78" sqref="D78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3" t="s">
        <v>276</v>
      </c>
    </row>
    <row r="3" spans="1:26" ht="15" customHeight="1" x14ac:dyDescent="0.3">
      <c r="D3" s="53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3" t="str">
        <f>CONCATENATE("Period ",RIGHT(202212,2),", ",2022)</f>
        <v>Period 12,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5"/>
      <c r="D5" s="60">
        <v>44742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5"/>
      <c r="B6" s="47"/>
      <c r="C6" s="47"/>
      <c r="D6" s="25" t="str">
        <f>CONCATENATE("Department ","444"," - ","Parkside Dining Hall")</f>
        <v>Department 444 - Parkside Dining Hall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4"/>
    </row>
    <row r="8" spans="1:26" ht="15" customHeight="1" x14ac:dyDescent="0.3">
      <c r="B8" s="54"/>
    </row>
    <row r="9" spans="1:26" ht="15" customHeight="1" x14ac:dyDescent="0.3">
      <c r="B9" s="12"/>
      <c r="C9" s="12"/>
      <c r="D9" s="16" t="s">
        <v>279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280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ht="15" customHeight="1" x14ac:dyDescent="0.3">
      <c r="A10" s="13"/>
      <c r="B10" s="52"/>
      <c r="C10" s="13"/>
      <c r="D10" s="40" t="s">
        <v>281</v>
      </c>
      <c r="E10" s="32"/>
      <c r="F10" s="39" t="s">
        <v>282</v>
      </c>
      <c r="G10" s="32"/>
      <c r="H10" s="45" t="s">
        <v>283</v>
      </c>
      <c r="I10" s="32"/>
      <c r="J10" s="42" t="s">
        <v>284</v>
      </c>
      <c r="K10" s="13"/>
      <c r="L10" s="40" t="s">
        <v>285</v>
      </c>
      <c r="M10" s="13"/>
      <c r="N10" s="39" t="s">
        <v>286</v>
      </c>
      <c r="O10" s="13"/>
      <c r="P10" s="55" t="s">
        <v>281</v>
      </c>
      <c r="Q10" s="32"/>
      <c r="R10" s="39" t="s">
        <v>282</v>
      </c>
      <c r="S10" s="32"/>
      <c r="T10" s="45" t="s">
        <v>283</v>
      </c>
      <c r="U10" s="32"/>
      <c r="V10" s="42" t="s">
        <v>284</v>
      </c>
      <c r="W10" s="13"/>
      <c r="X10" s="40" t="s">
        <v>285</v>
      </c>
      <c r="Y10" s="13"/>
      <c r="Z10" s="39" t="s">
        <v>286</v>
      </c>
    </row>
    <row r="11" spans="1:26" ht="16.5" customHeight="1" x14ac:dyDescent="0.3">
      <c r="A11" s="12"/>
      <c r="B11" s="58"/>
      <c r="C11" s="12"/>
      <c r="D11" s="12"/>
      <c r="E11" s="12"/>
      <c r="F11" s="10"/>
      <c r="G11" s="12"/>
      <c r="H11" s="12"/>
      <c r="I11" s="12"/>
      <c r="J11" s="43"/>
      <c r="K11" s="12"/>
      <c r="L11" s="12"/>
      <c r="M11" s="12"/>
      <c r="N11" s="10"/>
      <c r="P11" s="12"/>
      <c r="Q11" s="12"/>
      <c r="R11" s="10"/>
      <c r="S11" s="12"/>
      <c r="T11" s="12"/>
      <c r="U11" s="12"/>
      <c r="V11" s="43"/>
      <c r="W11" s="12"/>
      <c r="X11" s="12"/>
      <c r="Y11" s="12"/>
      <c r="Z11" s="10"/>
    </row>
    <row r="12" spans="1:26" s="63" customFormat="1" ht="15" customHeight="1" collapsed="1" x14ac:dyDescent="0.3">
      <c r="A12" s="13"/>
      <c r="B12" s="28" t="s">
        <v>287</v>
      </c>
      <c r="C12" s="13"/>
      <c r="D12" s="8">
        <f>SUM(OSRRefD13x_0)</f>
        <v>-5492.92</v>
      </c>
      <c r="E12" s="8"/>
      <c r="F12" s="14"/>
      <c r="G12" s="8"/>
      <c r="H12" s="8">
        <f>SUM(OSRRefH13x_0)</f>
        <v>0</v>
      </c>
      <c r="I12" s="8"/>
      <c r="J12" s="14"/>
      <c r="K12" s="8"/>
      <c r="L12" s="8">
        <f>+D12-H12</f>
        <v>-5492.92</v>
      </c>
      <c r="M12" s="8"/>
      <c r="N12" s="14">
        <f>IF(H12=0,0,L12/H12)</f>
        <v>0</v>
      </c>
      <c r="O12" s="13"/>
      <c r="P12" s="8">
        <f>SUM(OSRRefP13x_0)</f>
        <v>5700958.5899999999</v>
      </c>
      <c r="Q12" s="8"/>
      <c r="R12" s="14"/>
      <c r="S12" s="8"/>
      <c r="T12" s="8">
        <f>SUM(OSRRefT13x_0)</f>
        <v>4356000</v>
      </c>
      <c r="U12" s="8"/>
      <c r="V12" s="14"/>
      <c r="W12" s="8"/>
      <c r="X12" s="8">
        <f>+P12-T12</f>
        <v>1344958.5899999999</v>
      </c>
      <c r="Y12" s="8"/>
      <c r="Z12" s="14">
        <f>IF(T12=0,0,X12/T12)</f>
        <v>0.3087600068870523</v>
      </c>
    </row>
    <row r="13" spans="1:26" s="70" customFormat="1" ht="15" hidden="1" customHeight="1" outlineLevel="1" x14ac:dyDescent="0.3">
      <c r="A13" s="48"/>
      <c r="B13" s="9" t="str">
        <f>CONCATENATE("          ","4053"," - ","TAXABLE SALES-FOOD")</f>
        <v xml:space="preserve">          4053 - TAXABLE SALES-FOOD</v>
      </c>
      <c r="C13" s="9"/>
      <c r="D13" s="3">
        <f>0</f>
        <v>0</v>
      </c>
      <c r="E13" s="3"/>
      <c r="F13" s="26"/>
      <c r="G13" s="3"/>
      <c r="H13" s="3"/>
      <c r="I13" s="3"/>
      <c r="J13" s="26"/>
      <c r="K13" s="3"/>
      <c r="L13" s="3">
        <f>+D13-H13</f>
        <v>0</v>
      </c>
      <c r="M13" s="3"/>
      <c r="N13" s="26">
        <f>IF(H13=0,0,L13/H13)</f>
        <v>0</v>
      </c>
      <c r="O13" s="9"/>
      <c r="P13" s="3">
        <f>--1284.65</f>
        <v>1284.6500000000001</v>
      </c>
      <c r="Q13" s="3"/>
      <c r="R13" s="26"/>
      <c r="S13" s="3"/>
      <c r="T13" s="3"/>
      <c r="U13" s="3"/>
      <c r="V13" s="26"/>
      <c r="W13" s="3"/>
      <c r="X13" s="3">
        <f>+P13-T13</f>
        <v>1284.6500000000001</v>
      </c>
      <c r="Y13" s="3"/>
      <c r="Z13" s="26">
        <f>IF(T13=0,0,X13/T13)</f>
        <v>0</v>
      </c>
    </row>
    <row r="14" spans="1:26" s="70" customFormat="1" ht="15" hidden="1" customHeight="1" outlineLevel="1" x14ac:dyDescent="0.3">
      <c r="A14" s="48"/>
      <c r="B14" s="9" t="str">
        <f>CONCATENATE("          ","4100"," - ","NON-TAXABLE SALES")</f>
        <v xml:space="preserve">          4100 - NON-TAXABLE SALES</v>
      </c>
      <c r="C14" s="9"/>
      <c r="D14" s="3">
        <f>0</f>
        <v>0</v>
      </c>
      <c r="E14" s="3"/>
      <c r="F14" s="26"/>
      <c r="G14" s="3"/>
      <c r="H14" s="3"/>
      <c r="I14" s="3"/>
      <c r="J14" s="26"/>
      <c r="K14" s="3"/>
      <c r="L14" s="3">
        <f>+D14-H14</f>
        <v>0</v>
      </c>
      <c r="M14" s="3"/>
      <c r="N14" s="26">
        <f>IF(H14=0,0,L14/H14)</f>
        <v>0</v>
      </c>
      <c r="O14" s="9"/>
      <c r="P14" s="3">
        <f>0</f>
        <v>0</v>
      </c>
      <c r="Q14" s="3"/>
      <c r="R14" s="26"/>
      <c r="S14" s="3"/>
      <c r="T14" s="3">
        <v>4356000</v>
      </c>
      <c r="U14" s="3"/>
      <c r="V14" s="26"/>
      <c r="W14" s="3"/>
      <c r="X14" s="3">
        <f>+P14-T14</f>
        <v>-4356000</v>
      </c>
      <c r="Y14" s="3"/>
      <c r="Z14" s="26">
        <f>IF(T14=0,0,X14/T14)</f>
        <v>-1</v>
      </c>
    </row>
    <row r="15" spans="1:26" s="70" customFormat="1" ht="15" hidden="1" customHeight="1" outlineLevel="1" x14ac:dyDescent="0.3">
      <c r="A15" s="48"/>
      <c r="B15" s="9" t="str">
        <f>CONCATENATE("          ","4151"," - ","NON-TAXABLE SALES-FOOD")</f>
        <v xml:space="preserve">          4151 - NON-TAXABLE SALES-FOOD</v>
      </c>
      <c r="C15" s="9"/>
      <c r="D15" s="3">
        <f>-4584.58</f>
        <v>-4584.58</v>
      </c>
      <c r="E15" s="3"/>
      <c r="F15" s="26"/>
      <c r="G15" s="3"/>
      <c r="H15" s="3"/>
      <c r="I15" s="3"/>
      <c r="J15" s="26"/>
      <c r="K15" s="3"/>
      <c r="L15" s="3">
        <f>+D15-H15</f>
        <v>-4584.58</v>
      </c>
      <c r="M15" s="3"/>
      <c r="N15" s="26">
        <f>IF(H15=0,0,L15/H15)</f>
        <v>0</v>
      </c>
      <c r="O15" s="9"/>
      <c r="P15" s="3">
        <f>--5671873.39</f>
        <v>5671873.3899999997</v>
      </c>
      <c r="Q15" s="3"/>
      <c r="R15" s="26"/>
      <c r="S15" s="3"/>
      <c r="T15" s="3"/>
      <c r="U15" s="3"/>
      <c r="V15" s="26"/>
      <c r="W15" s="3"/>
      <c r="X15" s="3">
        <f>+P15-T15</f>
        <v>5671873.3899999997</v>
      </c>
      <c r="Y15" s="3"/>
      <c r="Z15" s="26">
        <f>IF(T15=0,0,X15/T15)</f>
        <v>0</v>
      </c>
    </row>
    <row r="16" spans="1:26" s="70" customFormat="1" ht="15" hidden="1" customHeight="1" outlineLevel="1" x14ac:dyDescent="0.3">
      <c r="A16" s="48"/>
      <c r="B16" s="9" t="str">
        <f>CONCATENATE("          ","4153"," - ","NON-TAXABLE SALES-FOOD")</f>
        <v xml:space="preserve">          4153 - NON-TAXABLE SALES-FOOD</v>
      </c>
      <c r="C16" s="9"/>
      <c r="D16" s="3">
        <f>-908.34</f>
        <v>-908.34</v>
      </c>
      <c r="E16" s="3"/>
      <c r="F16" s="26"/>
      <c r="G16" s="3"/>
      <c r="H16" s="3"/>
      <c r="I16" s="3"/>
      <c r="J16" s="26"/>
      <c r="K16" s="3"/>
      <c r="L16" s="3">
        <f>+D16-H16</f>
        <v>-908.34</v>
      </c>
      <c r="M16" s="3"/>
      <c r="N16" s="26">
        <f>IF(H16=0,0,L16/H16)</f>
        <v>0</v>
      </c>
      <c r="O16" s="9"/>
      <c r="P16" s="3">
        <f>--27800.55</f>
        <v>27800.55</v>
      </c>
      <c r="Q16" s="3"/>
      <c r="R16" s="26"/>
      <c r="S16" s="3"/>
      <c r="T16" s="3"/>
      <c r="U16" s="3"/>
      <c r="V16" s="26"/>
      <c r="W16" s="3"/>
      <c r="X16" s="3">
        <f>+P16-T16</f>
        <v>27800.55</v>
      </c>
      <c r="Y16" s="3"/>
      <c r="Z16" s="26">
        <f>IF(T16=0,0,X16/T16)</f>
        <v>0</v>
      </c>
    </row>
    <row r="17" spans="1:26" ht="15" customHeight="1" x14ac:dyDescent="0.3">
      <c r="A17" s="12"/>
      <c r="B17" s="13"/>
      <c r="C17" s="12"/>
      <c r="D17" s="4"/>
      <c r="E17" s="4"/>
      <c r="F17" s="10"/>
      <c r="G17" s="4"/>
      <c r="H17" s="4"/>
      <c r="I17" s="4"/>
      <c r="J17" s="10"/>
      <c r="K17" s="4"/>
      <c r="L17" s="4"/>
      <c r="M17" s="4"/>
      <c r="N17" s="10"/>
      <c r="P17" s="4"/>
      <c r="Q17" s="4"/>
      <c r="R17" s="10"/>
      <c r="S17" s="4"/>
      <c r="T17" s="4"/>
      <c r="U17" s="4"/>
      <c r="V17" s="10"/>
      <c r="W17" s="4"/>
      <c r="X17" s="4"/>
      <c r="Y17" s="4"/>
      <c r="Z17" s="10"/>
    </row>
    <row r="18" spans="1:26" s="63" customFormat="1" ht="15" customHeight="1" collapsed="1" x14ac:dyDescent="0.3">
      <c r="A18" s="13"/>
      <c r="B18" s="28" t="s">
        <v>288</v>
      </c>
      <c r="C18" s="13"/>
      <c r="D18" s="8">
        <f>SUM(OSRRefD16x_0)</f>
        <v>2412.15</v>
      </c>
      <c r="E18" s="8"/>
      <c r="F18" s="14">
        <f>IF(D$12=0,0,D18/D$12)</f>
        <v>-0.43913801766637783</v>
      </c>
      <c r="G18" s="8"/>
      <c r="H18" s="8">
        <f>SUM(OSRRefH16x_0)</f>
        <v>0</v>
      </c>
      <c r="I18" s="8"/>
      <c r="J18" s="14">
        <f>IF(H$12=0,0,H18/H$12)</f>
        <v>0</v>
      </c>
      <c r="K18" s="8"/>
      <c r="L18" s="8">
        <f>+D18-H18</f>
        <v>2412.15</v>
      </c>
      <c r="M18" s="8"/>
      <c r="N18" s="14">
        <f>IF(H18=0,0,L18/H18)</f>
        <v>0</v>
      </c>
      <c r="O18" s="13"/>
      <c r="P18" s="8">
        <f>SUM(OSRRefP16x_0)</f>
        <v>1313849.27</v>
      </c>
      <c r="Q18" s="8"/>
      <c r="R18" s="14">
        <f>IF(P$12=0,0,P18/P$12)</f>
        <v>0.23046111443514275</v>
      </c>
      <c r="S18" s="8"/>
      <c r="T18" s="8">
        <f>SUM(OSRRefT16x_0)</f>
        <v>1220868</v>
      </c>
      <c r="U18" s="8"/>
      <c r="V18" s="14">
        <f>IF(T$12=0,0,T18/T$12)</f>
        <v>0.28027272727272728</v>
      </c>
      <c r="W18" s="8"/>
      <c r="X18" s="8">
        <f>+P18-T18</f>
        <v>92981.270000000019</v>
      </c>
      <c r="Y18" s="8"/>
      <c r="Z18" s="14">
        <f>IF(T18=0,0,X18/T18)</f>
        <v>7.6159969791984083E-2</v>
      </c>
    </row>
    <row r="19" spans="1:26" s="70" customFormat="1" ht="15" hidden="1" customHeight="1" outlineLevel="1" x14ac:dyDescent="0.3">
      <c r="A19" s="48"/>
      <c r="B19" s="9" t="str">
        <f>CONCATENATE("          ","5000"," - ","PURCHASES @ COST")</f>
        <v xml:space="preserve">          5000 - PURCHASES @ COST</v>
      </c>
      <c r="C19" s="9"/>
      <c r="D19" s="3"/>
      <c r="E19" s="3"/>
      <c r="F19" s="26">
        <f>IF(D$12=0,0,D19/D$12)</f>
        <v>0</v>
      </c>
      <c r="G19" s="3"/>
      <c r="H19" s="3"/>
      <c r="I19" s="3"/>
      <c r="J19" s="26">
        <f>IF(H$12=0,0,H19/H$12)</f>
        <v>0</v>
      </c>
      <c r="K19" s="3"/>
      <c r="L19" s="3">
        <f>+D19-H19</f>
        <v>0</v>
      </c>
      <c r="M19" s="3"/>
      <c r="N19" s="26">
        <f>IF(H19=0,0,L19/H19)</f>
        <v>0</v>
      </c>
      <c r="O19" s="9"/>
      <c r="P19" s="3"/>
      <c r="Q19" s="3"/>
      <c r="R19" s="26">
        <f>IF(P$12=0,0,P19/P$12)</f>
        <v>0</v>
      </c>
      <c r="S19" s="3"/>
      <c r="T19" s="3">
        <v>1220868</v>
      </c>
      <c r="U19" s="3"/>
      <c r="V19" s="26">
        <f>IF(T$12=0,0,T19/T$12)</f>
        <v>0.28027272727272728</v>
      </c>
      <c r="W19" s="3"/>
      <c r="X19" s="3">
        <f>+P19-T19</f>
        <v>-1220868</v>
      </c>
      <c r="Y19" s="3"/>
      <c r="Z19" s="26">
        <f>IF(T19=0,0,X19/T19)</f>
        <v>-1</v>
      </c>
    </row>
    <row r="20" spans="1:26" s="70" customFormat="1" ht="15" hidden="1" customHeight="1" outlineLevel="1" x14ac:dyDescent="0.3">
      <c r="A20" s="48"/>
      <c r="B20" s="9" t="str">
        <f>CONCATENATE("          ","5053"," - ","PURCHASES @ COST-FOOD")</f>
        <v xml:space="preserve">          5053 - PURCHASES @ COST-FOOD</v>
      </c>
      <c r="C20" s="9"/>
      <c r="D20" s="3">
        <v>2412.15</v>
      </c>
      <c r="E20" s="3"/>
      <c r="F20" s="26">
        <f>IF(D$12=0,0,D20/D$12)</f>
        <v>-0.43913801766637783</v>
      </c>
      <c r="G20" s="3"/>
      <c r="H20" s="3"/>
      <c r="I20" s="3"/>
      <c r="J20" s="26">
        <f>IF(H$12=0,0,H20/H$12)</f>
        <v>0</v>
      </c>
      <c r="K20" s="3"/>
      <c r="L20" s="3">
        <f>+D20-H20</f>
        <v>2412.15</v>
      </c>
      <c r="M20" s="3"/>
      <c r="N20" s="26">
        <f>IF(H20=0,0,L20/H20)</f>
        <v>0</v>
      </c>
      <c r="O20" s="9"/>
      <c r="P20" s="3">
        <v>1303417.27</v>
      </c>
      <c r="Q20" s="3"/>
      <c r="R20" s="26">
        <f>IF(P$12=0,0,P20/P$12)</f>
        <v>0.2286312467321395</v>
      </c>
      <c r="S20" s="3"/>
      <c r="T20" s="3"/>
      <c r="U20" s="3"/>
      <c r="V20" s="26">
        <f>IF(T$12=0,0,T20/T$12)</f>
        <v>0</v>
      </c>
      <c r="W20" s="3"/>
      <c r="X20" s="3">
        <f>+P20-T20</f>
        <v>1303417.27</v>
      </c>
      <c r="Y20" s="3"/>
      <c r="Z20" s="26">
        <f>IF(T20=0,0,X20/T20)</f>
        <v>0</v>
      </c>
    </row>
    <row r="21" spans="1:26" s="70" customFormat="1" ht="15" hidden="1" customHeight="1" outlineLevel="1" x14ac:dyDescent="0.3">
      <c r="A21" s="48"/>
      <c r="B21" s="9" t="str">
        <f>CONCATENATE("          ","5059"," - ","PURCHASES @ COST-FOOD")</f>
        <v xml:space="preserve">          5059 - PURCHASES @ COST-FOOD</v>
      </c>
      <c r="C21" s="9"/>
      <c r="D21" s="3"/>
      <c r="E21" s="3"/>
      <c r="F21" s="26">
        <f>IF(D$12=0,0,D21/D$12)</f>
        <v>0</v>
      </c>
      <c r="G21" s="3"/>
      <c r="H21" s="3"/>
      <c r="I21" s="3"/>
      <c r="J21" s="26">
        <f>IF(H$12=0,0,H21/H$12)</f>
        <v>0</v>
      </c>
      <c r="K21" s="3"/>
      <c r="L21" s="3">
        <f>+D21-H21</f>
        <v>0</v>
      </c>
      <c r="M21" s="3"/>
      <c r="N21" s="26">
        <f>IF(H21=0,0,L21/H21)</f>
        <v>0</v>
      </c>
      <c r="O21" s="9"/>
      <c r="P21" s="3">
        <v>10432</v>
      </c>
      <c r="Q21" s="3"/>
      <c r="R21" s="26">
        <f>IF(P$12=0,0,P21/P$12)</f>
        <v>1.8298677030032593E-3</v>
      </c>
      <c r="S21" s="3"/>
      <c r="T21" s="3"/>
      <c r="U21" s="3"/>
      <c r="V21" s="26">
        <f>IF(T$12=0,0,T21/T$12)</f>
        <v>0</v>
      </c>
      <c r="W21" s="3"/>
      <c r="X21" s="3">
        <f>+P21-T21</f>
        <v>10432</v>
      </c>
      <c r="Y21" s="3"/>
      <c r="Z21" s="26">
        <f>IF(T21=0,0,X21/T21)</f>
        <v>0</v>
      </c>
    </row>
    <row r="22" spans="1:26" ht="15" customHeight="1" x14ac:dyDescent="0.3">
      <c r="A22" s="12"/>
      <c r="B22" s="13"/>
      <c r="C22" s="13"/>
      <c r="D22" s="4"/>
      <c r="E22" s="4"/>
      <c r="F22" s="10"/>
      <c r="G22" s="4"/>
      <c r="H22" s="4"/>
      <c r="I22" s="4"/>
      <c r="J22" s="10"/>
      <c r="K22" s="4"/>
      <c r="L22" s="4"/>
      <c r="M22" s="4"/>
      <c r="N22" s="10"/>
      <c r="O22" s="13"/>
      <c r="P22" s="4"/>
      <c r="Q22" s="4"/>
      <c r="R22" s="10"/>
      <c r="S22" s="4"/>
      <c r="T22" s="4"/>
      <c r="U22" s="4"/>
      <c r="V22" s="10"/>
      <c r="W22" s="4"/>
      <c r="X22" s="4"/>
      <c r="Y22" s="4"/>
      <c r="Z22" s="10"/>
    </row>
    <row r="23" spans="1:26" s="63" customFormat="1" ht="15" customHeight="1" x14ac:dyDescent="0.3">
      <c r="A23" s="13"/>
      <c r="B23" s="27" t="s">
        <v>289</v>
      </c>
      <c r="C23" s="27"/>
      <c r="D23" s="23">
        <f>D12-D18</f>
        <v>-7905.07</v>
      </c>
      <c r="E23" s="15"/>
      <c r="F23" s="22">
        <f>IF(D$12=0,0,D23/D$12)</f>
        <v>1.4391380176663777</v>
      </c>
      <c r="G23" s="15"/>
      <c r="H23" s="23">
        <f>H12-H18</f>
        <v>0</v>
      </c>
      <c r="I23" s="15"/>
      <c r="J23" s="22">
        <f>IF(H$12=0,0,H23/H$12)</f>
        <v>0</v>
      </c>
      <c r="K23" s="17"/>
      <c r="L23" s="23">
        <f>+D23-H23</f>
        <v>-7905.07</v>
      </c>
      <c r="M23" s="17"/>
      <c r="N23" s="22">
        <f>IF(H23=0,0,L23/H23)</f>
        <v>0</v>
      </c>
      <c r="O23" s="28"/>
      <c r="P23" s="23">
        <f>P12-P18</f>
        <v>4387109.32</v>
      </c>
      <c r="Q23" s="15"/>
      <c r="R23" s="22">
        <f>IF(P$12=0,0,P23/P$12)</f>
        <v>0.76953888556485728</v>
      </c>
      <c r="S23" s="15"/>
      <c r="T23" s="23">
        <f>T12-T18</f>
        <v>3135132</v>
      </c>
      <c r="U23" s="15"/>
      <c r="V23" s="22">
        <f>IF(T$12=0,0,T23/T$12)</f>
        <v>0.71972727272727277</v>
      </c>
      <c r="W23" s="17"/>
      <c r="X23" s="23">
        <f>+P23-T23</f>
        <v>1251977.3200000003</v>
      </c>
      <c r="Y23" s="17"/>
      <c r="Z23" s="22">
        <f>IF(T23=0,0,X23/T23)</f>
        <v>0.39933799278626875</v>
      </c>
    </row>
    <row r="24" spans="1:26" ht="15" customHeight="1" x14ac:dyDescent="0.3">
      <c r="A24" s="12"/>
      <c r="B24" s="13"/>
      <c r="C24" s="12"/>
      <c r="D24" s="2"/>
      <c r="E24" s="2"/>
      <c r="F24" s="5"/>
      <c r="G24" s="2"/>
      <c r="H24" s="2"/>
      <c r="I24" s="2"/>
      <c r="J24" s="5"/>
      <c r="K24" s="2"/>
      <c r="L24" s="2"/>
      <c r="M24" s="2"/>
      <c r="N24" s="5"/>
      <c r="O24" s="36"/>
      <c r="P24" s="2"/>
      <c r="Q24" s="2"/>
      <c r="R24" s="5"/>
      <c r="S24" s="2"/>
      <c r="T24" s="2"/>
      <c r="U24" s="2"/>
      <c r="V24" s="5"/>
      <c r="W24" s="2"/>
      <c r="X24" s="2"/>
      <c r="Y24" s="2"/>
      <c r="Z24" s="5"/>
    </row>
    <row r="25" spans="1:26" s="63" customFormat="1" ht="15" customHeight="1" x14ac:dyDescent="0.3">
      <c r="A25" s="13"/>
      <c r="B25" s="28" t="s">
        <v>290</v>
      </c>
      <c r="C25" s="13"/>
      <c r="D25" s="24" cm="1">
        <f t="array" ref="D25">SUM(OSRRefD22x_0)</f>
        <v>45659.18</v>
      </c>
      <c r="E25" s="24"/>
      <c r="F25" s="34">
        <f t="shared" ref="F25:F56" si="0">IF(D$12=0,0,D25/D$12)</f>
        <v>-8.3123693773075154</v>
      </c>
      <c r="G25" s="24"/>
      <c r="H25" s="24" cm="1">
        <f t="array" ref="H25">SUM(OSRRefH22x_0)</f>
        <v>103302.49969121994</v>
      </c>
      <c r="I25" s="24"/>
      <c r="J25" s="34">
        <f t="shared" ref="J25:J56" si="1">IF(H$12=0,0,H25/H$12)</f>
        <v>0</v>
      </c>
      <c r="K25" s="8"/>
      <c r="L25" s="24">
        <f t="shared" ref="L25:L56" si="2">+D25-H25</f>
        <v>-57643.319691219942</v>
      </c>
      <c r="M25" s="8"/>
      <c r="N25" s="34">
        <f t="shared" ref="N25:N56" si="3">IF(H25=0,0,L25/H25)</f>
        <v>-0.55800508084045186</v>
      </c>
      <c r="O25" s="13"/>
      <c r="P25" s="24" cm="1">
        <f t="array" ref="P25">SUM(OSRRefP22x_0)</f>
        <v>2110969.0199999996</v>
      </c>
      <c r="Q25" s="24"/>
      <c r="R25" s="34">
        <f t="shared" ref="R25:R56" si="4">IF(P$12=0,0,P25/P$12)</f>
        <v>0.37028317022032597</v>
      </c>
      <c r="S25" s="24"/>
      <c r="T25" s="24" cm="1">
        <f t="array" ref="T25">SUM(OSRRefT22x_0)</f>
        <v>2418278.4799858602</v>
      </c>
      <c r="U25" s="24"/>
      <c r="V25" s="34">
        <f t="shared" ref="V25:V56" si="5">IF(T$12=0,0,T25/T$12)</f>
        <v>0.55516034894073929</v>
      </c>
      <c r="W25" s="8"/>
      <c r="X25" s="24">
        <f t="shared" ref="X25:X56" si="6">+P25-T25</f>
        <v>-307309.45998586062</v>
      </c>
      <c r="Y25" s="8"/>
      <c r="Z25" s="34">
        <f t="shared" ref="Z25:Z56" si="7">IF(T25=0,0,X25/T25)</f>
        <v>-0.12707777972190262</v>
      </c>
    </row>
    <row r="26" spans="1:26" s="69" customFormat="1" ht="15" customHeight="1" outlineLevel="1" collapsed="1" x14ac:dyDescent="0.3">
      <c r="A26" s="20"/>
      <c r="B26" s="11" t="str">
        <f>CONCATENATE("     ","*Benefits                                         ")</f>
        <v xml:space="preserve">     *Benefits                                         </v>
      </c>
      <c r="C26" s="11"/>
      <c r="D26" s="2">
        <f>SUM(OSRRefD22_0x_0)</f>
        <v>5745.5300000000016</v>
      </c>
      <c r="E26" s="2"/>
      <c r="F26" s="5">
        <f t="shared" si="0"/>
        <v>-1.0459882903810727</v>
      </c>
      <c r="G26" s="2"/>
      <c r="H26" s="2">
        <f>SUM(OSRRefH22_0x_0)</f>
        <v>34339.384660450742</v>
      </c>
      <c r="I26" s="2"/>
      <c r="J26" s="5">
        <f t="shared" si="1"/>
        <v>0</v>
      </c>
      <c r="K26" s="2"/>
      <c r="L26" s="2">
        <f t="shared" si="2"/>
        <v>-28593.854660450739</v>
      </c>
      <c r="M26" s="2"/>
      <c r="N26" s="5">
        <f t="shared" si="3"/>
        <v>-0.83268395584801413</v>
      </c>
      <c r="O26" s="11"/>
      <c r="P26" s="2">
        <f>SUM(OSRRefP22_0x_0)</f>
        <v>338129.38999999996</v>
      </c>
      <c r="Q26" s="2"/>
      <c r="R26" s="5">
        <f t="shared" si="4"/>
        <v>5.9310971069516216E-2</v>
      </c>
      <c r="S26" s="2"/>
      <c r="T26" s="2">
        <f>SUM(OSRRefT22_0x_0)</f>
        <v>488789.44558586</v>
      </c>
      <c r="U26" s="2"/>
      <c r="V26" s="5">
        <f t="shared" si="5"/>
        <v>0.11221061652567953</v>
      </c>
      <c r="W26" s="2"/>
      <c r="X26" s="2">
        <f t="shared" si="6"/>
        <v>-150660.05558586004</v>
      </c>
      <c r="Y26" s="2"/>
      <c r="Z26" s="5">
        <f t="shared" si="7"/>
        <v>-0.30823099178272934</v>
      </c>
    </row>
    <row r="27" spans="1:26" s="70" customFormat="1" ht="15" hidden="1" customHeight="1" outlineLevel="2" x14ac:dyDescent="0.3">
      <c r="A27" s="21"/>
      <c r="B27" s="9" t="str">
        <f>CONCATENATE("          ","6111"," - ","F.I.C.A.")</f>
        <v xml:space="preserve">          6111 - F.I.C.A.</v>
      </c>
      <c r="C27" s="9"/>
      <c r="D27" s="6">
        <v>3047.73</v>
      </c>
      <c r="E27" s="3"/>
      <c r="F27" s="7">
        <f t="shared" si="0"/>
        <v>-0.55484696664069388</v>
      </c>
      <c r="G27" s="3"/>
      <c r="H27" s="6">
        <v>3512.8786589123101</v>
      </c>
      <c r="I27" s="3"/>
      <c r="J27" s="7">
        <f t="shared" si="1"/>
        <v>0</v>
      </c>
      <c r="K27" s="3"/>
      <c r="L27" s="6">
        <f t="shared" si="2"/>
        <v>-465.14865891231011</v>
      </c>
      <c r="M27" s="3"/>
      <c r="N27" s="7">
        <f t="shared" si="3"/>
        <v>-0.13241238997316626</v>
      </c>
      <c r="O27" s="9"/>
      <c r="P27" s="6">
        <v>54462.28</v>
      </c>
      <c r="Q27" s="3"/>
      <c r="R27" s="7">
        <f t="shared" si="4"/>
        <v>9.5531793715414454E-3</v>
      </c>
      <c r="S27" s="3"/>
      <c r="T27" s="6">
        <v>48055.158565860002</v>
      </c>
      <c r="U27" s="3"/>
      <c r="V27" s="7">
        <f t="shared" si="5"/>
        <v>1.1031946410895317E-2</v>
      </c>
      <c r="W27" s="3"/>
      <c r="X27" s="6">
        <f t="shared" si="6"/>
        <v>6407.1214341399973</v>
      </c>
      <c r="Y27" s="3"/>
      <c r="Z27" s="7">
        <f t="shared" si="7"/>
        <v>0.13332848387876992</v>
      </c>
    </row>
    <row r="28" spans="1:26" s="70" customFormat="1" ht="15" hidden="1" customHeight="1" outlineLevel="2" x14ac:dyDescent="0.3">
      <c r="A28" s="21"/>
      <c r="B28" s="9" t="str">
        <f>CONCATENATE("          ","6112"," - ","COMPENSATION INSURANCE")</f>
        <v xml:space="preserve">          6112 - COMPENSATION INSURANCE</v>
      </c>
      <c r="C28" s="9"/>
      <c r="D28" s="6">
        <v>-18235.689999999999</v>
      </c>
      <c r="E28" s="3"/>
      <c r="F28" s="7">
        <f t="shared" si="0"/>
        <v>3.319853556942391</v>
      </c>
      <c r="G28" s="3"/>
      <c r="H28" s="6">
        <v>1912.2438061384601</v>
      </c>
      <c r="I28" s="3"/>
      <c r="J28" s="7">
        <f t="shared" si="1"/>
        <v>0</v>
      </c>
      <c r="K28" s="3"/>
      <c r="L28" s="6">
        <f t="shared" si="2"/>
        <v>-20147.933806138459</v>
      </c>
      <c r="M28" s="3"/>
      <c r="N28" s="7">
        <f t="shared" si="3"/>
        <v>-10.536278763964058</v>
      </c>
      <c r="O28" s="9"/>
      <c r="P28" s="6">
        <v>17283.669999999998</v>
      </c>
      <c r="Q28" s="3"/>
      <c r="R28" s="7">
        <f t="shared" si="4"/>
        <v>3.0317129526808225E-3</v>
      </c>
      <c r="S28" s="3"/>
      <c r="T28" s="6">
        <v>49920.116209799999</v>
      </c>
      <c r="U28" s="3"/>
      <c r="V28" s="7">
        <f t="shared" si="5"/>
        <v>1.1460081774517907E-2</v>
      </c>
      <c r="W28" s="3"/>
      <c r="X28" s="6">
        <f t="shared" si="6"/>
        <v>-32636.4462098</v>
      </c>
      <c r="Y28" s="3"/>
      <c r="Z28" s="7">
        <f t="shared" si="7"/>
        <v>-0.65377344220591016</v>
      </c>
    </row>
    <row r="29" spans="1:26" s="70" customFormat="1" ht="15" hidden="1" customHeight="1" outlineLevel="2" x14ac:dyDescent="0.3">
      <c r="A29" s="21"/>
      <c r="B29" s="9" t="str">
        <f>CONCATENATE("          ","6113"," - ","GROUP INSURANCE")</f>
        <v xml:space="preserve">          6113 - GROUP INSURANCE</v>
      </c>
      <c r="C29" s="9"/>
      <c r="D29" s="6">
        <v>14203.11</v>
      </c>
      <c r="E29" s="3"/>
      <c r="F29" s="7">
        <f t="shared" si="0"/>
        <v>-2.5857121530988985</v>
      </c>
      <c r="G29" s="3"/>
      <c r="H29" s="6">
        <v>21172.769230769201</v>
      </c>
      <c r="I29" s="3"/>
      <c r="J29" s="7">
        <f t="shared" si="1"/>
        <v>0</v>
      </c>
      <c r="K29" s="3"/>
      <c r="L29" s="6">
        <f t="shared" si="2"/>
        <v>-6969.6592307692008</v>
      </c>
      <c r="M29" s="3"/>
      <c r="N29" s="7">
        <f t="shared" si="3"/>
        <v>-0.32918033322918311</v>
      </c>
      <c r="O29" s="9"/>
      <c r="P29" s="6">
        <v>172531.18</v>
      </c>
      <c r="Q29" s="3"/>
      <c r="R29" s="7">
        <f t="shared" si="4"/>
        <v>3.0263538539402019E-2</v>
      </c>
      <c r="S29" s="3"/>
      <c r="T29" s="6">
        <v>271224</v>
      </c>
      <c r="U29" s="3"/>
      <c r="V29" s="7">
        <f t="shared" si="5"/>
        <v>6.2264462809917355E-2</v>
      </c>
      <c r="W29" s="3"/>
      <c r="X29" s="6">
        <f t="shared" si="6"/>
        <v>-98692.82</v>
      </c>
      <c r="Y29" s="3"/>
      <c r="Z29" s="7">
        <f t="shared" si="7"/>
        <v>-0.36387937645636081</v>
      </c>
    </row>
    <row r="30" spans="1:26" s="70" customFormat="1" ht="15" hidden="1" customHeight="1" outlineLevel="2" x14ac:dyDescent="0.3">
      <c r="A30" s="21"/>
      <c r="B30" s="9" t="str">
        <f>CONCATENATE("          ","6114"," - ","STATE UNEMPLOYMENT INSURANCE")</f>
        <v xml:space="preserve">          6114 - STATE UNEMPLOYMENT INSURANCE</v>
      </c>
      <c r="C30" s="9"/>
      <c r="D30" s="6"/>
      <c r="E30" s="3"/>
      <c r="F30" s="7">
        <f t="shared" si="0"/>
        <v>0</v>
      </c>
      <c r="G30" s="3"/>
      <c r="H30" s="6">
        <v>105.95546155384601</v>
      </c>
      <c r="I30" s="3"/>
      <c r="J30" s="7">
        <f t="shared" si="1"/>
        <v>0</v>
      </c>
      <c r="K30" s="3"/>
      <c r="L30" s="6">
        <f t="shared" si="2"/>
        <v>-105.95546155384601</v>
      </c>
      <c r="M30" s="3"/>
      <c r="N30" s="7">
        <f t="shared" si="3"/>
        <v>-1</v>
      </c>
      <c r="O30" s="9"/>
      <c r="P30" s="6">
        <v>2565.27</v>
      </c>
      <c r="Q30" s="3"/>
      <c r="R30" s="7">
        <f t="shared" si="4"/>
        <v>4.4997169502331014E-4</v>
      </c>
      <c r="S30" s="3"/>
      <c r="T30" s="6">
        <v>2766.0222702000001</v>
      </c>
      <c r="U30" s="3"/>
      <c r="V30" s="7">
        <f t="shared" si="5"/>
        <v>6.3499133842975211E-4</v>
      </c>
      <c r="W30" s="3"/>
      <c r="X30" s="6">
        <f t="shared" si="6"/>
        <v>-200.75227020000011</v>
      </c>
      <c r="Y30" s="3"/>
      <c r="Z30" s="7">
        <f t="shared" si="7"/>
        <v>-7.2577965970420225E-2</v>
      </c>
    </row>
    <row r="31" spans="1:26" s="70" customFormat="1" ht="15" hidden="1" customHeight="1" outlineLevel="2" x14ac:dyDescent="0.3">
      <c r="A31" s="21"/>
      <c r="B31" s="9" t="str">
        <f>CONCATENATE("          ","6115"," - ","P.E.R.S.")</f>
        <v xml:space="preserve">          6115 - P.E.R.S.</v>
      </c>
      <c r="C31" s="9"/>
      <c r="D31" s="6">
        <v>1067.81</v>
      </c>
      <c r="E31" s="3"/>
      <c r="F31" s="7">
        <f t="shared" si="0"/>
        <v>-0.19439751534702854</v>
      </c>
      <c r="G31" s="3"/>
      <c r="H31" s="6">
        <v>1406.6708415384601</v>
      </c>
      <c r="I31" s="3"/>
      <c r="J31" s="7">
        <f t="shared" si="1"/>
        <v>0</v>
      </c>
      <c r="K31" s="3"/>
      <c r="L31" s="6">
        <f t="shared" si="2"/>
        <v>-338.86084153846014</v>
      </c>
      <c r="M31" s="3"/>
      <c r="N31" s="7">
        <f t="shared" si="3"/>
        <v>-0.24089561788872502</v>
      </c>
      <c r="O31" s="9"/>
      <c r="P31" s="6">
        <v>16657.169999999998</v>
      </c>
      <c r="Q31" s="3"/>
      <c r="R31" s="7">
        <f t="shared" si="4"/>
        <v>2.9218191532241946E-3</v>
      </c>
      <c r="S31" s="3"/>
      <c r="T31" s="6">
        <v>18286.720939999999</v>
      </c>
      <c r="U31" s="3"/>
      <c r="V31" s="7">
        <f t="shared" si="5"/>
        <v>4.1980534756657483E-3</v>
      </c>
      <c r="W31" s="3"/>
      <c r="X31" s="6">
        <f t="shared" si="6"/>
        <v>-1629.550940000001</v>
      </c>
      <c r="Y31" s="3"/>
      <c r="Z31" s="7">
        <f t="shared" si="7"/>
        <v>-8.9111161336505915E-2</v>
      </c>
    </row>
    <row r="32" spans="1:26" s="70" customFormat="1" ht="15" hidden="1" customHeight="1" outlineLevel="2" x14ac:dyDescent="0.3">
      <c r="A32" s="21"/>
      <c r="B32" s="9" t="str">
        <f>CONCATENATE("          ","6116"," - ","EDUCATIONAL BENEFITS")</f>
        <v xml:space="preserve">          6116 - EDUCATIONAL BENEFITS</v>
      </c>
      <c r="C32" s="9"/>
      <c r="D32" s="6"/>
      <c r="E32" s="3"/>
      <c r="F32" s="7">
        <f t="shared" si="0"/>
        <v>0</v>
      </c>
      <c r="G32" s="3"/>
      <c r="H32" s="6">
        <v>0</v>
      </c>
      <c r="I32" s="3"/>
      <c r="J32" s="7">
        <f t="shared" si="1"/>
        <v>0</v>
      </c>
      <c r="K32" s="3"/>
      <c r="L32" s="6">
        <f t="shared" si="2"/>
        <v>0</v>
      </c>
      <c r="M32" s="3"/>
      <c r="N32" s="7">
        <f t="shared" si="3"/>
        <v>0</v>
      </c>
      <c r="O32" s="9"/>
      <c r="P32" s="6"/>
      <c r="Q32" s="3"/>
      <c r="R32" s="7">
        <f t="shared" si="4"/>
        <v>0</v>
      </c>
      <c r="S32" s="3"/>
      <c r="T32" s="6">
        <v>0</v>
      </c>
      <c r="U32" s="3"/>
      <c r="V32" s="7">
        <f t="shared" si="5"/>
        <v>0</v>
      </c>
      <c r="W32" s="3"/>
      <c r="X32" s="6">
        <f t="shared" si="6"/>
        <v>0</v>
      </c>
      <c r="Y32" s="3"/>
      <c r="Z32" s="7">
        <f t="shared" si="7"/>
        <v>0</v>
      </c>
    </row>
    <row r="33" spans="1:26" s="70" customFormat="1" ht="15" hidden="1" customHeight="1" outlineLevel="2" x14ac:dyDescent="0.3">
      <c r="A33" s="21"/>
      <c r="B33" s="9" t="str">
        <f>CONCATENATE("          ","6117"," - ","RETIREMENT STAFF HOURLY")</f>
        <v xml:space="preserve">          6117 - RETIREMENT STAFF HOURLY</v>
      </c>
      <c r="C33" s="9"/>
      <c r="D33" s="6">
        <v>444.77</v>
      </c>
      <c r="E33" s="3"/>
      <c r="F33" s="7">
        <f t="shared" si="0"/>
        <v>-8.0971505137522479E-2</v>
      </c>
      <c r="G33" s="3"/>
      <c r="H33" s="6"/>
      <c r="I33" s="3"/>
      <c r="J33" s="7">
        <f t="shared" si="1"/>
        <v>0</v>
      </c>
      <c r="K33" s="3"/>
      <c r="L33" s="6">
        <f t="shared" si="2"/>
        <v>444.77</v>
      </c>
      <c r="M33" s="3"/>
      <c r="N33" s="7">
        <f t="shared" si="3"/>
        <v>0</v>
      </c>
      <c r="O33" s="9"/>
      <c r="P33" s="6">
        <v>6156.97</v>
      </c>
      <c r="Q33" s="3"/>
      <c r="R33" s="7">
        <f t="shared" si="4"/>
        <v>1.079988549785274E-3</v>
      </c>
      <c r="S33" s="3"/>
      <c r="T33" s="6"/>
      <c r="U33" s="3"/>
      <c r="V33" s="7">
        <f t="shared" si="5"/>
        <v>0</v>
      </c>
      <c r="W33" s="3"/>
      <c r="X33" s="6">
        <f t="shared" si="6"/>
        <v>6156.97</v>
      </c>
      <c r="Y33" s="3"/>
      <c r="Z33" s="7">
        <f t="shared" si="7"/>
        <v>0</v>
      </c>
    </row>
    <row r="34" spans="1:26" s="70" customFormat="1" ht="15" hidden="1" customHeight="1" outlineLevel="2" x14ac:dyDescent="0.3">
      <c r="A34" s="21"/>
      <c r="B34" s="9" t="str">
        <f>CONCATENATE("          ","6118"," - ","VACATION")</f>
        <v xml:space="preserve">          6118 - VACATION</v>
      </c>
      <c r="C34" s="9"/>
      <c r="D34" s="6">
        <v>2400.62</v>
      </c>
      <c r="E34" s="3"/>
      <c r="F34" s="7">
        <f t="shared" si="0"/>
        <v>-0.43703895195997755</v>
      </c>
      <c r="G34" s="3"/>
      <c r="H34" s="6">
        <v>1967.9663307692299</v>
      </c>
      <c r="I34" s="3"/>
      <c r="J34" s="7">
        <f t="shared" si="1"/>
        <v>0</v>
      </c>
      <c r="K34" s="3"/>
      <c r="L34" s="6">
        <f t="shared" si="2"/>
        <v>432.65366923076999</v>
      </c>
      <c r="M34" s="3"/>
      <c r="N34" s="7">
        <f t="shared" si="3"/>
        <v>0.21984810535943278</v>
      </c>
      <c r="O34" s="9"/>
      <c r="P34" s="6">
        <v>33271.9</v>
      </c>
      <c r="Q34" s="3"/>
      <c r="R34" s="7">
        <f t="shared" si="4"/>
        <v>5.8361939443591013E-3</v>
      </c>
      <c r="S34" s="3"/>
      <c r="T34" s="6">
        <v>25583.562300000001</v>
      </c>
      <c r="U34" s="3"/>
      <c r="V34" s="7">
        <f t="shared" si="5"/>
        <v>5.8731777548209369E-3</v>
      </c>
      <c r="W34" s="3"/>
      <c r="X34" s="6">
        <f t="shared" si="6"/>
        <v>7688.3377</v>
      </c>
      <c r="Y34" s="3"/>
      <c r="Z34" s="7">
        <f t="shared" si="7"/>
        <v>0.30051865372946907</v>
      </c>
    </row>
    <row r="35" spans="1:26" s="70" customFormat="1" ht="15" hidden="1" customHeight="1" outlineLevel="2" x14ac:dyDescent="0.3">
      <c r="A35" s="21"/>
      <c r="B35" s="9" t="str">
        <f>CONCATENATE("          ","6119"," - ","SICK LEAVE")</f>
        <v xml:space="preserve">          6119 - SICK LEAVE</v>
      </c>
      <c r="C35" s="9"/>
      <c r="D35" s="6">
        <v>1790.48</v>
      </c>
      <c r="E35" s="3"/>
      <c r="F35" s="7">
        <f t="shared" si="0"/>
        <v>-0.32596141942718992</v>
      </c>
      <c r="G35" s="3"/>
      <c r="H35" s="6">
        <v>1985.9003307692301</v>
      </c>
      <c r="I35" s="3"/>
      <c r="J35" s="7">
        <f t="shared" si="1"/>
        <v>0</v>
      </c>
      <c r="K35" s="3"/>
      <c r="L35" s="6">
        <f t="shared" si="2"/>
        <v>-195.42033076923008</v>
      </c>
      <c r="M35" s="3"/>
      <c r="N35" s="7">
        <f t="shared" si="3"/>
        <v>-9.8403896581020681E-2</v>
      </c>
      <c r="O35" s="9"/>
      <c r="P35" s="6">
        <v>23544.1</v>
      </c>
      <c r="Q35" s="3"/>
      <c r="R35" s="7">
        <f t="shared" si="4"/>
        <v>4.1298493276724539E-3</v>
      </c>
      <c r="S35" s="3"/>
      <c r="T35" s="6">
        <v>45653.865299999998</v>
      </c>
      <c r="U35" s="3"/>
      <c r="V35" s="7">
        <f t="shared" si="5"/>
        <v>1.0480685330578512E-2</v>
      </c>
      <c r="W35" s="3"/>
      <c r="X35" s="6">
        <f t="shared" si="6"/>
        <v>-22109.765299999999</v>
      </c>
      <c r="Y35" s="3"/>
      <c r="Z35" s="7">
        <f t="shared" si="7"/>
        <v>-0.48429120195437209</v>
      </c>
    </row>
    <row r="36" spans="1:26" s="70" customFormat="1" ht="15" hidden="1" customHeight="1" outlineLevel="2" x14ac:dyDescent="0.3">
      <c r="A36" s="21"/>
      <c r="B36" s="9" t="str">
        <f>CONCATENATE("          ","6156"," - ","EMPLOYEE MEALS")</f>
        <v xml:space="preserve">          6156 - EMPLOYEE MEALS</v>
      </c>
      <c r="C36" s="9"/>
      <c r="D36" s="6">
        <v>1026.7</v>
      </c>
      <c r="E36" s="3"/>
      <c r="F36" s="7">
        <f t="shared" si="0"/>
        <v>-0.1869133357121531</v>
      </c>
      <c r="G36" s="3"/>
      <c r="H36" s="6">
        <v>2275</v>
      </c>
      <c r="I36" s="3"/>
      <c r="J36" s="7">
        <f t="shared" si="1"/>
        <v>0</v>
      </c>
      <c r="K36" s="3"/>
      <c r="L36" s="6">
        <f t="shared" si="2"/>
        <v>-1248.3</v>
      </c>
      <c r="M36" s="3"/>
      <c r="N36" s="7">
        <f t="shared" si="3"/>
        <v>-0.54870329670329665</v>
      </c>
      <c r="O36" s="9"/>
      <c r="P36" s="6">
        <v>11656.85</v>
      </c>
      <c r="Q36" s="3"/>
      <c r="R36" s="7">
        <f t="shared" si="4"/>
        <v>2.0447175358276021E-3</v>
      </c>
      <c r="S36" s="3"/>
      <c r="T36" s="6">
        <v>27300</v>
      </c>
      <c r="U36" s="3"/>
      <c r="V36" s="7">
        <f t="shared" si="5"/>
        <v>6.2672176308539943E-3</v>
      </c>
      <c r="W36" s="3"/>
      <c r="X36" s="6">
        <f t="shared" si="6"/>
        <v>-15643.15</v>
      </c>
      <c r="Y36" s="3"/>
      <c r="Z36" s="7">
        <f t="shared" si="7"/>
        <v>-0.57300915750915749</v>
      </c>
    </row>
    <row r="37" spans="1:26" s="69" customFormat="1" ht="15" customHeight="1" outlineLevel="1" collapsed="1" x14ac:dyDescent="0.3">
      <c r="A37" s="20"/>
      <c r="B37" s="11" t="str">
        <f>CONCATENATE("     ","*Payroll                                          ")</f>
        <v xml:space="preserve">     *Payroll                                          </v>
      </c>
      <c r="C37" s="11"/>
      <c r="D37" s="2">
        <f>SUM(OSRRefD22_1x_0)</f>
        <v>37790.210000000006</v>
      </c>
      <c r="E37" s="2"/>
      <c r="F37" s="5">
        <f t="shared" si="0"/>
        <v>-6.8798034560852894</v>
      </c>
      <c r="G37" s="2"/>
      <c r="H37" s="2">
        <f>SUM(OSRRefH22_1x_0)</f>
        <v>46501.115030769201</v>
      </c>
      <c r="I37" s="2"/>
      <c r="J37" s="5">
        <f t="shared" si="1"/>
        <v>0</v>
      </c>
      <c r="K37" s="2"/>
      <c r="L37" s="2">
        <f t="shared" si="2"/>
        <v>-8710.9050307691941</v>
      </c>
      <c r="M37" s="2"/>
      <c r="N37" s="5">
        <f t="shared" si="3"/>
        <v>-0.18732679904568522</v>
      </c>
      <c r="O37" s="11"/>
      <c r="P37" s="2">
        <f>SUM(OSRRefP22_1x_0)</f>
        <v>1056682.29</v>
      </c>
      <c r="Q37" s="2"/>
      <c r="R37" s="5">
        <f t="shared" si="4"/>
        <v>0.18535168661872356</v>
      </c>
      <c r="S37" s="2"/>
      <c r="T37" s="2">
        <f>SUM(OSRRefT22_1x_0)</f>
        <v>1245916.0344000002</v>
      </c>
      <c r="U37" s="2"/>
      <c r="V37" s="5">
        <f t="shared" si="5"/>
        <v>0.28602296473829208</v>
      </c>
      <c r="W37" s="2"/>
      <c r="X37" s="2">
        <f t="shared" si="6"/>
        <v>-189233.7444000002</v>
      </c>
      <c r="Y37" s="2"/>
      <c r="Z37" s="5">
        <f t="shared" si="7"/>
        <v>-0.15188322421031375</v>
      </c>
    </row>
    <row r="38" spans="1:26" s="70" customFormat="1" ht="15" hidden="1" customHeight="1" outlineLevel="2" x14ac:dyDescent="0.3">
      <c r="A38" s="21"/>
      <c r="B38" s="9" t="str">
        <f>CONCATENATE("          ","6001"," - ","ADMINISTRATIVE SALARIES")</f>
        <v xml:space="preserve">          6001 - ADMINISTRATIVE SALARIES</v>
      </c>
      <c r="C38" s="9"/>
      <c r="D38" s="6"/>
      <c r="E38" s="3"/>
      <c r="F38" s="7">
        <f t="shared" si="0"/>
        <v>0</v>
      </c>
      <c r="G38" s="3"/>
      <c r="H38" s="6">
        <v>0</v>
      </c>
      <c r="I38" s="3"/>
      <c r="J38" s="7">
        <f t="shared" si="1"/>
        <v>0</v>
      </c>
      <c r="K38" s="3"/>
      <c r="L38" s="6">
        <f t="shared" si="2"/>
        <v>0</v>
      </c>
      <c r="M38" s="3"/>
      <c r="N38" s="7">
        <f t="shared" si="3"/>
        <v>0</v>
      </c>
      <c r="O38" s="9"/>
      <c r="P38" s="6"/>
      <c r="Q38" s="3"/>
      <c r="R38" s="7">
        <f t="shared" si="4"/>
        <v>0</v>
      </c>
      <c r="S38" s="3"/>
      <c r="T38" s="6">
        <v>0</v>
      </c>
      <c r="U38" s="3"/>
      <c r="V38" s="7">
        <f t="shared" si="5"/>
        <v>0</v>
      </c>
      <c r="W38" s="3"/>
      <c r="X38" s="6">
        <f t="shared" si="6"/>
        <v>0</v>
      </c>
      <c r="Y38" s="3"/>
      <c r="Z38" s="7">
        <f t="shared" si="7"/>
        <v>0</v>
      </c>
    </row>
    <row r="39" spans="1:26" s="70" customFormat="1" ht="15" hidden="1" customHeight="1" outlineLevel="2" x14ac:dyDescent="0.3">
      <c r="A39" s="21"/>
      <c r="B39" s="9" t="str">
        <f>CONCATENATE("          ","6002"," - ","STAFF SALARIES")</f>
        <v xml:space="preserve">          6002 - STAFF SALARIES</v>
      </c>
      <c r="C39" s="9"/>
      <c r="D39" s="6">
        <v>9883.4</v>
      </c>
      <c r="E39" s="3"/>
      <c r="F39" s="7">
        <f t="shared" si="0"/>
        <v>-1.7992980054324474</v>
      </c>
      <c r="G39" s="3"/>
      <c r="H39" s="6">
        <v>15375.239430769199</v>
      </c>
      <c r="I39" s="3"/>
      <c r="J39" s="7">
        <f t="shared" si="1"/>
        <v>0</v>
      </c>
      <c r="K39" s="3"/>
      <c r="L39" s="6">
        <f t="shared" si="2"/>
        <v>-5491.8394307691997</v>
      </c>
      <c r="M39" s="3"/>
      <c r="N39" s="7">
        <f t="shared" si="3"/>
        <v>-0.35718724612371461</v>
      </c>
      <c r="O39" s="9"/>
      <c r="P39" s="6">
        <v>173144.54</v>
      </c>
      <c r="Q39" s="3"/>
      <c r="R39" s="7">
        <f t="shared" si="4"/>
        <v>3.0371127463320165E-2</v>
      </c>
      <c r="S39" s="3"/>
      <c r="T39" s="6">
        <v>199878.11259999999</v>
      </c>
      <c r="U39" s="3"/>
      <c r="V39" s="7">
        <f t="shared" si="5"/>
        <v>4.5885700780532598E-2</v>
      </c>
      <c r="W39" s="3"/>
      <c r="X39" s="6">
        <f t="shared" si="6"/>
        <v>-26733.572599999985</v>
      </c>
      <c r="Y39" s="3"/>
      <c r="Z39" s="7">
        <f t="shared" si="7"/>
        <v>-0.13374937481774074</v>
      </c>
    </row>
    <row r="40" spans="1:26" s="70" customFormat="1" ht="15" hidden="1" customHeight="1" outlineLevel="2" x14ac:dyDescent="0.3">
      <c r="A40" s="21"/>
      <c r="B40" s="9" t="str">
        <f>CONCATENATE("          ","6003"," - ","STAFF HOURLY-9 MONTH")</f>
        <v xml:space="preserve">          6003 - STAFF HOURLY-9 MONTH</v>
      </c>
      <c r="C40" s="9"/>
      <c r="D40" s="6"/>
      <c r="E40" s="3"/>
      <c r="F40" s="7">
        <f t="shared" si="0"/>
        <v>0</v>
      </c>
      <c r="G40" s="3"/>
      <c r="H40" s="6">
        <v>0</v>
      </c>
      <c r="I40" s="3"/>
      <c r="J40" s="7">
        <f t="shared" si="1"/>
        <v>0</v>
      </c>
      <c r="K40" s="3"/>
      <c r="L40" s="6">
        <f t="shared" si="2"/>
        <v>0</v>
      </c>
      <c r="M40" s="3"/>
      <c r="N40" s="7">
        <f t="shared" si="3"/>
        <v>0</v>
      </c>
      <c r="O40" s="9"/>
      <c r="P40" s="6"/>
      <c r="Q40" s="3"/>
      <c r="R40" s="7">
        <f t="shared" si="4"/>
        <v>0</v>
      </c>
      <c r="S40" s="3"/>
      <c r="T40" s="6">
        <v>0</v>
      </c>
      <c r="U40" s="3"/>
      <c r="V40" s="7">
        <f t="shared" si="5"/>
        <v>0</v>
      </c>
      <c r="W40" s="3"/>
      <c r="X40" s="6">
        <f t="shared" si="6"/>
        <v>0</v>
      </c>
      <c r="Y40" s="3"/>
      <c r="Z40" s="7">
        <f t="shared" si="7"/>
        <v>0</v>
      </c>
    </row>
    <row r="41" spans="1:26" s="70" customFormat="1" ht="15" hidden="1" customHeight="1" outlineLevel="2" x14ac:dyDescent="0.3">
      <c r="A41" s="21"/>
      <c r="B41" s="9" t="str">
        <f>CONCATENATE("          ","6004"," - ","STAFF HOURLY")</f>
        <v xml:space="preserve">          6004 - STAFF HOURLY</v>
      </c>
      <c r="C41" s="9"/>
      <c r="D41" s="6">
        <v>23404.25</v>
      </c>
      <c r="E41" s="3"/>
      <c r="F41" s="7">
        <f t="shared" si="0"/>
        <v>-4.2608029973129042</v>
      </c>
      <c r="G41" s="3"/>
      <c r="H41" s="6">
        <v>26709.4656</v>
      </c>
      <c r="I41" s="3"/>
      <c r="J41" s="7">
        <f t="shared" si="1"/>
        <v>0</v>
      </c>
      <c r="K41" s="3"/>
      <c r="L41" s="6">
        <f t="shared" si="2"/>
        <v>-3305.2155999999995</v>
      </c>
      <c r="M41" s="3"/>
      <c r="N41" s="7">
        <f t="shared" si="3"/>
        <v>-0.12374697605331346</v>
      </c>
      <c r="O41" s="9"/>
      <c r="P41" s="6">
        <v>340658.59</v>
      </c>
      <c r="Q41" s="3"/>
      <c r="R41" s="7">
        <f t="shared" si="4"/>
        <v>5.9754615758400034E-2</v>
      </c>
      <c r="S41" s="3"/>
      <c r="T41" s="6">
        <v>347223.0528</v>
      </c>
      <c r="U41" s="3"/>
      <c r="V41" s="7">
        <f t="shared" si="5"/>
        <v>7.9711444628099176E-2</v>
      </c>
      <c r="W41" s="3"/>
      <c r="X41" s="6">
        <f t="shared" si="6"/>
        <v>-6564.4627999999793</v>
      </c>
      <c r="Y41" s="3"/>
      <c r="Z41" s="7">
        <f t="shared" si="7"/>
        <v>-1.8905607640576506E-2</v>
      </c>
    </row>
    <row r="42" spans="1:26" s="70" customFormat="1" ht="15" hidden="1" customHeight="1" outlineLevel="2" x14ac:dyDescent="0.3">
      <c r="A42" s="21"/>
      <c r="B42" s="9" t="str">
        <f>CONCATENATE("          ","6005"," - ","TEMPORARY WAGES-HOURLY")</f>
        <v xml:space="preserve">          6005 - TEMPORARY WAGES-HOURLY</v>
      </c>
      <c r="C42" s="9"/>
      <c r="D42" s="6">
        <v>3123.34</v>
      </c>
      <c r="E42" s="3"/>
      <c r="F42" s="7">
        <f t="shared" si="0"/>
        <v>-0.56861195866679293</v>
      </c>
      <c r="G42" s="3"/>
      <c r="H42" s="6">
        <v>4416.41</v>
      </c>
      <c r="I42" s="3"/>
      <c r="J42" s="7">
        <f t="shared" si="1"/>
        <v>0</v>
      </c>
      <c r="K42" s="3"/>
      <c r="L42" s="6">
        <f t="shared" si="2"/>
        <v>-1293.0699999999997</v>
      </c>
      <c r="M42" s="3"/>
      <c r="N42" s="7">
        <f t="shared" si="3"/>
        <v>-0.29278758086318973</v>
      </c>
      <c r="O42" s="9"/>
      <c r="P42" s="6">
        <v>180916.63</v>
      </c>
      <c r="Q42" s="3"/>
      <c r="R42" s="7">
        <f t="shared" si="4"/>
        <v>3.1734422754331922E-2</v>
      </c>
      <c r="S42" s="3"/>
      <c r="T42" s="6">
        <v>157817.54500000001</v>
      </c>
      <c r="U42" s="3"/>
      <c r="V42" s="7">
        <f t="shared" si="5"/>
        <v>3.6229923094582187E-2</v>
      </c>
      <c r="W42" s="3"/>
      <c r="X42" s="6">
        <f t="shared" si="6"/>
        <v>23099.084999999992</v>
      </c>
      <c r="Y42" s="3"/>
      <c r="Z42" s="7">
        <f t="shared" si="7"/>
        <v>0.14636576053695419</v>
      </c>
    </row>
    <row r="43" spans="1:26" s="70" customFormat="1" ht="15" hidden="1" customHeight="1" outlineLevel="2" x14ac:dyDescent="0.3">
      <c r="A43" s="21"/>
      <c r="B43" s="9" t="str">
        <f>CONCATENATE("          ","6006"," - ","TEMPORARY PART TIME")</f>
        <v xml:space="preserve">          6006 - TEMPORARY PART TIME</v>
      </c>
      <c r="C43" s="9"/>
      <c r="D43" s="6"/>
      <c r="E43" s="3"/>
      <c r="F43" s="7">
        <f t="shared" si="0"/>
        <v>0</v>
      </c>
      <c r="G43" s="3"/>
      <c r="H43" s="6">
        <v>0</v>
      </c>
      <c r="I43" s="3"/>
      <c r="J43" s="7">
        <f t="shared" si="1"/>
        <v>0</v>
      </c>
      <c r="K43" s="3"/>
      <c r="L43" s="6">
        <f t="shared" si="2"/>
        <v>0</v>
      </c>
      <c r="M43" s="3"/>
      <c r="N43" s="7">
        <f t="shared" si="3"/>
        <v>0</v>
      </c>
      <c r="O43" s="9"/>
      <c r="P43" s="6">
        <v>4022.72</v>
      </c>
      <c r="Q43" s="3"/>
      <c r="R43" s="7">
        <f t="shared" si="4"/>
        <v>7.056216838789562E-4</v>
      </c>
      <c r="S43" s="3"/>
      <c r="T43" s="6">
        <v>0</v>
      </c>
      <c r="U43" s="3"/>
      <c r="V43" s="7">
        <f t="shared" si="5"/>
        <v>0</v>
      </c>
      <c r="W43" s="3"/>
      <c r="X43" s="6">
        <f t="shared" si="6"/>
        <v>4022.72</v>
      </c>
      <c r="Y43" s="3"/>
      <c r="Z43" s="7">
        <f t="shared" si="7"/>
        <v>0</v>
      </c>
    </row>
    <row r="44" spans="1:26" s="70" customFormat="1" ht="15" hidden="1" customHeight="1" outlineLevel="2" x14ac:dyDescent="0.3">
      <c r="A44" s="21"/>
      <c r="B44" s="9" t="str">
        <f>CONCATENATE("          ","6007"," - ","STUDENT HOURLY")</f>
        <v xml:space="preserve">          6007 - STUDENT HOURLY</v>
      </c>
      <c r="C44" s="9"/>
      <c r="D44" s="6">
        <v>735.12</v>
      </c>
      <c r="E44" s="3"/>
      <c r="F44" s="7">
        <f t="shared" si="0"/>
        <v>-0.13383045811699423</v>
      </c>
      <c r="G44" s="3"/>
      <c r="H44" s="6">
        <v>0</v>
      </c>
      <c r="I44" s="3"/>
      <c r="J44" s="7">
        <f t="shared" si="1"/>
        <v>0</v>
      </c>
      <c r="K44" s="3"/>
      <c r="L44" s="6">
        <f t="shared" si="2"/>
        <v>735.12</v>
      </c>
      <c r="M44" s="3"/>
      <c r="N44" s="7">
        <f t="shared" si="3"/>
        <v>0</v>
      </c>
      <c r="O44" s="9"/>
      <c r="P44" s="6">
        <v>248533.53</v>
      </c>
      <c r="Q44" s="3"/>
      <c r="R44" s="7">
        <f t="shared" si="4"/>
        <v>4.3595042145359628E-2</v>
      </c>
      <c r="S44" s="3"/>
      <c r="T44" s="6">
        <v>30264</v>
      </c>
      <c r="U44" s="3"/>
      <c r="V44" s="7">
        <f t="shared" si="5"/>
        <v>6.9476584022038568E-3</v>
      </c>
      <c r="W44" s="3"/>
      <c r="X44" s="6">
        <f t="shared" si="6"/>
        <v>218269.53</v>
      </c>
      <c r="Y44" s="3"/>
      <c r="Z44" s="7">
        <f t="shared" si="7"/>
        <v>7.2121837827121329</v>
      </c>
    </row>
    <row r="45" spans="1:26" s="70" customFormat="1" ht="15" hidden="1" customHeight="1" outlineLevel="2" x14ac:dyDescent="0.3">
      <c r="A45" s="21"/>
      <c r="B45" s="9" t="str">
        <f>CONCATENATE("          ","6008"," - ","STUDENT HOURLY-FICA EXEMPT")</f>
        <v xml:space="preserve">          6008 - STUDENT HOURLY-FICA EXEMPT</v>
      </c>
      <c r="C45" s="9"/>
      <c r="D45" s="6">
        <v>644.1</v>
      </c>
      <c r="E45" s="3"/>
      <c r="F45" s="7">
        <f t="shared" si="0"/>
        <v>-0.11726003655614864</v>
      </c>
      <c r="G45" s="3"/>
      <c r="H45" s="6">
        <v>0</v>
      </c>
      <c r="I45" s="3"/>
      <c r="J45" s="7">
        <f t="shared" si="1"/>
        <v>0</v>
      </c>
      <c r="K45" s="3"/>
      <c r="L45" s="6">
        <f t="shared" si="2"/>
        <v>644.1</v>
      </c>
      <c r="M45" s="3"/>
      <c r="N45" s="7">
        <f t="shared" si="3"/>
        <v>0</v>
      </c>
      <c r="O45" s="9"/>
      <c r="P45" s="6">
        <v>109406.28</v>
      </c>
      <c r="Q45" s="3"/>
      <c r="R45" s="7">
        <f t="shared" si="4"/>
        <v>1.9190856813432845E-2</v>
      </c>
      <c r="S45" s="3"/>
      <c r="T45" s="6">
        <v>510733.32400000002</v>
      </c>
      <c r="U45" s="3"/>
      <c r="V45" s="7">
        <f t="shared" si="5"/>
        <v>0.11724823783287421</v>
      </c>
      <c r="W45" s="3"/>
      <c r="X45" s="6">
        <f t="shared" si="6"/>
        <v>-401327.04399999999</v>
      </c>
      <c r="Y45" s="3"/>
      <c r="Z45" s="7">
        <f t="shared" si="7"/>
        <v>-0.78578589870904914</v>
      </c>
    </row>
    <row r="46" spans="1:26" s="70" customFormat="1" ht="15" hidden="1" customHeight="1" outlineLevel="2" x14ac:dyDescent="0.3">
      <c r="A46" s="21"/>
      <c r="B46" s="9" t="str">
        <f>CONCATENATE("          ","6009"," - ","TEMPORARY-SEASONAL")</f>
        <v xml:space="preserve">          6009 - TEMPORARY-SEASONAL</v>
      </c>
      <c r="C46" s="9"/>
      <c r="D46" s="6"/>
      <c r="E46" s="3"/>
      <c r="F46" s="7">
        <f t="shared" si="0"/>
        <v>0</v>
      </c>
      <c r="G46" s="3"/>
      <c r="H46" s="6">
        <v>0</v>
      </c>
      <c r="I46" s="3"/>
      <c r="J46" s="7">
        <f t="shared" si="1"/>
        <v>0</v>
      </c>
      <c r="K46" s="3"/>
      <c r="L46" s="6">
        <f t="shared" si="2"/>
        <v>0</v>
      </c>
      <c r="M46" s="3"/>
      <c r="N46" s="7">
        <f t="shared" si="3"/>
        <v>0</v>
      </c>
      <c r="O46" s="9"/>
      <c r="P46" s="6"/>
      <c r="Q46" s="3"/>
      <c r="R46" s="7">
        <f t="shared" si="4"/>
        <v>0</v>
      </c>
      <c r="S46" s="3"/>
      <c r="T46" s="6">
        <v>0</v>
      </c>
      <c r="U46" s="3"/>
      <c r="V46" s="7">
        <f t="shared" si="5"/>
        <v>0</v>
      </c>
      <c r="W46" s="3"/>
      <c r="X46" s="6">
        <f t="shared" si="6"/>
        <v>0</v>
      </c>
      <c r="Y46" s="3"/>
      <c r="Z46" s="7">
        <f t="shared" si="7"/>
        <v>0</v>
      </c>
    </row>
    <row r="47" spans="1:26" s="70" customFormat="1" ht="15" hidden="1" customHeight="1" outlineLevel="2" x14ac:dyDescent="0.3">
      <c r="A47" s="21"/>
      <c r="B47" s="9" t="str">
        <f>CONCATENATE("          ","6010"," - ","GRATUITY")</f>
        <v xml:space="preserve">          6010 - GRATUITY</v>
      </c>
      <c r="C47" s="9"/>
      <c r="D47" s="6"/>
      <c r="E47" s="3"/>
      <c r="F47" s="7">
        <f t="shared" si="0"/>
        <v>0</v>
      </c>
      <c r="G47" s="3"/>
      <c r="H47" s="6">
        <v>0</v>
      </c>
      <c r="I47" s="3"/>
      <c r="J47" s="7">
        <f t="shared" si="1"/>
        <v>0</v>
      </c>
      <c r="K47" s="3"/>
      <c r="L47" s="6">
        <f t="shared" si="2"/>
        <v>0</v>
      </c>
      <c r="M47" s="3"/>
      <c r="N47" s="7">
        <f t="shared" si="3"/>
        <v>0</v>
      </c>
      <c r="O47" s="9"/>
      <c r="P47" s="6"/>
      <c r="Q47" s="3"/>
      <c r="R47" s="7">
        <f t="shared" si="4"/>
        <v>0</v>
      </c>
      <c r="S47" s="3"/>
      <c r="T47" s="6">
        <v>0</v>
      </c>
      <c r="U47" s="3"/>
      <c r="V47" s="7">
        <f t="shared" si="5"/>
        <v>0</v>
      </c>
      <c r="W47" s="3"/>
      <c r="X47" s="6">
        <f t="shared" si="6"/>
        <v>0</v>
      </c>
      <c r="Y47" s="3"/>
      <c r="Z47" s="7">
        <f t="shared" si="7"/>
        <v>0</v>
      </c>
    </row>
    <row r="48" spans="1:26" s="69" customFormat="1" ht="15" customHeight="1" outlineLevel="1" collapsed="1" x14ac:dyDescent="0.3">
      <c r="A48" s="20"/>
      <c r="B48" s="11" t="str">
        <f>CONCATENATE("     ","Advertising/Promo                                 ")</f>
        <v xml:space="preserve">     Advertising/Promo                                 </v>
      </c>
      <c r="C48" s="11"/>
      <c r="D48" s="2">
        <f>SUM(OSRRefD22_2x_0)</f>
        <v>0</v>
      </c>
      <c r="E48" s="2"/>
      <c r="F48" s="5">
        <f t="shared" si="0"/>
        <v>0</v>
      </c>
      <c r="G48" s="2"/>
      <c r="H48" s="2">
        <f>SUM(OSRRefH22_2x_0)</f>
        <v>369</v>
      </c>
      <c r="I48" s="2"/>
      <c r="J48" s="5">
        <f t="shared" si="1"/>
        <v>0</v>
      </c>
      <c r="K48" s="2"/>
      <c r="L48" s="2">
        <f t="shared" si="2"/>
        <v>-369</v>
      </c>
      <c r="M48" s="2"/>
      <c r="N48" s="5">
        <f t="shared" si="3"/>
        <v>-1</v>
      </c>
      <c r="O48" s="11"/>
      <c r="P48" s="2">
        <f>SUM(OSRRefP22_2x_0)</f>
        <v>1538.89</v>
      </c>
      <c r="Q48" s="2"/>
      <c r="R48" s="5">
        <f t="shared" si="4"/>
        <v>2.6993530573952128E-4</v>
      </c>
      <c r="S48" s="2"/>
      <c r="T48" s="2">
        <f>SUM(OSRRefT22_2x_0)</f>
        <v>4428</v>
      </c>
      <c r="U48" s="2"/>
      <c r="V48" s="5">
        <f t="shared" si="5"/>
        <v>1.0165289256198347E-3</v>
      </c>
      <c r="W48" s="2"/>
      <c r="X48" s="2">
        <f t="shared" si="6"/>
        <v>-2889.1099999999997</v>
      </c>
      <c r="Y48" s="2"/>
      <c r="Z48" s="5">
        <f t="shared" si="7"/>
        <v>-0.6524638663053296</v>
      </c>
    </row>
    <row r="49" spans="1:26" s="70" customFormat="1" ht="15" hidden="1" customHeight="1" outlineLevel="2" x14ac:dyDescent="0.3">
      <c r="A49" s="21"/>
      <c r="B49" s="9" t="str">
        <f>CONCATENATE("          ","6362"," - ","ADVERTISING EXPENSE")</f>
        <v xml:space="preserve">          6362 - ADVERTISING EXPENSE</v>
      </c>
      <c r="C49" s="9"/>
      <c r="D49" s="6"/>
      <c r="E49" s="3"/>
      <c r="F49" s="7">
        <f t="shared" si="0"/>
        <v>0</v>
      </c>
      <c r="G49" s="3"/>
      <c r="H49" s="6">
        <v>369</v>
      </c>
      <c r="I49" s="3"/>
      <c r="J49" s="7">
        <f t="shared" si="1"/>
        <v>0</v>
      </c>
      <c r="K49" s="3"/>
      <c r="L49" s="6">
        <f t="shared" si="2"/>
        <v>-369</v>
      </c>
      <c r="M49" s="3"/>
      <c r="N49" s="7">
        <f t="shared" si="3"/>
        <v>-1</v>
      </c>
      <c r="O49" s="9"/>
      <c r="P49" s="6">
        <v>1538.89</v>
      </c>
      <c r="Q49" s="3"/>
      <c r="R49" s="7">
        <f t="shared" si="4"/>
        <v>2.6993530573952128E-4</v>
      </c>
      <c r="S49" s="3"/>
      <c r="T49" s="6">
        <v>4428</v>
      </c>
      <c r="U49" s="3"/>
      <c r="V49" s="7">
        <f t="shared" si="5"/>
        <v>1.0165289256198347E-3</v>
      </c>
      <c r="W49" s="3"/>
      <c r="X49" s="6">
        <f t="shared" si="6"/>
        <v>-2889.1099999999997</v>
      </c>
      <c r="Y49" s="3"/>
      <c r="Z49" s="7">
        <f t="shared" si="7"/>
        <v>-0.6524638663053296</v>
      </c>
    </row>
    <row r="50" spans="1:26" s="69" customFormat="1" ht="15" customHeight="1" outlineLevel="1" collapsed="1" x14ac:dyDescent="0.3">
      <c r="A50" s="20"/>
      <c r="B50" s="11" t="str">
        <f>CONCATENATE("     ","Bad Debts/Over/Short                              ")</f>
        <v xml:space="preserve">     Bad Debts/Over/Short                              </v>
      </c>
      <c r="C50" s="11"/>
      <c r="D50" s="2">
        <f>SUM(OSRRefD22_3x_0)</f>
        <v>4.24</v>
      </c>
      <c r="E50" s="2"/>
      <c r="F50" s="5">
        <f t="shared" si="0"/>
        <v>-7.7190274025472794E-4</v>
      </c>
      <c r="G50" s="2"/>
      <c r="H50" s="2">
        <f>SUM(OSRRefH22_3x_0)</f>
        <v>0</v>
      </c>
      <c r="I50" s="2"/>
      <c r="J50" s="5">
        <f t="shared" si="1"/>
        <v>0</v>
      </c>
      <c r="K50" s="2"/>
      <c r="L50" s="2">
        <f t="shared" si="2"/>
        <v>4.24</v>
      </c>
      <c r="M50" s="2"/>
      <c r="N50" s="5">
        <f t="shared" si="3"/>
        <v>0</v>
      </c>
      <c r="O50" s="11"/>
      <c r="P50" s="2">
        <f>SUM(OSRRefP22_3x_0)</f>
        <v>4.24</v>
      </c>
      <c r="Q50" s="2"/>
      <c r="R50" s="5">
        <f t="shared" si="4"/>
        <v>7.4373457253966832E-7</v>
      </c>
      <c r="S50" s="2"/>
      <c r="T50" s="2">
        <f>SUM(OSRRefT22_3x_0)</f>
        <v>80</v>
      </c>
      <c r="U50" s="2"/>
      <c r="V50" s="5">
        <f t="shared" si="5"/>
        <v>1.8365472910927457E-5</v>
      </c>
      <c r="W50" s="2"/>
      <c r="X50" s="2">
        <f t="shared" si="6"/>
        <v>-75.760000000000005</v>
      </c>
      <c r="Y50" s="2"/>
      <c r="Z50" s="5">
        <f t="shared" si="7"/>
        <v>-0.94700000000000006</v>
      </c>
    </row>
    <row r="51" spans="1:26" s="70" customFormat="1" ht="15" hidden="1" customHeight="1" outlineLevel="2" x14ac:dyDescent="0.3">
      <c r="A51" s="21"/>
      <c r="B51" s="9" t="str">
        <f>CONCATENATE("          ","6272"," - ","CASH (OVER/SHORT)")</f>
        <v xml:space="preserve">          6272 - CASH (OVER/SHORT)</v>
      </c>
      <c r="C51" s="9"/>
      <c r="D51" s="6">
        <v>4.24</v>
      </c>
      <c r="E51" s="3"/>
      <c r="F51" s="7">
        <f t="shared" si="0"/>
        <v>-7.7190274025472794E-4</v>
      </c>
      <c r="G51" s="3"/>
      <c r="H51" s="6"/>
      <c r="I51" s="3"/>
      <c r="J51" s="7">
        <f t="shared" si="1"/>
        <v>0</v>
      </c>
      <c r="K51" s="3"/>
      <c r="L51" s="6">
        <f t="shared" si="2"/>
        <v>4.24</v>
      </c>
      <c r="M51" s="3"/>
      <c r="N51" s="7">
        <f t="shared" si="3"/>
        <v>0</v>
      </c>
      <c r="O51" s="9"/>
      <c r="P51" s="6">
        <v>4.24</v>
      </c>
      <c r="Q51" s="3"/>
      <c r="R51" s="7">
        <f t="shared" si="4"/>
        <v>7.4373457253966832E-7</v>
      </c>
      <c r="S51" s="3"/>
      <c r="T51" s="6">
        <v>80</v>
      </c>
      <c r="U51" s="3"/>
      <c r="V51" s="7">
        <f t="shared" si="5"/>
        <v>1.8365472910927457E-5</v>
      </c>
      <c r="W51" s="3"/>
      <c r="X51" s="6">
        <f t="shared" si="6"/>
        <v>-75.760000000000005</v>
      </c>
      <c r="Y51" s="3"/>
      <c r="Z51" s="7">
        <f t="shared" si="7"/>
        <v>-0.94700000000000006</v>
      </c>
    </row>
    <row r="52" spans="1:26" s="69" customFormat="1" ht="15" customHeight="1" outlineLevel="1" collapsed="1" x14ac:dyDescent="0.3">
      <c r="A52" s="20"/>
      <c r="B52" s="11" t="str">
        <f>CONCATENATE("     ","Bank/card Fees                                    ")</f>
        <v xml:space="preserve">     Bank/card Fees                                    </v>
      </c>
      <c r="C52" s="11"/>
      <c r="D52" s="2">
        <f>SUM(OSRRefD22_4x_0)</f>
        <v>42.7</v>
      </c>
      <c r="E52" s="2"/>
      <c r="F52" s="5">
        <f t="shared" si="0"/>
        <v>-7.7736431624709631E-3</v>
      </c>
      <c r="G52" s="2"/>
      <c r="H52" s="2">
        <f>SUM(OSRRefH22_4x_0)</f>
        <v>135</v>
      </c>
      <c r="I52" s="2"/>
      <c r="J52" s="5">
        <f t="shared" si="1"/>
        <v>0</v>
      </c>
      <c r="K52" s="2"/>
      <c r="L52" s="2">
        <f t="shared" si="2"/>
        <v>-92.3</v>
      </c>
      <c r="M52" s="2"/>
      <c r="N52" s="5">
        <f t="shared" si="3"/>
        <v>-0.6837037037037037</v>
      </c>
      <c r="O52" s="11"/>
      <c r="P52" s="2">
        <f>SUM(OSRRefP22_4x_0)</f>
        <v>653.66</v>
      </c>
      <c r="Q52" s="2"/>
      <c r="R52" s="5">
        <f t="shared" si="4"/>
        <v>1.1465791053921687E-4</v>
      </c>
      <c r="S52" s="2"/>
      <c r="T52" s="2">
        <f>SUM(OSRRefT22_4x_0)</f>
        <v>1620</v>
      </c>
      <c r="U52" s="2"/>
      <c r="V52" s="5">
        <f t="shared" si="5"/>
        <v>3.7190082644628097E-4</v>
      </c>
      <c r="W52" s="2"/>
      <c r="X52" s="2">
        <f t="shared" si="6"/>
        <v>-966.34</v>
      </c>
      <c r="Y52" s="2"/>
      <c r="Z52" s="5">
        <f t="shared" si="7"/>
        <v>-0.59650617283950624</v>
      </c>
    </row>
    <row r="53" spans="1:26" s="70" customFormat="1" ht="15" hidden="1" customHeight="1" outlineLevel="2" x14ac:dyDescent="0.3">
      <c r="A53" s="21"/>
      <c r="B53" s="9" t="str">
        <f>CONCATENATE("          ","6381"," - ","BANK/CREDIT CARD FEES")</f>
        <v xml:space="preserve">          6381 - BANK/CREDIT CARD FEES</v>
      </c>
      <c r="C53" s="9"/>
      <c r="D53" s="6">
        <v>42.7</v>
      </c>
      <c r="E53" s="3"/>
      <c r="F53" s="7">
        <f t="shared" si="0"/>
        <v>-7.7736431624709631E-3</v>
      </c>
      <c r="G53" s="3"/>
      <c r="H53" s="6">
        <v>135</v>
      </c>
      <c r="I53" s="3"/>
      <c r="J53" s="7">
        <f t="shared" si="1"/>
        <v>0</v>
      </c>
      <c r="K53" s="3"/>
      <c r="L53" s="6">
        <f t="shared" si="2"/>
        <v>-92.3</v>
      </c>
      <c r="M53" s="3"/>
      <c r="N53" s="7">
        <f t="shared" si="3"/>
        <v>-0.6837037037037037</v>
      </c>
      <c r="O53" s="9"/>
      <c r="P53" s="6">
        <v>653.66</v>
      </c>
      <c r="Q53" s="3"/>
      <c r="R53" s="7">
        <f t="shared" si="4"/>
        <v>1.1465791053921687E-4</v>
      </c>
      <c r="S53" s="3"/>
      <c r="T53" s="6">
        <v>1620</v>
      </c>
      <c r="U53" s="3"/>
      <c r="V53" s="7">
        <f t="shared" si="5"/>
        <v>3.7190082644628097E-4</v>
      </c>
      <c r="W53" s="3"/>
      <c r="X53" s="6">
        <f t="shared" si="6"/>
        <v>-966.34</v>
      </c>
      <c r="Y53" s="3"/>
      <c r="Z53" s="7">
        <f t="shared" si="7"/>
        <v>-0.59650617283950624</v>
      </c>
    </row>
    <row r="54" spans="1:26" s="69" customFormat="1" ht="15" customHeight="1" outlineLevel="1" collapsed="1" x14ac:dyDescent="0.3">
      <c r="A54" s="20"/>
      <c r="B54" s="11" t="str">
        <f>CONCATENATE("     ","Depreciation                                      ")</f>
        <v xml:space="preserve">     Depreciation                                      </v>
      </c>
      <c r="C54" s="11"/>
      <c r="D54" s="2">
        <f>SUM(OSRRefD22_5x_0)</f>
        <v>273.52999999999997</v>
      </c>
      <c r="E54" s="2"/>
      <c r="F54" s="5">
        <f t="shared" si="0"/>
        <v>-4.9796829373083891E-2</v>
      </c>
      <c r="G54" s="2"/>
      <c r="H54" s="2">
        <f>SUM(OSRRefH22_5x_0)</f>
        <v>273</v>
      </c>
      <c r="I54" s="2"/>
      <c r="J54" s="5">
        <f t="shared" si="1"/>
        <v>0</v>
      </c>
      <c r="K54" s="2"/>
      <c r="L54" s="2">
        <f t="shared" si="2"/>
        <v>0.52999999999997272</v>
      </c>
      <c r="M54" s="2"/>
      <c r="N54" s="5">
        <f t="shared" si="3"/>
        <v>1.9413919413918414E-3</v>
      </c>
      <c r="O54" s="11"/>
      <c r="P54" s="2">
        <f>SUM(OSRRefP22_5x_0)</f>
        <v>3282.14</v>
      </c>
      <c r="Q54" s="2"/>
      <c r="R54" s="5">
        <f t="shared" si="4"/>
        <v>5.7571721460267613E-4</v>
      </c>
      <c r="S54" s="2"/>
      <c r="T54" s="2">
        <f>SUM(OSRRefT22_5x_0)</f>
        <v>3276</v>
      </c>
      <c r="U54" s="2"/>
      <c r="V54" s="5">
        <f t="shared" si="5"/>
        <v>7.520661157024793E-4</v>
      </c>
      <c r="W54" s="2"/>
      <c r="X54" s="2">
        <f t="shared" si="6"/>
        <v>6.1399999999998727</v>
      </c>
      <c r="Y54" s="2"/>
      <c r="Z54" s="5">
        <f t="shared" si="7"/>
        <v>1.8742368742368353E-3</v>
      </c>
    </row>
    <row r="55" spans="1:26" s="70" customFormat="1" ht="15" hidden="1" customHeight="1" outlineLevel="2" x14ac:dyDescent="0.3">
      <c r="A55" s="21"/>
      <c r="B55" s="9" t="str">
        <f>CONCATENATE("          ","6322"," - ","EQUIPMENT DEPRECIATION EXPENSE")</f>
        <v xml:space="preserve">          6322 - EQUIPMENT DEPRECIATION EXPENSE</v>
      </c>
      <c r="C55" s="9"/>
      <c r="D55" s="6">
        <v>273.52999999999997</v>
      </c>
      <c r="E55" s="3"/>
      <c r="F55" s="7">
        <f t="shared" si="0"/>
        <v>-4.9796829373083891E-2</v>
      </c>
      <c r="G55" s="3"/>
      <c r="H55" s="6">
        <v>273</v>
      </c>
      <c r="I55" s="3"/>
      <c r="J55" s="7">
        <f t="shared" si="1"/>
        <v>0</v>
      </c>
      <c r="K55" s="3"/>
      <c r="L55" s="6">
        <f t="shared" si="2"/>
        <v>0.52999999999997272</v>
      </c>
      <c r="M55" s="3"/>
      <c r="N55" s="7">
        <f t="shared" si="3"/>
        <v>1.9413919413918414E-3</v>
      </c>
      <c r="O55" s="9"/>
      <c r="P55" s="6">
        <v>3282.14</v>
      </c>
      <c r="Q55" s="3"/>
      <c r="R55" s="7">
        <f t="shared" si="4"/>
        <v>5.7571721460267613E-4</v>
      </c>
      <c r="S55" s="3"/>
      <c r="T55" s="6">
        <v>3276</v>
      </c>
      <c r="U55" s="3"/>
      <c r="V55" s="7">
        <f t="shared" si="5"/>
        <v>7.520661157024793E-4</v>
      </c>
      <c r="W55" s="3"/>
      <c r="X55" s="6">
        <f t="shared" si="6"/>
        <v>6.1399999999998727</v>
      </c>
      <c r="Y55" s="3"/>
      <c r="Z55" s="7">
        <f t="shared" si="7"/>
        <v>1.8742368742368353E-3</v>
      </c>
    </row>
    <row r="56" spans="1:26" s="69" customFormat="1" ht="15" customHeight="1" outlineLevel="1" collapsed="1" x14ac:dyDescent="0.3">
      <c r="A56" s="20"/>
      <c r="B56" s="11" t="str">
        <f>CONCATENATE("     ","Donations                                         ")</f>
        <v xml:space="preserve">     Donations                                         </v>
      </c>
      <c r="C56" s="11"/>
      <c r="D56" s="2">
        <f>SUM(OSRRefD22_6x_0)</f>
        <v>337.65</v>
      </c>
      <c r="E56" s="2"/>
      <c r="F56" s="5">
        <f t="shared" si="0"/>
        <v>-6.1470037794105863E-2</v>
      </c>
      <c r="G56" s="2"/>
      <c r="H56" s="2">
        <f>SUM(OSRRefH22_6x_0)</f>
        <v>0</v>
      </c>
      <c r="I56" s="2"/>
      <c r="J56" s="5">
        <f t="shared" si="1"/>
        <v>0</v>
      </c>
      <c r="K56" s="2"/>
      <c r="L56" s="2">
        <f t="shared" si="2"/>
        <v>337.65</v>
      </c>
      <c r="M56" s="2"/>
      <c r="N56" s="5">
        <f t="shared" si="3"/>
        <v>0</v>
      </c>
      <c r="O56" s="11"/>
      <c r="P56" s="2">
        <f>SUM(OSRRefP22_6x_0)</f>
        <v>23259.51</v>
      </c>
      <c r="Q56" s="2"/>
      <c r="R56" s="5">
        <f t="shared" si="4"/>
        <v>4.0799296526726741E-3</v>
      </c>
      <c r="S56" s="2"/>
      <c r="T56" s="2">
        <f>SUM(OSRRefT22_6x_0)</f>
        <v>65000</v>
      </c>
      <c r="U56" s="2"/>
      <c r="V56" s="5">
        <f t="shared" si="5"/>
        <v>1.4921946740128558E-2</v>
      </c>
      <c r="W56" s="2"/>
      <c r="X56" s="2">
        <f t="shared" si="6"/>
        <v>-41740.490000000005</v>
      </c>
      <c r="Y56" s="2"/>
      <c r="Z56" s="5">
        <f t="shared" si="7"/>
        <v>-0.64216138461538474</v>
      </c>
    </row>
    <row r="57" spans="1:26" s="70" customFormat="1" ht="15" hidden="1" customHeight="1" outlineLevel="2" x14ac:dyDescent="0.3">
      <c r="A57" s="21"/>
      <c r="B57" s="9" t="str">
        <f>CONCATENATE("          ","6399"," - ","DONATION-ON CAMPUS")</f>
        <v xml:space="preserve">          6399 - DONATION-ON CAMPUS</v>
      </c>
      <c r="C57" s="9"/>
      <c r="D57" s="6">
        <v>337.65</v>
      </c>
      <c r="E57" s="3"/>
      <c r="F57" s="7">
        <f t="shared" ref="F57:F89" si="8">IF(D$12=0,0,D57/D$12)</f>
        <v>-6.1470037794105863E-2</v>
      </c>
      <c r="G57" s="3"/>
      <c r="H57" s="6"/>
      <c r="I57" s="3"/>
      <c r="J57" s="7">
        <f t="shared" ref="J57:J89" si="9">IF(H$12=0,0,H57/H$12)</f>
        <v>0</v>
      </c>
      <c r="K57" s="3"/>
      <c r="L57" s="6">
        <f t="shared" ref="L57:L89" si="10">+D57-H57</f>
        <v>337.65</v>
      </c>
      <c r="M57" s="3"/>
      <c r="N57" s="7">
        <f t="shared" ref="N57:N89" si="11">IF(H57=0,0,L57/H57)</f>
        <v>0</v>
      </c>
      <c r="O57" s="9"/>
      <c r="P57" s="6">
        <v>23259.51</v>
      </c>
      <c r="Q57" s="3"/>
      <c r="R57" s="7">
        <f t="shared" ref="R57:R89" si="12">IF(P$12=0,0,P57/P$12)</f>
        <v>4.0799296526726741E-3</v>
      </c>
      <c r="S57" s="3"/>
      <c r="T57" s="6">
        <v>65000</v>
      </c>
      <c r="U57" s="3"/>
      <c r="V57" s="7">
        <f t="shared" ref="V57:V89" si="13">IF(T$12=0,0,T57/T$12)</f>
        <v>1.4921946740128558E-2</v>
      </c>
      <c r="W57" s="3"/>
      <c r="X57" s="6">
        <f t="shared" ref="X57:X89" si="14">+P57-T57</f>
        <v>-41740.490000000005</v>
      </c>
      <c r="Y57" s="3"/>
      <c r="Z57" s="7">
        <f t="shared" ref="Z57:Z89" si="15">IF(T57=0,0,X57/T57)</f>
        <v>-0.64216138461538474</v>
      </c>
    </row>
    <row r="58" spans="1:26" s="69" customFormat="1" ht="15" customHeight="1" outlineLevel="1" collapsed="1" x14ac:dyDescent="0.3">
      <c r="A58" s="20"/>
      <c r="B58" s="11" t="str">
        <f>CONCATENATE("     ","Employees' Appreciation                           ")</f>
        <v xml:space="preserve">     Employees' Appreciation                           </v>
      </c>
      <c r="C58" s="11"/>
      <c r="D58" s="2">
        <f>SUM(OSRRefD22_7x_0)</f>
        <v>0</v>
      </c>
      <c r="E58" s="2"/>
      <c r="F58" s="5">
        <f t="shared" si="8"/>
        <v>0</v>
      </c>
      <c r="G58" s="2"/>
      <c r="H58" s="2">
        <f>SUM(OSRRefH22_7x_0)</f>
        <v>150</v>
      </c>
      <c r="I58" s="2"/>
      <c r="J58" s="5">
        <f t="shared" si="9"/>
        <v>0</v>
      </c>
      <c r="K58" s="2"/>
      <c r="L58" s="2">
        <f t="shared" si="10"/>
        <v>-150</v>
      </c>
      <c r="M58" s="2"/>
      <c r="N58" s="5">
        <f t="shared" si="11"/>
        <v>-1</v>
      </c>
      <c r="O58" s="11"/>
      <c r="P58" s="2">
        <f>SUM(OSRRefP22_7x_0)</f>
        <v>200.77</v>
      </c>
      <c r="Q58" s="2"/>
      <c r="R58" s="5">
        <f t="shared" si="12"/>
        <v>3.521688446433708E-5</v>
      </c>
      <c r="S58" s="2"/>
      <c r="T58" s="2">
        <f>SUM(OSRRefT22_7x_0)</f>
        <v>1800</v>
      </c>
      <c r="U58" s="2"/>
      <c r="V58" s="5">
        <f t="shared" si="13"/>
        <v>4.1322314049586776E-4</v>
      </c>
      <c r="W58" s="2"/>
      <c r="X58" s="2">
        <f t="shared" si="14"/>
        <v>-1599.23</v>
      </c>
      <c r="Y58" s="2"/>
      <c r="Z58" s="5">
        <f t="shared" si="15"/>
        <v>-0.88846111111111115</v>
      </c>
    </row>
    <row r="59" spans="1:26" s="70" customFormat="1" ht="15" hidden="1" customHeight="1" outlineLevel="2" x14ac:dyDescent="0.3">
      <c r="A59" s="21"/>
      <c r="B59" s="9" t="str">
        <f>CONCATENATE("          ","6277"," - ","EMPLOYEE APPRECIATION")</f>
        <v xml:space="preserve">          6277 - EMPLOYEE APPRECIATION</v>
      </c>
      <c r="C59" s="9"/>
      <c r="D59" s="6"/>
      <c r="E59" s="3"/>
      <c r="F59" s="7">
        <f t="shared" si="8"/>
        <v>0</v>
      </c>
      <c r="G59" s="3"/>
      <c r="H59" s="6">
        <v>150</v>
      </c>
      <c r="I59" s="3"/>
      <c r="J59" s="7">
        <f t="shared" si="9"/>
        <v>0</v>
      </c>
      <c r="K59" s="3"/>
      <c r="L59" s="6">
        <f t="shared" si="10"/>
        <v>-150</v>
      </c>
      <c r="M59" s="3"/>
      <c r="N59" s="7">
        <f t="shared" si="11"/>
        <v>-1</v>
      </c>
      <c r="O59" s="9"/>
      <c r="P59" s="6">
        <v>200.77</v>
      </c>
      <c r="Q59" s="3"/>
      <c r="R59" s="7">
        <f t="shared" si="12"/>
        <v>3.521688446433708E-5</v>
      </c>
      <c r="S59" s="3"/>
      <c r="T59" s="6">
        <v>1800</v>
      </c>
      <c r="U59" s="3"/>
      <c r="V59" s="7">
        <f t="shared" si="13"/>
        <v>4.1322314049586776E-4</v>
      </c>
      <c r="W59" s="3"/>
      <c r="X59" s="6">
        <f t="shared" si="14"/>
        <v>-1599.23</v>
      </c>
      <c r="Y59" s="3"/>
      <c r="Z59" s="7">
        <f t="shared" si="15"/>
        <v>-0.88846111111111115</v>
      </c>
    </row>
    <row r="60" spans="1:26" s="69" customFormat="1" ht="15" customHeight="1" outlineLevel="1" collapsed="1" x14ac:dyDescent="0.3">
      <c r="A60" s="20"/>
      <c r="B60" s="11" t="str">
        <f>CONCATENATE("     ","Equipment Rental                                  ")</f>
        <v xml:space="preserve">     Equipment Rental                                  </v>
      </c>
      <c r="C60" s="11"/>
      <c r="D60" s="2">
        <f>SUM(OSRRefD22_8x_0)</f>
        <v>7.08</v>
      </c>
      <c r="E60" s="2"/>
      <c r="F60" s="5">
        <f t="shared" si="8"/>
        <v>-1.2889319341989325E-3</v>
      </c>
      <c r="G60" s="2"/>
      <c r="H60" s="2">
        <f>SUM(OSRRefH22_8x_0)</f>
        <v>295</v>
      </c>
      <c r="I60" s="2"/>
      <c r="J60" s="5">
        <f t="shared" si="9"/>
        <v>0</v>
      </c>
      <c r="K60" s="2"/>
      <c r="L60" s="2">
        <f t="shared" si="10"/>
        <v>-287.92</v>
      </c>
      <c r="M60" s="2"/>
      <c r="N60" s="5">
        <f t="shared" si="11"/>
        <v>-0.97600000000000009</v>
      </c>
      <c r="O60" s="11"/>
      <c r="P60" s="2">
        <f>SUM(OSRRefP22_8x_0)</f>
        <v>3631.56</v>
      </c>
      <c r="Q60" s="2"/>
      <c r="R60" s="5">
        <f t="shared" si="12"/>
        <v>6.3700866138022587E-4</v>
      </c>
      <c r="S60" s="2"/>
      <c r="T60" s="2">
        <f>SUM(OSRRefT22_8x_0)</f>
        <v>3540</v>
      </c>
      <c r="U60" s="2"/>
      <c r="V60" s="5">
        <f t="shared" si="13"/>
        <v>8.1267217630853999E-4</v>
      </c>
      <c r="W60" s="2"/>
      <c r="X60" s="2">
        <f t="shared" si="14"/>
        <v>91.559999999999945</v>
      </c>
      <c r="Y60" s="2"/>
      <c r="Z60" s="5">
        <f t="shared" si="15"/>
        <v>2.5864406779661002E-2</v>
      </c>
    </row>
    <row r="61" spans="1:26" s="70" customFormat="1" ht="15" hidden="1" customHeight="1" outlineLevel="2" x14ac:dyDescent="0.3">
      <c r="A61" s="21"/>
      <c r="B61" s="9" t="str">
        <f>CONCATENATE("          ","6351"," - ","EQUIPMENT RENTAL")</f>
        <v xml:space="preserve">          6351 - EQUIPMENT RENTAL</v>
      </c>
      <c r="C61" s="9"/>
      <c r="D61" s="6">
        <v>7.08</v>
      </c>
      <c r="E61" s="3"/>
      <c r="F61" s="7">
        <f t="shared" si="8"/>
        <v>-1.2889319341989325E-3</v>
      </c>
      <c r="G61" s="3"/>
      <c r="H61" s="6">
        <v>295</v>
      </c>
      <c r="I61" s="3"/>
      <c r="J61" s="7">
        <f t="shared" si="9"/>
        <v>0</v>
      </c>
      <c r="K61" s="3"/>
      <c r="L61" s="6">
        <f t="shared" si="10"/>
        <v>-287.92</v>
      </c>
      <c r="M61" s="3"/>
      <c r="N61" s="7">
        <f t="shared" si="11"/>
        <v>-0.97600000000000009</v>
      </c>
      <c r="O61" s="9"/>
      <c r="P61" s="6">
        <v>3631.56</v>
      </c>
      <c r="Q61" s="3"/>
      <c r="R61" s="7">
        <f t="shared" si="12"/>
        <v>6.3700866138022587E-4</v>
      </c>
      <c r="S61" s="3"/>
      <c r="T61" s="6">
        <v>3540</v>
      </c>
      <c r="U61" s="3"/>
      <c r="V61" s="7">
        <f t="shared" si="13"/>
        <v>8.1267217630853999E-4</v>
      </c>
      <c r="W61" s="3"/>
      <c r="X61" s="6">
        <f t="shared" si="14"/>
        <v>91.559999999999945</v>
      </c>
      <c r="Y61" s="3"/>
      <c r="Z61" s="7">
        <f t="shared" si="15"/>
        <v>2.5864406779661002E-2</v>
      </c>
    </row>
    <row r="62" spans="1:26" s="69" customFormat="1" ht="15" customHeight="1" outlineLevel="1" collapsed="1" x14ac:dyDescent="0.3">
      <c r="A62" s="20"/>
      <c r="B62" s="11" t="str">
        <f>CONCATENATE("     ","General                                           ")</f>
        <v xml:space="preserve">     General                                           </v>
      </c>
      <c r="C62" s="11"/>
      <c r="D62" s="2">
        <f>SUM(OSRRefD22_9x_0)</f>
        <v>78.97</v>
      </c>
      <c r="E62" s="2"/>
      <c r="F62" s="5">
        <f t="shared" si="8"/>
        <v>-1.4376688537244307E-2</v>
      </c>
      <c r="G62" s="2"/>
      <c r="H62" s="2">
        <f>SUM(OSRRefH22_9x_0)</f>
        <v>190</v>
      </c>
      <c r="I62" s="2"/>
      <c r="J62" s="5">
        <f t="shared" si="9"/>
        <v>0</v>
      </c>
      <c r="K62" s="2"/>
      <c r="L62" s="2">
        <f t="shared" si="10"/>
        <v>-111.03</v>
      </c>
      <c r="M62" s="2"/>
      <c r="N62" s="5">
        <f t="shared" si="11"/>
        <v>-0.58436842105263154</v>
      </c>
      <c r="O62" s="11"/>
      <c r="P62" s="2">
        <f>SUM(OSRRefP22_9x_0)</f>
        <v>4139.59</v>
      </c>
      <c r="Q62" s="2"/>
      <c r="R62" s="5">
        <f t="shared" si="12"/>
        <v>7.2612174508006734E-4</v>
      </c>
      <c r="S62" s="2"/>
      <c r="T62" s="2">
        <f>SUM(OSRRefT22_9x_0)</f>
        <v>3800</v>
      </c>
      <c r="U62" s="2"/>
      <c r="V62" s="5">
        <f t="shared" si="13"/>
        <v>8.7235996326905422E-4</v>
      </c>
      <c r="W62" s="2"/>
      <c r="X62" s="2">
        <f t="shared" si="14"/>
        <v>339.59000000000015</v>
      </c>
      <c r="Y62" s="2"/>
      <c r="Z62" s="5">
        <f t="shared" si="15"/>
        <v>8.9365789473684246E-2</v>
      </c>
    </row>
    <row r="63" spans="1:26" s="70" customFormat="1" ht="15" hidden="1" customHeight="1" outlineLevel="2" x14ac:dyDescent="0.3">
      <c r="A63" s="21"/>
      <c r="B63" s="9" t="str">
        <f>CONCATENATE("          ","6279"," - ","GENERAL EXPENSE")</f>
        <v xml:space="preserve">          6279 - GENERAL EXPENSE</v>
      </c>
      <c r="C63" s="9"/>
      <c r="D63" s="6">
        <v>78.97</v>
      </c>
      <c r="E63" s="3"/>
      <c r="F63" s="7">
        <f t="shared" si="8"/>
        <v>-1.4376688537244307E-2</v>
      </c>
      <c r="G63" s="3"/>
      <c r="H63" s="6">
        <v>190</v>
      </c>
      <c r="I63" s="3"/>
      <c r="J63" s="7">
        <f t="shared" si="9"/>
        <v>0</v>
      </c>
      <c r="K63" s="3"/>
      <c r="L63" s="6">
        <f t="shared" si="10"/>
        <v>-111.03</v>
      </c>
      <c r="M63" s="3"/>
      <c r="N63" s="7">
        <f t="shared" si="11"/>
        <v>-0.58436842105263154</v>
      </c>
      <c r="O63" s="9"/>
      <c r="P63" s="6">
        <v>4139.59</v>
      </c>
      <c r="Q63" s="3"/>
      <c r="R63" s="7">
        <f t="shared" si="12"/>
        <v>7.2612174508006734E-4</v>
      </c>
      <c r="S63" s="3"/>
      <c r="T63" s="6">
        <v>3800</v>
      </c>
      <c r="U63" s="3"/>
      <c r="V63" s="7">
        <f t="shared" si="13"/>
        <v>8.7235996326905422E-4</v>
      </c>
      <c r="W63" s="3"/>
      <c r="X63" s="6">
        <f t="shared" si="14"/>
        <v>339.59000000000015</v>
      </c>
      <c r="Y63" s="3"/>
      <c r="Z63" s="7">
        <f t="shared" si="15"/>
        <v>8.9365789473684246E-2</v>
      </c>
    </row>
    <row r="64" spans="1:26" s="69" customFormat="1" ht="15" customHeight="1" outlineLevel="1" collapsed="1" x14ac:dyDescent="0.3">
      <c r="A64" s="20"/>
      <c r="B64" s="11" t="str">
        <f>CONCATENATE("     ","R/H Commissions                                   ")</f>
        <v xml:space="preserve">     R/H Commissions                                   </v>
      </c>
      <c r="C64" s="11"/>
      <c r="D64" s="2">
        <f>SUM(OSRRefD22_10x_0)</f>
        <v>-393.78</v>
      </c>
      <c r="E64" s="2"/>
      <c r="F64" s="5">
        <f t="shared" si="8"/>
        <v>7.1688646475827053E-2</v>
      </c>
      <c r="G64" s="2"/>
      <c r="H64" s="2">
        <f>SUM(OSRRefH22_10x_0)</f>
        <v>0</v>
      </c>
      <c r="I64" s="2"/>
      <c r="J64" s="5">
        <f t="shared" si="9"/>
        <v>0</v>
      </c>
      <c r="K64" s="2"/>
      <c r="L64" s="2">
        <f t="shared" si="10"/>
        <v>-393.78</v>
      </c>
      <c r="M64" s="2"/>
      <c r="N64" s="5">
        <f t="shared" si="11"/>
        <v>0</v>
      </c>
      <c r="O64" s="11"/>
      <c r="P64" s="2">
        <f>SUM(OSRRefP22_10x_0)</f>
        <v>450668.86</v>
      </c>
      <c r="Q64" s="2"/>
      <c r="R64" s="5">
        <f t="shared" si="12"/>
        <v>7.9051417912509345E-2</v>
      </c>
      <c r="S64" s="2"/>
      <c r="T64" s="2">
        <f>SUM(OSRRefT22_10x_0)</f>
        <v>342000</v>
      </c>
      <c r="U64" s="2"/>
      <c r="V64" s="5">
        <f t="shared" si="13"/>
        <v>7.8512396694214878E-2</v>
      </c>
      <c r="W64" s="2"/>
      <c r="X64" s="2">
        <f t="shared" si="14"/>
        <v>108668.85999999999</v>
      </c>
      <c r="Y64" s="2"/>
      <c r="Z64" s="5">
        <f t="shared" si="15"/>
        <v>0.31774520467836254</v>
      </c>
    </row>
    <row r="65" spans="1:26" s="70" customFormat="1" ht="15" hidden="1" customHeight="1" outlineLevel="2" x14ac:dyDescent="0.3">
      <c r="A65" s="21"/>
      <c r="B65" s="9" t="str">
        <f>CONCATENATE("          ","6387"," - ","COMMISSION DUE HOUSING")</f>
        <v xml:space="preserve">          6387 - COMMISSION DUE HOUSING</v>
      </c>
      <c r="C65" s="9"/>
      <c r="D65" s="6">
        <v>-393.78</v>
      </c>
      <c r="E65" s="3"/>
      <c r="F65" s="7">
        <f t="shared" si="8"/>
        <v>7.1688646475827053E-2</v>
      </c>
      <c r="G65" s="3"/>
      <c r="H65" s="6"/>
      <c r="I65" s="3"/>
      <c r="J65" s="7">
        <f t="shared" si="9"/>
        <v>0</v>
      </c>
      <c r="K65" s="3"/>
      <c r="L65" s="6">
        <f t="shared" si="10"/>
        <v>-393.78</v>
      </c>
      <c r="M65" s="3"/>
      <c r="N65" s="7">
        <f t="shared" si="11"/>
        <v>0</v>
      </c>
      <c r="O65" s="9"/>
      <c r="P65" s="6">
        <v>450668.86</v>
      </c>
      <c r="Q65" s="3"/>
      <c r="R65" s="7">
        <f t="shared" si="12"/>
        <v>7.9051417912509345E-2</v>
      </c>
      <c r="S65" s="3"/>
      <c r="T65" s="6">
        <v>342000</v>
      </c>
      <c r="U65" s="3"/>
      <c r="V65" s="7">
        <f t="shared" si="13"/>
        <v>7.8512396694214878E-2</v>
      </c>
      <c r="W65" s="3"/>
      <c r="X65" s="6">
        <f t="shared" si="14"/>
        <v>108668.85999999999</v>
      </c>
      <c r="Y65" s="3"/>
      <c r="Z65" s="7">
        <f t="shared" si="15"/>
        <v>0.31774520467836254</v>
      </c>
    </row>
    <row r="66" spans="1:26" s="69" customFormat="1" ht="15" customHeight="1" outlineLevel="1" collapsed="1" x14ac:dyDescent="0.3">
      <c r="A66" s="20"/>
      <c r="B66" s="11" t="str">
        <f>CONCATENATE("     ","Repair and Maintenance                            ")</f>
        <v xml:space="preserve">     Repair and Maintenance                            </v>
      </c>
      <c r="C66" s="11"/>
      <c r="D66" s="2">
        <f>SUM(OSRRefD22_11x_0)</f>
        <v>84.84</v>
      </c>
      <c r="E66" s="2"/>
      <c r="F66" s="5">
        <f t="shared" si="8"/>
        <v>-1.5445336906417716E-2</v>
      </c>
      <c r="G66" s="2"/>
      <c r="H66" s="2">
        <f>SUM(OSRRefH22_11x_0)</f>
        <v>200</v>
      </c>
      <c r="I66" s="2"/>
      <c r="J66" s="5">
        <f t="shared" si="9"/>
        <v>0</v>
      </c>
      <c r="K66" s="2"/>
      <c r="L66" s="2">
        <f t="shared" si="10"/>
        <v>-115.16</v>
      </c>
      <c r="M66" s="2"/>
      <c r="N66" s="5">
        <f t="shared" si="11"/>
        <v>-0.57579999999999998</v>
      </c>
      <c r="O66" s="11"/>
      <c r="P66" s="2">
        <f>SUM(OSRRefP22_11x_0)</f>
        <v>6175.2800000000007</v>
      </c>
      <c r="Q66" s="2"/>
      <c r="R66" s="5">
        <f t="shared" si="12"/>
        <v>1.0832002903567838E-3</v>
      </c>
      <c r="S66" s="2"/>
      <c r="T66" s="2">
        <f>SUM(OSRRefT22_11x_0)</f>
        <v>8400</v>
      </c>
      <c r="U66" s="2"/>
      <c r="V66" s="5">
        <f t="shared" si="13"/>
        <v>1.928374655647383E-3</v>
      </c>
      <c r="W66" s="2"/>
      <c r="X66" s="2">
        <f t="shared" si="14"/>
        <v>-2224.7199999999993</v>
      </c>
      <c r="Y66" s="2"/>
      <c r="Z66" s="5">
        <f t="shared" si="15"/>
        <v>-0.26484761904761894</v>
      </c>
    </row>
    <row r="67" spans="1:26" s="70" customFormat="1" ht="15" hidden="1" customHeight="1" outlineLevel="2" x14ac:dyDescent="0.3">
      <c r="A67" s="21"/>
      <c r="B67" s="9" t="str">
        <f>CONCATENATE("          ","6373"," - ","MAINTENANCE CONTRACTS")</f>
        <v xml:space="preserve">          6373 - MAINTENANCE CONTRACTS</v>
      </c>
      <c r="C67" s="9"/>
      <c r="D67" s="6">
        <v>84.84</v>
      </c>
      <c r="E67" s="3"/>
      <c r="F67" s="7">
        <f t="shared" si="8"/>
        <v>-1.5445336906417716E-2</v>
      </c>
      <c r="G67" s="3"/>
      <c r="H67" s="6"/>
      <c r="I67" s="3"/>
      <c r="J67" s="7">
        <f t="shared" si="9"/>
        <v>0</v>
      </c>
      <c r="K67" s="3"/>
      <c r="L67" s="6">
        <f t="shared" si="10"/>
        <v>84.84</v>
      </c>
      <c r="M67" s="3"/>
      <c r="N67" s="7">
        <f t="shared" si="11"/>
        <v>0</v>
      </c>
      <c r="O67" s="9"/>
      <c r="P67" s="6">
        <v>4077.25</v>
      </c>
      <c r="Q67" s="3"/>
      <c r="R67" s="7">
        <f t="shared" si="12"/>
        <v>7.1518674195456661E-4</v>
      </c>
      <c r="S67" s="3"/>
      <c r="T67" s="6">
        <v>6000</v>
      </c>
      <c r="U67" s="3"/>
      <c r="V67" s="7">
        <f t="shared" si="13"/>
        <v>1.3774104683195593E-3</v>
      </c>
      <c r="W67" s="3"/>
      <c r="X67" s="6">
        <f t="shared" si="14"/>
        <v>-1922.75</v>
      </c>
      <c r="Y67" s="3"/>
      <c r="Z67" s="7">
        <f t="shared" si="15"/>
        <v>-0.32045833333333335</v>
      </c>
    </row>
    <row r="68" spans="1:26" s="70" customFormat="1" ht="15" hidden="1" customHeight="1" outlineLevel="2" x14ac:dyDescent="0.3">
      <c r="A68" s="21"/>
      <c r="B68" s="9" t="str">
        <f>CONCATENATE("          ","6375"," - ","OUTSIDE REPAIRS &amp; MAINTENANCE")</f>
        <v xml:space="preserve">          6375 - OUTSIDE REPAIRS &amp; MAINTENANCE</v>
      </c>
      <c r="C68" s="9"/>
      <c r="D68" s="6"/>
      <c r="E68" s="3"/>
      <c r="F68" s="7">
        <f t="shared" si="8"/>
        <v>0</v>
      </c>
      <c r="G68" s="3"/>
      <c r="H68" s="6">
        <v>200</v>
      </c>
      <c r="I68" s="3"/>
      <c r="J68" s="7">
        <f t="shared" si="9"/>
        <v>0</v>
      </c>
      <c r="K68" s="3"/>
      <c r="L68" s="6">
        <f t="shared" si="10"/>
        <v>-200</v>
      </c>
      <c r="M68" s="3"/>
      <c r="N68" s="7">
        <f t="shared" si="11"/>
        <v>-1</v>
      </c>
      <c r="O68" s="9"/>
      <c r="P68" s="6">
        <v>2098.0300000000002</v>
      </c>
      <c r="Q68" s="3"/>
      <c r="R68" s="7">
        <f t="shared" si="12"/>
        <v>3.6801354840221707E-4</v>
      </c>
      <c r="S68" s="3"/>
      <c r="T68" s="6">
        <v>2400</v>
      </c>
      <c r="U68" s="3"/>
      <c r="V68" s="7">
        <f t="shared" si="13"/>
        <v>5.5096418732782364E-4</v>
      </c>
      <c r="W68" s="3"/>
      <c r="X68" s="6">
        <f t="shared" si="14"/>
        <v>-301.9699999999998</v>
      </c>
      <c r="Y68" s="3"/>
      <c r="Z68" s="7">
        <f t="shared" si="15"/>
        <v>-0.12582083333333324</v>
      </c>
    </row>
    <row r="69" spans="1:26" s="69" customFormat="1" ht="15" customHeight="1" outlineLevel="1" collapsed="1" x14ac:dyDescent="0.3">
      <c r="A69" s="20"/>
      <c r="B69" s="11" t="str">
        <f>CONCATENATE("     ","Services                                          ")</f>
        <v xml:space="preserve">     Services                                          </v>
      </c>
      <c r="C69" s="11"/>
      <c r="D69" s="2">
        <f>SUM(OSRRefD22_12x_0)</f>
        <v>459.25</v>
      </c>
      <c r="E69" s="2"/>
      <c r="F69" s="5">
        <f t="shared" si="8"/>
        <v>-8.3607625816505604E-2</v>
      </c>
      <c r="G69" s="2"/>
      <c r="H69" s="2">
        <f>SUM(OSRRefH22_12x_0)</f>
        <v>7418</v>
      </c>
      <c r="I69" s="2"/>
      <c r="J69" s="5">
        <f t="shared" si="9"/>
        <v>0</v>
      </c>
      <c r="K69" s="2"/>
      <c r="L69" s="2">
        <f t="shared" si="10"/>
        <v>-6958.75</v>
      </c>
      <c r="M69" s="2"/>
      <c r="N69" s="5">
        <f t="shared" si="11"/>
        <v>-0.93808978161229439</v>
      </c>
      <c r="O69" s="11"/>
      <c r="P69" s="2">
        <f>SUM(OSRRefP22_12x_0)</f>
        <v>71808.460000000006</v>
      </c>
      <c r="Q69" s="2"/>
      <c r="R69" s="5">
        <f t="shared" si="12"/>
        <v>1.2595857146894309E-2</v>
      </c>
      <c r="S69" s="2"/>
      <c r="T69" s="2">
        <f>SUM(OSRRefT22_12x_0)</f>
        <v>87428</v>
      </c>
      <c r="U69" s="2"/>
      <c r="V69" s="5">
        <f t="shared" si="13"/>
        <v>2.0070707070707072E-2</v>
      </c>
      <c r="W69" s="2"/>
      <c r="X69" s="2">
        <f t="shared" si="14"/>
        <v>-15619.539999999994</v>
      </c>
      <c r="Y69" s="2"/>
      <c r="Z69" s="5">
        <f t="shared" si="15"/>
        <v>-0.1786560369675618</v>
      </c>
    </row>
    <row r="70" spans="1:26" s="70" customFormat="1" ht="15" hidden="1" customHeight="1" outlineLevel="2" x14ac:dyDescent="0.3">
      <c r="A70" s="21"/>
      <c r="B70" s="9" t="str">
        <f>CONCATENATE("          ","6282"," - ","JANITORIAL/EXTERMINATOR EXPENS")</f>
        <v xml:space="preserve">          6282 - JANITORIAL/EXTERMINATOR EXPENS</v>
      </c>
      <c r="C70" s="9"/>
      <c r="D70" s="6">
        <v>459.25</v>
      </c>
      <c r="E70" s="3"/>
      <c r="F70" s="7">
        <f t="shared" si="8"/>
        <v>-8.3607625816505604E-2</v>
      </c>
      <c r="G70" s="3"/>
      <c r="H70" s="6">
        <v>450</v>
      </c>
      <c r="I70" s="3"/>
      <c r="J70" s="7">
        <f t="shared" si="9"/>
        <v>0</v>
      </c>
      <c r="K70" s="3"/>
      <c r="L70" s="6">
        <f t="shared" si="10"/>
        <v>9.25</v>
      </c>
      <c r="M70" s="3"/>
      <c r="N70" s="7">
        <f t="shared" si="11"/>
        <v>2.0555555555555556E-2</v>
      </c>
      <c r="O70" s="9"/>
      <c r="P70" s="6">
        <v>6414.55</v>
      </c>
      <c r="Q70" s="3"/>
      <c r="R70" s="7">
        <f t="shared" si="12"/>
        <v>1.1251704250670588E-3</v>
      </c>
      <c r="S70" s="3"/>
      <c r="T70" s="6">
        <v>5400</v>
      </c>
      <c r="U70" s="3"/>
      <c r="V70" s="7">
        <f t="shared" si="13"/>
        <v>1.2396694214876034E-3</v>
      </c>
      <c r="W70" s="3"/>
      <c r="X70" s="6">
        <f t="shared" si="14"/>
        <v>1014.5500000000002</v>
      </c>
      <c r="Y70" s="3"/>
      <c r="Z70" s="7">
        <f t="shared" si="15"/>
        <v>0.18787962962962967</v>
      </c>
    </row>
    <row r="71" spans="1:26" s="70" customFormat="1" ht="15" hidden="1" customHeight="1" outlineLevel="2" x14ac:dyDescent="0.3">
      <c r="A71" s="21"/>
      <c r="B71" s="9" t="str">
        <f>CONCATENATE("          ","6284"," - ","TRASH REMOVAL EXPENSE")</f>
        <v xml:space="preserve">          6284 - TRASH REMOVAL EXPENSE</v>
      </c>
      <c r="C71" s="9"/>
      <c r="D71" s="6"/>
      <c r="E71" s="3"/>
      <c r="F71" s="7">
        <f t="shared" si="8"/>
        <v>0</v>
      </c>
      <c r="G71" s="3"/>
      <c r="H71" s="6">
        <v>50</v>
      </c>
      <c r="I71" s="3"/>
      <c r="J71" s="7">
        <f t="shared" si="9"/>
        <v>0</v>
      </c>
      <c r="K71" s="3"/>
      <c r="L71" s="6">
        <f t="shared" si="10"/>
        <v>-50</v>
      </c>
      <c r="M71" s="3"/>
      <c r="N71" s="7">
        <f t="shared" si="11"/>
        <v>-1</v>
      </c>
      <c r="O71" s="9"/>
      <c r="P71" s="6"/>
      <c r="Q71" s="3"/>
      <c r="R71" s="7">
        <f t="shared" si="12"/>
        <v>0</v>
      </c>
      <c r="S71" s="3"/>
      <c r="T71" s="6">
        <v>600</v>
      </c>
      <c r="U71" s="3"/>
      <c r="V71" s="7">
        <f t="shared" si="13"/>
        <v>1.3774104683195591E-4</v>
      </c>
      <c r="W71" s="3"/>
      <c r="X71" s="6">
        <f t="shared" si="14"/>
        <v>-600</v>
      </c>
      <c r="Y71" s="3"/>
      <c r="Z71" s="7">
        <f t="shared" si="15"/>
        <v>-1</v>
      </c>
    </row>
    <row r="72" spans="1:26" s="70" customFormat="1" ht="15" hidden="1" customHeight="1" outlineLevel="2" x14ac:dyDescent="0.3">
      <c r="A72" s="21"/>
      <c r="B72" s="9" t="str">
        <f>CONCATENATE("          ","6285"," - ","JANITORIAL SERVICES")</f>
        <v xml:space="preserve">          6285 - JANITORIAL SERVICES</v>
      </c>
      <c r="C72" s="9"/>
      <c r="D72" s="6"/>
      <c r="E72" s="3"/>
      <c r="F72" s="7">
        <f t="shared" si="8"/>
        <v>0</v>
      </c>
      <c r="G72" s="3"/>
      <c r="H72" s="6">
        <v>5255</v>
      </c>
      <c r="I72" s="3"/>
      <c r="J72" s="7">
        <f t="shared" si="9"/>
        <v>0</v>
      </c>
      <c r="K72" s="3"/>
      <c r="L72" s="6">
        <f t="shared" si="10"/>
        <v>-5255</v>
      </c>
      <c r="M72" s="3"/>
      <c r="N72" s="7">
        <f t="shared" si="11"/>
        <v>-1</v>
      </c>
      <c r="O72" s="9"/>
      <c r="P72" s="6">
        <v>51454.46</v>
      </c>
      <c r="Q72" s="3"/>
      <c r="R72" s="7">
        <f t="shared" si="12"/>
        <v>9.0255803805093064E-3</v>
      </c>
      <c r="S72" s="3"/>
      <c r="T72" s="6">
        <v>61428</v>
      </c>
      <c r="U72" s="3"/>
      <c r="V72" s="7">
        <f t="shared" si="13"/>
        <v>1.4101928374655648E-2</v>
      </c>
      <c r="W72" s="3"/>
      <c r="X72" s="6">
        <f t="shared" si="14"/>
        <v>-9973.5400000000009</v>
      </c>
      <c r="Y72" s="3"/>
      <c r="Z72" s="7">
        <f t="shared" si="15"/>
        <v>-0.1623614638275705</v>
      </c>
    </row>
    <row r="73" spans="1:26" s="70" customFormat="1" ht="15" hidden="1" customHeight="1" outlineLevel="2" x14ac:dyDescent="0.3">
      <c r="A73" s="21"/>
      <c r="B73" s="9" t="str">
        <f>CONCATENATE("          ","6286"," - ","LAUNDRY EXPENSE")</f>
        <v xml:space="preserve">          6286 - LAUNDRY EXPENSE</v>
      </c>
      <c r="C73" s="9"/>
      <c r="D73" s="6"/>
      <c r="E73" s="3"/>
      <c r="F73" s="7">
        <f t="shared" si="8"/>
        <v>0</v>
      </c>
      <c r="G73" s="3"/>
      <c r="H73" s="6">
        <v>1663</v>
      </c>
      <c r="I73" s="3"/>
      <c r="J73" s="7">
        <f t="shared" si="9"/>
        <v>0</v>
      </c>
      <c r="K73" s="3"/>
      <c r="L73" s="6">
        <f t="shared" si="10"/>
        <v>-1663</v>
      </c>
      <c r="M73" s="3"/>
      <c r="N73" s="7">
        <f t="shared" si="11"/>
        <v>-1</v>
      </c>
      <c r="O73" s="9"/>
      <c r="P73" s="6">
        <v>13939.45</v>
      </c>
      <c r="Q73" s="3"/>
      <c r="R73" s="7">
        <f t="shared" si="12"/>
        <v>2.4451063413179434E-3</v>
      </c>
      <c r="S73" s="3"/>
      <c r="T73" s="6">
        <v>20000</v>
      </c>
      <c r="U73" s="3"/>
      <c r="V73" s="7">
        <f t="shared" si="13"/>
        <v>4.5913682277318639E-3</v>
      </c>
      <c r="W73" s="3"/>
      <c r="X73" s="6">
        <f t="shared" si="14"/>
        <v>-6060.5499999999993</v>
      </c>
      <c r="Y73" s="3"/>
      <c r="Z73" s="7">
        <f t="shared" si="15"/>
        <v>-0.30302749999999995</v>
      </c>
    </row>
    <row r="74" spans="1:26" s="69" customFormat="1" ht="15" customHeight="1" outlineLevel="1" collapsed="1" x14ac:dyDescent="0.3">
      <c r="A74" s="20"/>
      <c r="B74" s="11" t="str">
        <f>CONCATENATE("     ","Subscriptions &amp; Dues                              ")</f>
        <v xml:space="preserve">     Subscriptions &amp; Dues                              </v>
      </c>
      <c r="C74" s="11"/>
      <c r="D74" s="2">
        <f>SUM(OSRRefD22_13x_0)</f>
        <v>0</v>
      </c>
      <c r="E74" s="2"/>
      <c r="F74" s="5">
        <f t="shared" si="8"/>
        <v>0</v>
      </c>
      <c r="G74" s="2"/>
      <c r="H74" s="2">
        <f>SUM(OSRRefH22_13x_0)</f>
        <v>0</v>
      </c>
      <c r="I74" s="2"/>
      <c r="J74" s="5">
        <f t="shared" si="9"/>
        <v>0</v>
      </c>
      <c r="K74" s="2"/>
      <c r="L74" s="2">
        <f t="shared" si="10"/>
        <v>0</v>
      </c>
      <c r="M74" s="2"/>
      <c r="N74" s="5">
        <f t="shared" si="11"/>
        <v>0</v>
      </c>
      <c r="O74" s="11"/>
      <c r="P74" s="2">
        <f>SUM(OSRRefP22_13x_0)</f>
        <v>0</v>
      </c>
      <c r="Q74" s="2"/>
      <c r="R74" s="5">
        <f t="shared" si="12"/>
        <v>0</v>
      </c>
      <c r="S74" s="2"/>
      <c r="T74" s="2">
        <f>SUM(OSRRefT22_13x_0)</f>
        <v>795</v>
      </c>
      <c r="U74" s="2"/>
      <c r="V74" s="5">
        <f t="shared" si="13"/>
        <v>1.8250688705234161E-4</v>
      </c>
      <c r="W74" s="2"/>
      <c r="X74" s="2">
        <f t="shared" si="14"/>
        <v>-795</v>
      </c>
      <c r="Y74" s="2"/>
      <c r="Z74" s="5">
        <f t="shared" si="15"/>
        <v>-1</v>
      </c>
    </row>
    <row r="75" spans="1:26" s="70" customFormat="1" ht="15" hidden="1" customHeight="1" outlineLevel="2" x14ac:dyDescent="0.3">
      <c r="A75" s="21"/>
      <c r="B75" s="9" t="str">
        <f>CONCATENATE("          ","6258"," - ","MEMBERSHIP DUES")</f>
        <v xml:space="preserve">          6258 - MEMBERSHIP DUES</v>
      </c>
      <c r="C75" s="9"/>
      <c r="D75" s="6"/>
      <c r="E75" s="3"/>
      <c r="F75" s="7">
        <f t="shared" si="8"/>
        <v>0</v>
      </c>
      <c r="G75" s="3"/>
      <c r="H75" s="6"/>
      <c r="I75" s="3"/>
      <c r="J75" s="7">
        <f t="shared" si="9"/>
        <v>0</v>
      </c>
      <c r="K75" s="3"/>
      <c r="L75" s="6">
        <f t="shared" si="10"/>
        <v>0</v>
      </c>
      <c r="M75" s="3"/>
      <c r="N75" s="7">
        <f t="shared" si="11"/>
        <v>0</v>
      </c>
      <c r="O75" s="9"/>
      <c r="P75" s="6"/>
      <c r="Q75" s="3"/>
      <c r="R75" s="7">
        <f t="shared" si="12"/>
        <v>0</v>
      </c>
      <c r="S75" s="3"/>
      <c r="T75" s="6">
        <v>795</v>
      </c>
      <c r="U75" s="3"/>
      <c r="V75" s="7">
        <f t="shared" si="13"/>
        <v>1.8250688705234161E-4</v>
      </c>
      <c r="W75" s="3"/>
      <c r="X75" s="6">
        <f t="shared" si="14"/>
        <v>-795</v>
      </c>
      <c r="Y75" s="3"/>
      <c r="Z75" s="7">
        <f t="shared" si="15"/>
        <v>-1</v>
      </c>
    </row>
    <row r="76" spans="1:26" s="69" customFormat="1" ht="15" customHeight="1" outlineLevel="1" collapsed="1" x14ac:dyDescent="0.3">
      <c r="A76" s="20"/>
      <c r="B76" s="11" t="str">
        <f>CONCATENATE("     ","Supplies                                          ")</f>
        <v xml:space="preserve">     Supplies                                          </v>
      </c>
      <c r="C76" s="11"/>
      <c r="D76" s="2">
        <f>SUM(OSRRefD22_14x_0)</f>
        <v>546.87</v>
      </c>
      <c r="E76" s="2"/>
      <c r="F76" s="5">
        <f t="shared" si="8"/>
        <v>-9.9559068764882797E-2</v>
      </c>
      <c r="G76" s="2"/>
      <c r="H76" s="2">
        <f>SUM(OSRRefH22_14x_0)</f>
        <v>13064</v>
      </c>
      <c r="I76" s="2"/>
      <c r="J76" s="5">
        <f t="shared" si="9"/>
        <v>0</v>
      </c>
      <c r="K76" s="2"/>
      <c r="L76" s="2">
        <f t="shared" si="10"/>
        <v>-12517.13</v>
      </c>
      <c r="M76" s="2"/>
      <c r="N76" s="5">
        <f t="shared" si="11"/>
        <v>-0.95813916105327612</v>
      </c>
      <c r="O76" s="11"/>
      <c r="P76" s="2">
        <f>SUM(OSRRefP22_14x_0)</f>
        <v>145485.5</v>
      </c>
      <c r="Q76" s="2"/>
      <c r="R76" s="5">
        <f t="shared" si="12"/>
        <v>2.5519480224816017E-2</v>
      </c>
      <c r="S76" s="2"/>
      <c r="T76" s="2">
        <f>SUM(OSRRefT22_14x_0)</f>
        <v>156790</v>
      </c>
      <c r="U76" s="2"/>
      <c r="V76" s="5">
        <f t="shared" si="13"/>
        <v>3.599403122130395E-2</v>
      </c>
      <c r="W76" s="2"/>
      <c r="X76" s="2">
        <f t="shared" si="14"/>
        <v>-11304.5</v>
      </c>
      <c r="Y76" s="2"/>
      <c r="Z76" s="5">
        <f t="shared" si="15"/>
        <v>-7.2099623700491097E-2</v>
      </c>
    </row>
    <row r="77" spans="1:26" s="70" customFormat="1" ht="15" hidden="1" customHeight="1" outlineLevel="2" x14ac:dyDescent="0.3">
      <c r="A77" s="21"/>
      <c r="B77" s="9" t="str">
        <f>CONCATENATE("          ","6234"," - ","EXPENDABLE SUPPLIES &amp; EQUIPMEN")</f>
        <v xml:space="preserve">          6234 - EXPENDABLE SUPPLIES &amp; EQUIPMEN</v>
      </c>
      <c r="C77" s="9"/>
      <c r="D77" s="6"/>
      <c r="E77" s="3"/>
      <c r="F77" s="7">
        <f t="shared" si="8"/>
        <v>0</v>
      </c>
      <c r="G77" s="3"/>
      <c r="H77" s="6"/>
      <c r="I77" s="3"/>
      <c r="J77" s="7">
        <f t="shared" si="9"/>
        <v>0</v>
      </c>
      <c r="K77" s="3"/>
      <c r="L77" s="6">
        <f t="shared" si="10"/>
        <v>0</v>
      </c>
      <c r="M77" s="3"/>
      <c r="N77" s="7">
        <f t="shared" si="11"/>
        <v>0</v>
      </c>
      <c r="O77" s="9"/>
      <c r="P77" s="6">
        <v>315</v>
      </c>
      <c r="Q77" s="3"/>
      <c r="R77" s="7">
        <f t="shared" si="12"/>
        <v>5.5253865648583848E-5</v>
      </c>
      <c r="S77" s="3"/>
      <c r="T77" s="6"/>
      <c r="U77" s="3"/>
      <c r="V77" s="7">
        <f t="shared" si="13"/>
        <v>0</v>
      </c>
      <c r="W77" s="3"/>
      <c r="X77" s="6">
        <f t="shared" si="14"/>
        <v>315</v>
      </c>
      <c r="Y77" s="3"/>
      <c r="Z77" s="7">
        <f t="shared" si="15"/>
        <v>0</v>
      </c>
    </row>
    <row r="78" spans="1:26" s="70" customFormat="1" ht="15" hidden="1" customHeight="1" outlineLevel="2" x14ac:dyDescent="0.3">
      <c r="A78" s="21"/>
      <c r="B78" s="9" t="str">
        <f>CONCATENATE("          ","6235"," - ","COVID-19 EXPENSES")</f>
        <v xml:space="preserve">          6235 - COVID-19 EXPENSES</v>
      </c>
      <c r="C78" s="9"/>
      <c r="D78" s="6"/>
      <c r="E78" s="3"/>
      <c r="F78" s="7">
        <f t="shared" si="8"/>
        <v>0</v>
      </c>
      <c r="G78" s="3"/>
      <c r="H78" s="6"/>
      <c r="I78" s="3"/>
      <c r="J78" s="7">
        <f t="shared" si="9"/>
        <v>0</v>
      </c>
      <c r="K78" s="3"/>
      <c r="L78" s="6">
        <f t="shared" si="10"/>
        <v>0</v>
      </c>
      <c r="M78" s="3"/>
      <c r="N78" s="7">
        <f t="shared" si="11"/>
        <v>0</v>
      </c>
      <c r="O78" s="9"/>
      <c r="P78" s="6">
        <v>158.76</v>
      </c>
      <c r="Q78" s="3"/>
      <c r="R78" s="7">
        <f t="shared" si="12"/>
        <v>2.7847948286886257E-5</v>
      </c>
      <c r="S78" s="3"/>
      <c r="T78" s="6"/>
      <c r="U78" s="3"/>
      <c r="V78" s="7">
        <f t="shared" si="13"/>
        <v>0</v>
      </c>
      <c r="W78" s="3"/>
      <c r="X78" s="6">
        <f t="shared" si="14"/>
        <v>158.76</v>
      </c>
      <c r="Y78" s="3"/>
      <c r="Z78" s="7">
        <f t="shared" si="15"/>
        <v>0</v>
      </c>
    </row>
    <row r="79" spans="1:26" s="70" customFormat="1" ht="15" hidden="1" customHeight="1" outlineLevel="2" x14ac:dyDescent="0.3">
      <c r="A79" s="21"/>
      <c r="B79" s="9" t="str">
        <f>CONCATENATE("          ","6237"," - ","JANITORIAL SUPPLIES")</f>
        <v xml:space="preserve">          6237 - JANITORIAL SUPPLIES</v>
      </c>
      <c r="C79" s="9"/>
      <c r="D79" s="6">
        <v>-71.5</v>
      </c>
      <c r="E79" s="3"/>
      <c r="F79" s="7">
        <f t="shared" si="8"/>
        <v>1.3016756115144586E-2</v>
      </c>
      <c r="G79" s="3"/>
      <c r="H79" s="6">
        <v>3750</v>
      </c>
      <c r="I79" s="3"/>
      <c r="J79" s="7">
        <f t="shared" si="9"/>
        <v>0</v>
      </c>
      <c r="K79" s="3"/>
      <c r="L79" s="6">
        <f t="shared" si="10"/>
        <v>-3821.5</v>
      </c>
      <c r="M79" s="3"/>
      <c r="N79" s="7">
        <f t="shared" si="11"/>
        <v>-1.0190666666666666</v>
      </c>
      <c r="O79" s="9"/>
      <c r="P79" s="6">
        <v>29780.73</v>
      </c>
      <c r="Q79" s="3"/>
      <c r="R79" s="7">
        <f t="shared" si="12"/>
        <v>5.2238109661484145E-3</v>
      </c>
      <c r="S79" s="3"/>
      <c r="T79" s="6">
        <v>45000</v>
      </c>
      <c r="U79" s="3"/>
      <c r="V79" s="7">
        <f t="shared" si="13"/>
        <v>1.0330578512396695E-2</v>
      </c>
      <c r="W79" s="3"/>
      <c r="X79" s="6">
        <f t="shared" si="14"/>
        <v>-15219.27</v>
      </c>
      <c r="Y79" s="3"/>
      <c r="Z79" s="7">
        <f t="shared" si="15"/>
        <v>-0.33820600000000001</v>
      </c>
    </row>
    <row r="80" spans="1:26" s="70" customFormat="1" ht="15" hidden="1" customHeight="1" outlineLevel="2" x14ac:dyDescent="0.3">
      <c r="A80" s="21"/>
      <c r="B80" s="9" t="str">
        <f>CONCATENATE("          ","6239"," - ","KITCHEN SUPPLIES")</f>
        <v xml:space="preserve">          6239 - KITCHEN SUPPLIES</v>
      </c>
      <c r="C80" s="9"/>
      <c r="D80" s="6"/>
      <c r="E80" s="3"/>
      <c r="F80" s="7">
        <f t="shared" si="8"/>
        <v>0</v>
      </c>
      <c r="G80" s="3"/>
      <c r="H80" s="6">
        <v>1800</v>
      </c>
      <c r="I80" s="3"/>
      <c r="J80" s="7">
        <f t="shared" si="9"/>
        <v>0</v>
      </c>
      <c r="K80" s="3"/>
      <c r="L80" s="6">
        <f t="shared" si="10"/>
        <v>-1800</v>
      </c>
      <c r="M80" s="3"/>
      <c r="N80" s="7">
        <f t="shared" si="11"/>
        <v>-1</v>
      </c>
      <c r="O80" s="9"/>
      <c r="P80" s="6">
        <v>10926.64</v>
      </c>
      <c r="Q80" s="3"/>
      <c r="R80" s="7">
        <f t="shared" si="12"/>
        <v>1.9166320588902927E-3</v>
      </c>
      <c r="S80" s="3"/>
      <c r="T80" s="6">
        <v>21600</v>
      </c>
      <c r="U80" s="3"/>
      <c r="V80" s="7">
        <f t="shared" si="13"/>
        <v>4.9586776859504135E-3</v>
      </c>
      <c r="W80" s="3"/>
      <c r="X80" s="6">
        <f t="shared" si="14"/>
        <v>-10673.36</v>
      </c>
      <c r="Y80" s="3"/>
      <c r="Z80" s="7">
        <f t="shared" si="15"/>
        <v>-0.49413703703703704</v>
      </c>
    </row>
    <row r="81" spans="1:26" s="70" customFormat="1" ht="15" hidden="1" customHeight="1" outlineLevel="2" x14ac:dyDescent="0.3">
      <c r="A81" s="21"/>
      <c r="B81" s="9" t="str">
        <f>CONCATENATE("          ","6241"," - ","OFFICE EXPENSE")</f>
        <v xml:space="preserve">          6241 - OFFICE EXPENSE</v>
      </c>
      <c r="C81" s="9"/>
      <c r="D81" s="6"/>
      <c r="E81" s="3"/>
      <c r="F81" s="7">
        <f t="shared" si="8"/>
        <v>0</v>
      </c>
      <c r="G81" s="3"/>
      <c r="H81" s="6">
        <v>820</v>
      </c>
      <c r="I81" s="3"/>
      <c r="J81" s="7">
        <f t="shared" si="9"/>
        <v>0</v>
      </c>
      <c r="K81" s="3"/>
      <c r="L81" s="6">
        <f t="shared" si="10"/>
        <v>-820</v>
      </c>
      <c r="M81" s="3"/>
      <c r="N81" s="7">
        <f t="shared" si="11"/>
        <v>-1</v>
      </c>
      <c r="O81" s="9"/>
      <c r="P81" s="6">
        <v>4075.31</v>
      </c>
      <c r="Q81" s="3"/>
      <c r="R81" s="7">
        <f t="shared" si="12"/>
        <v>7.1484644830581033E-4</v>
      </c>
      <c r="S81" s="3"/>
      <c r="T81" s="6">
        <v>9840</v>
      </c>
      <c r="U81" s="3"/>
      <c r="V81" s="7">
        <f t="shared" si="13"/>
        <v>2.2589531680440771E-3</v>
      </c>
      <c r="W81" s="3"/>
      <c r="X81" s="6">
        <f t="shared" si="14"/>
        <v>-5764.6900000000005</v>
      </c>
      <c r="Y81" s="3"/>
      <c r="Z81" s="7">
        <f t="shared" si="15"/>
        <v>-0.58584247967479675</v>
      </c>
    </row>
    <row r="82" spans="1:26" s="70" customFormat="1" ht="15" hidden="1" customHeight="1" outlineLevel="2" x14ac:dyDescent="0.3">
      <c r="A82" s="21"/>
      <c r="B82" s="9" t="str">
        <f>CONCATENATE("          ","6243"," - ","PAPER SUPPLIES")</f>
        <v xml:space="preserve">          6243 - PAPER SUPPLIES</v>
      </c>
      <c r="C82" s="9"/>
      <c r="D82" s="6">
        <v>618.37</v>
      </c>
      <c r="E82" s="3"/>
      <c r="F82" s="7">
        <f t="shared" si="8"/>
        <v>-0.11257582488002738</v>
      </c>
      <c r="G82" s="3"/>
      <c r="H82" s="6">
        <v>6300</v>
      </c>
      <c r="I82" s="3"/>
      <c r="J82" s="7">
        <f t="shared" si="9"/>
        <v>0</v>
      </c>
      <c r="K82" s="3"/>
      <c r="L82" s="6">
        <f t="shared" si="10"/>
        <v>-5681.63</v>
      </c>
      <c r="M82" s="3"/>
      <c r="N82" s="7">
        <f t="shared" si="11"/>
        <v>-0.90184603174603173</v>
      </c>
      <c r="O82" s="9"/>
      <c r="P82" s="6">
        <v>96966.98</v>
      </c>
      <c r="Q82" s="3"/>
      <c r="R82" s="7">
        <f t="shared" si="12"/>
        <v>1.7008890429425133E-2</v>
      </c>
      <c r="S82" s="3"/>
      <c r="T82" s="6">
        <v>75600</v>
      </c>
      <c r="U82" s="3"/>
      <c r="V82" s="7">
        <f t="shared" si="13"/>
        <v>1.7355371900826446E-2</v>
      </c>
      <c r="W82" s="3"/>
      <c r="X82" s="6">
        <f t="shared" si="14"/>
        <v>21366.979999999996</v>
      </c>
      <c r="Y82" s="3"/>
      <c r="Z82" s="7">
        <f t="shared" si="15"/>
        <v>0.28263201058201054</v>
      </c>
    </row>
    <row r="83" spans="1:26" s="70" customFormat="1" ht="15" hidden="1" customHeight="1" outlineLevel="2" x14ac:dyDescent="0.3">
      <c r="A83" s="21"/>
      <c r="B83" s="9" t="str">
        <f>CONCATENATE("          ","6244"," - ","SAFETY SUPPLY EXPENSE")</f>
        <v xml:space="preserve">          6244 - SAFETY SUPPLY EXPENSE</v>
      </c>
      <c r="C83" s="9"/>
      <c r="D83" s="6"/>
      <c r="E83" s="3"/>
      <c r="F83" s="7">
        <f t="shared" si="8"/>
        <v>0</v>
      </c>
      <c r="G83" s="3"/>
      <c r="H83" s="6">
        <v>200</v>
      </c>
      <c r="I83" s="3"/>
      <c r="J83" s="7">
        <f t="shared" si="9"/>
        <v>0</v>
      </c>
      <c r="K83" s="3"/>
      <c r="L83" s="6">
        <f t="shared" si="10"/>
        <v>-200</v>
      </c>
      <c r="M83" s="3"/>
      <c r="N83" s="7">
        <f t="shared" si="11"/>
        <v>-1</v>
      </c>
      <c r="O83" s="9"/>
      <c r="P83" s="6"/>
      <c r="Q83" s="3"/>
      <c r="R83" s="7">
        <f t="shared" si="12"/>
        <v>0</v>
      </c>
      <c r="S83" s="3"/>
      <c r="T83" s="6">
        <v>2400</v>
      </c>
      <c r="U83" s="3"/>
      <c r="V83" s="7">
        <f t="shared" si="13"/>
        <v>5.5096418732782364E-4</v>
      </c>
      <c r="W83" s="3"/>
      <c r="X83" s="6">
        <f t="shared" si="14"/>
        <v>-2400</v>
      </c>
      <c r="Y83" s="3"/>
      <c r="Z83" s="7">
        <f t="shared" si="15"/>
        <v>-1</v>
      </c>
    </row>
    <row r="84" spans="1:26" s="70" customFormat="1" ht="15" hidden="1" customHeight="1" outlineLevel="2" x14ac:dyDescent="0.3">
      <c r="A84" s="21"/>
      <c r="B84" s="9" t="str">
        <f>CONCATENATE("          ","6247"," - ","STORE SUPPLIES")</f>
        <v xml:space="preserve">          6247 - STORE SUPPLIES</v>
      </c>
      <c r="C84" s="9"/>
      <c r="D84" s="6"/>
      <c r="E84" s="3"/>
      <c r="F84" s="7">
        <f t="shared" si="8"/>
        <v>0</v>
      </c>
      <c r="G84" s="3"/>
      <c r="H84" s="6"/>
      <c r="I84" s="3"/>
      <c r="J84" s="7">
        <f t="shared" si="9"/>
        <v>0</v>
      </c>
      <c r="K84" s="3"/>
      <c r="L84" s="6">
        <f t="shared" si="10"/>
        <v>0</v>
      </c>
      <c r="M84" s="3"/>
      <c r="N84" s="7">
        <f t="shared" si="11"/>
        <v>0</v>
      </c>
      <c r="O84" s="9"/>
      <c r="P84" s="6">
        <v>459.51</v>
      </c>
      <c r="Q84" s="3"/>
      <c r="R84" s="7">
        <f t="shared" si="12"/>
        <v>8.0602234298986556E-5</v>
      </c>
      <c r="S84" s="3"/>
      <c r="T84" s="6"/>
      <c r="U84" s="3"/>
      <c r="V84" s="7">
        <f t="shared" si="13"/>
        <v>0</v>
      </c>
      <c r="W84" s="3"/>
      <c r="X84" s="6">
        <f t="shared" si="14"/>
        <v>459.51</v>
      </c>
      <c r="Y84" s="3"/>
      <c r="Z84" s="7">
        <f t="shared" si="15"/>
        <v>0</v>
      </c>
    </row>
    <row r="85" spans="1:26" s="70" customFormat="1" ht="15" hidden="1" customHeight="1" outlineLevel="2" x14ac:dyDescent="0.3">
      <c r="A85" s="21"/>
      <c r="B85" s="9" t="str">
        <f>CONCATENATE("          ","6248"," - ","UNIFORMS")</f>
        <v xml:space="preserve">          6248 - UNIFORMS</v>
      </c>
      <c r="C85" s="9"/>
      <c r="D85" s="6"/>
      <c r="E85" s="3"/>
      <c r="F85" s="7">
        <f t="shared" si="8"/>
        <v>0</v>
      </c>
      <c r="G85" s="3"/>
      <c r="H85" s="6">
        <v>194</v>
      </c>
      <c r="I85" s="3"/>
      <c r="J85" s="7">
        <f t="shared" si="9"/>
        <v>0</v>
      </c>
      <c r="K85" s="3"/>
      <c r="L85" s="6">
        <f t="shared" si="10"/>
        <v>-194</v>
      </c>
      <c r="M85" s="3"/>
      <c r="N85" s="7">
        <f t="shared" si="11"/>
        <v>-1</v>
      </c>
      <c r="O85" s="9"/>
      <c r="P85" s="6">
        <v>2802.57</v>
      </c>
      <c r="Q85" s="3"/>
      <c r="R85" s="7">
        <f t="shared" si="12"/>
        <v>4.9159627381190995E-4</v>
      </c>
      <c r="S85" s="3"/>
      <c r="T85" s="6">
        <v>2350</v>
      </c>
      <c r="U85" s="3"/>
      <c r="V85" s="7">
        <f t="shared" si="13"/>
        <v>5.3948576675849408E-4</v>
      </c>
      <c r="W85" s="3"/>
      <c r="X85" s="6">
        <f t="shared" si="14"/>
        <v>452.57000000000016</v>
      </c>
      <c r="Y85" s="3"/>
      <c r="Z85" s="7">
        <f t="shared" si="15"/>
        <v>0.19258297872340432</v>
      </c>
    </row>
    <row r="86" spans="1:26" s="69" customFormat="1" ht="15" customHeight="1" outlineLevel="1" collapsed="1" x14ac:dyDescent="0.3">
      <c r="A86" s="20"/>
      <c r="B86" s="11" t="str">
        <f>CONCATENATE("     ","Telephone/Data Lines                              ")</f>
        <v xml:space="preserve">     Telephone/Data Lines                              </v>
      </c>
      <c r="C86" s="11"/>
      <c r="D86" s="2">
        <f>SUM(OSRRefD22_15x_0)</f>
        <v>159</v>
      </c>
      <c r="E86" s="2"/>
      <c r="F86" s="5">
        <f t="shared" si="8"/>
        <v>-2.8946352759552298E-2</v>
      </c>
      <c r="G86" s="2"/>
      <c r="H86" s="2">
        <f>SUM(OSRRefH22_15x_0)</f>
        <v>218</v>
      </c>
      <c r="I86" s="2"/>
      <c r="J86" s="5">
        <f t="shared" si="9"/>
        <v>0</v>
      </c>
      <c r="K86" s="2"/>
      <c r="L86" s="2">
        <f t="shared" si="10"/>
        <v>-59</v>
      </c>
      <c r="M86" s="2"/>
      <c r="N86" s="5">
        <f t="shared" si="11"/>
        <v>-0.27064220183486237</v>
      </c>
      <c r="O86" s="11"/>
      <c r="P86" s="2">
        <f>SUM(OSRRefP22_15x_0)</f>
        <v>3616</v>
      </c>
      <c r="Q86" s="2"/>
      <c r="R86" s="5">
        <f t="shared" si="12"/>
        <v>6.3427929582628314E-4</v>
      </c>
      <c r="S86" s="2"/>
      <c r="T86" s="2">
        <f>SUM(OSRRefT22_15x_0)</f>
        <v>2616</v>
      </c>
      <c r="U86" s="2"/>
      <c r="V86" s="5">
        <f t="shared" si="13"/>
        <v>6.0055096418732779E-4</v>
      </c>
      <c r="W86" s="2"/>
      <c r="X86" s="2">
        <f t="shared" si="14"/>
        <v>1000</v>
      </c>
      <c r="Y86" s="2"/>
      <c r="Z86" s="5">
        <f t="shared" si="15"/>
        <v>0.38226299694189603</v>
      </c>
    </row>
    <row r="87" spans="1:26" s="70" customFormat="1" ht="15" hidden="1" customHeight="1" outlineLevel="2" x14ac:dyDescent="0.3">
      <c r="A87" s="21"/>
      <c r="B87" s="9" t="str">
        <f>CONCATENATE("          ","6309"," - ","TELEPHONE")</f>
        <v xml:space="preserve">          6309 - TELEPHONE</v>
      </c>
      <c r="C87" s="9"/>
      <c r="D87" s="6">
        <v>159</v>
      </c>
      <c r="E87" s="3"/>
      <c r="F87" s="7">
        <f t="shared" si="8"/>
        <v>-2.8946352759552298E-2</v>
      </c>
      <c r="G87" s="3"/>
      <c r="H87" s="6">
        <v>218</v>
      </c>
      <c r="I87" s="3"/>
      <c r="J87" s="7">
        <f t="shared" si="9"/>
        <v>0</v>
      </c>
      <c r="K87" s="3"/>
      <c r="L87" s="6">
        <f t="shared" si="10"/>
        <v>-59</v>
      </c>
      <c r="M87" s="3"/>
      <c r="N87" s="7">
        <f t="shared" si="11"/>
        <v>-0.27064220183486237</v>
      </c>
      <c r="O87" s="9"/>
      <c r="P87" s="6">
        <v>3616</v>
      </c>
      <c r="Q87" s="3"/>
      <c r="R87" s="7">
        <f t="shared" si="12"/>
        <v>6.3427929582628314E-4</v>
      </c>
      <c r="S87" s="3"/>
      <c r="T87" s="6">
        <v>2616</v>
      </c>
      <c r="U87" s="3"/>
      <c r="V87" s="7">
        <f t="shared" si="13"/>
        <v>6.0055096418732779E-4</v>
      </c>
      <c r="W87" s="3"/>
      <c r="X87" s="6">
        <f t="shared" si="14"/>
        <v>1000</v>
      </c>
      <c r="Y87" s="3"/>
      <c r="Z87" s="7">
        <f t="shared" si="15"/>
        <v>0.38226299694189603</v>
      </c>
    </row>
    <row r="88" spans="1:26" s="69" customFormat="1" ht="15" customHeight="1" outlineLevel="1" collapsed="1" x14ac:dyDescent="0.3">
      <c r="A88" s="20"/>
      <c r="B88" s="11" t="str">
        <f>CONCATENATE("     ","Training                                          ")</f>
        <v xml:space="preserve">     Training                                          </v>
      </c>
      <c r="C88" s="11"/>
      <c r="D88" s="2">
        <f>SUM(OSRRefD22_16x_0)</f>
        <v>523.09</v>
      </c>
      <c r="E88" s="2"/>
      <c r="F88" s="5">
        <f t="shared" si="8"/>
        <v>-9.5229859528265487E-2</v>
      </c>
      <c r="G88" s="2"/>
      <c r="H88" s="2">
        <f>SUM(OSRRefH22_16x_0)</f>
        <v>150</v>
      </c>
      <c r="I88" s="2"/>
      <c r="J88" s="5">
        <f t="shared" si="9"/>
        <v>0</v>
      </c>
      <c r="K88" s="2"/>
      <c r="L88" s="2">
        <f t="shared" si="10"/>
        <v>373.09000000000003</v>
      </c>
      <c r="M88" s="2"/>
      <c r="N88" s="5">
        <f t="shared" si="11"/>
        <v>2.4872666666666667</v>
      </c>
      <c r="O88" s="11"/>
      <c r="P88" s="2">
        <f>SUM(OSRRefP22_16x_0)</f>
        <v>1692.88</v>
      </c>
      <c r="Q88" s="2"/>
      <c r="R88" s="5">
        <f t="shared" si="12"/>
        <v>2.9694655263230041E-4</v>
      </c>
      <c r="S88" s="2"/>
      <c r="T88" s="2">
        <f>SUM(OSRRefT22_16x_0)</f>
        <v>2000</v>
      </c>
      <c r="U88" s="2"/>
      <c r="V88" s="5">
        <f t="shared" si="13"/>
        <v>4.591368227731864E-4</v>
      </c>
      <c r="W88" s="2"/>
      <c r="X88" s="2">
        <f t="shared" si="14"/>
        <v>-307.11999999999989</v>
      </c>
      <c r="Y88" s="2"/>
      <c r="Z88" s="5">
        <f t="shared" si="15"/>
        <v>-0.15355999999999995</v>
      </c>
    </row>
    <row r="89" spans="1:26" s="70" customFormat="1" ht="15" hidden="1" customHeight="1" outlineLevel="2" x14ac:dyDescent="0.3">
      <c r="A89" s="21"/>
      <c r="B89" s="9" t="str">
        <f>CONCATENATE("          ","6376"," - ","TRAINING")</f>
        <v xml:space="preserve">          6376 - TRAINING</v>
      </c>
      <c r="C89" s="9"/>
      <c r="D89" s="6">
        <v>523.09</v>
      </c>
      <c r="E89" s="3"/>
      <c r="F89" s="7">
        <f t="shared" si="8"/>
        <v>-9.5229859528265487E-2</v>
      </c>
      <c r="G89" s="3"/>
      <c r="H89" s="6">
        <v>150</v>
      </c>
      <c r="I89" s="3"/>
      <c r="J89" s="7">
        <f t="shared" si="9"/>
        <v>0</v>
      </c>
      <c r="K89" s="3"/>
      <c r="L89" s="6">
        <f t="shared" si="10"/>
        <v>373.09000000000003</v>
      </c>
      <c r="M89" s="3"/>
      <c r="N89" s="7">
        <f t="shared" si="11"/>
        <v>2.4872666666666667</v>
      </c>
      <c r="O89" s="9"/>
      <c r="P89" s="6">
        <v>1692.88</v>
      </c>
      <c r="Q89" s="3"/>
      <c r="R89" s="7">
        <f t="shared" si="12"/>
        <v>2.9694655263230041E-4</v>
      </c>
      <c r="S89" s="3"/>
      <c r="T89" s="6">
        <v>2000</v>
      </c>
      <c r="U89" s="3"/>
      <c r="V89" s="7">
        <f t="shared" si="13"/>
        <v>4.591368227731864E-4</v>
      </c>
      <c r="W89" s="3"/>
      <c r="X89" s="6">
        <f t="shared" si="14"/>
        <v>-307.11999999999989</v>
      </c>
      <c r="Y89" s="3"/>
      <c r="Z89" s="7">
        <f t="shared" si="15"/>
        <v>-0.15355999999999995</v>
      </c>
    </row>
    <row r="90" spans="1:26" s="65" customFormat="1" ht="15" customHeight="1" x14ac:dyDescent="0.3">
      <c r="A90" s="36"/>
      <c r="B90" s="36"/>
      <c r="C90" s="36"/>
      <c r="D90" s="2"/>
      <c r="E90" s="2"/>
      <c r="F90" s="5"/>
      <c r="G90" s="2"/>
      <c r="H90" s="2"/>
      <c r="I90" s="2"/>
      <c r="J90" s="5"/>
      <c r="K90" s="2"/>
      <c r="L90" s="2"/>
      <c r="M90" s="2"/>
      <c r="N90" s="5"/>
      <c r="O90" s="36"/>
      <c r="P90" s="2"/>
      <c r="Q90" s="2"/>
      <c r="R90" s="5"/>
      <c r="S90" s="2"/>
      <c r="T90" s="2"/>
      <c r="U90" s="2"/>
      <c r="V90" s="5"/>
      <c r="W90" s="2"/>
      <c r="X90" s="2"/>
      <c r="Y90" s="2"/>
      <c r="Z90" s="5"/>
    </row>
    <row r="91" spans="1:26" s="63" customFormat="1" ht="15" customHeight="1" x14ac:dyDescent="0.3">
      <c r="A91" s="13"/>
      <c r="B91" s="28" t="s">
        <v>291</v>
      </c>
      <c r="C91" s="13"/>
      <c r="D91" s="8">
        <f>SUM(0)</f>
        <v>0</v>
      </c>
      <c r="E91" s="8"/>
      <c r="F91" s="14">
        <f>IF(D$12=0,0,D91/D$12)</f>
        <v>0</v>
      </c>
      <c r="G91" s="8"/>
      <c r="H91" s="8">
        <f>SUM(0)</f>
        <v>0</v>
      </c>
      <c r="I91" s="8"/>
      <c r="J91" s="14">
        <f>IF(H$12=0,0,H91/H$12)</f>
        <v>0</v>
      </c>
      <c r="K91" s="8"/>
      <c r="L91" s="8">
        <f>+D91-H91</f>
        <v>0</v>
      </c>
      <c r="M91" s="8"/>
      <c r="N91" s="14">
        <f>IF(H91=0,0,L91/H91)</f>
        <v>0</v>
      </c>
      <c r="O91" s="13"/>
      <c r="P91" s="8">
        <f>SUM(0)</f>
        <v>0</v>
      </c>
      <c r="Q91" s="8"/>
      <c r="R91" s="14">
        <f>IF(P$12=0,0,P91/P$12)</f>
        <v>0</v>
      </c>
      <c r="S91" s="8"/>
      <c r="T91" s="8">
        <f>SUM(0)</f>
        <v>0</v>
      </c>
      <c r="U91" s="8"/>
      <c r="V91" s="14">
        <f>IF(T$12=0,0,T91/T$12)</f>
        <v>0</v>
      </c>
      <c r="W91" s="8"/>
      <c r="X91" s="8">
        <f>+P91-T91</f>
        <v>0</v>
      </c>
      <c r="Y91" s="8"/>
      <c r="Z91" s="14">
        <f>IF(T91=0,0,X91/T91)</f>
        <v>0</v>
      </c>
    </row>
    <row r="92" spans="1:26" ht="15" customHeight="1" x14ac:dyDescent="0.3">
      <c r="A92" s="12"/>
      <c r="B92" s="13"/>
      <c r="C92" s="13"/>
      <c r="D92" s="4"/>
      <c r="E92" s="4"/>
      <c r="F92" s="10"/>
      <c r="G92" s="4"/>
      <c r="H92" s="4"/>
      <c r="I92" s="4"/>
      <c r="J92" s="10"/>
      <c r="K92" s="4"/>
      <c r="L92" s="4"/>
      <c r="M92" s="4"/>
      <c r="N92" s="10"/>
      <c r="O92" s="13"/>
      <c r="P92" s="4"/>
      <c r="Q92" s="4"/>
      <c r="R92" s="10"/>
      <c r="S92" s="4"/>
      <c r="T92" s="4"/>
      <c r="U92" s="4"/>
      <c r="V92" s="10"/>
      <c r="W92" s="4"/>
      <c r="X92" s="4"/>
      <c r="Y92" s="4"/>
      <c r="Z92" s="10"/>
    </row>
    <row r="93" spans="1:26" s="63" customFormat="1" ht="15" customHeight="1" x14ac:dyDescent="0.3">
      <c r="A93" s="13"/>
      <c r="B93" s="27" t="s">
        <v>292</v>
      </c>
      <c r="C93" s="27"/>
      <c r="D93" s="23">
        <f>+D23-D25+D91</f>
        <v>-53564.25</v>
      </c>
      <c r="E93" s="15"/>
      <c r="F93" s="22">
        <f>IF(D$12=0,0,D93/D$12)</f>
        <v>9.7515073949738937</v>
      </c>
      <c r="G93" s="15"/>
      <c r="H93" s="23">
        <f>+H23-H25+H91</f>
        <v>-103302.49969121994</v>
      </c>
      <c r="I93" s="15"/>
      <c r="J93" s="22">
        <f>IF(H$12=0,0,H93/H$12)</f>
        <v>0</v>
      </c>
      <c r="K93" s="17"/>
      <c r="L93" s="23">
        <f>+D93-H93</f>
        <v>49738.249691219942</v>
      </c>
      <c r="M93" s="17"/>
      <c r="N93" s="22">
        <f>IF(H93=0,0,L93/H93)</f>
        <v>-0.48148156956406524</v>
      </c>
      <c r="O93" s="28"/>
      <c r="P93" s="23">
        <f>+P23-P25+P91</f>
        <v>2276140.3000000007</v>
      </c>
      <c r="Q93" s="15"/>
      <c r="R93" s="22">
        <f>IF(P$12=0,0,P93/P$12)</f>
        <v>0.39925571534453136</v>
      </c>
      <c r="S93" s="15"/>
      <c r="T93" s="23">
        <f>+T23-T25+T91</f>
        <v>716853.52001413982</v>
      </c>
      <c r="U93" s="15"/>
      <c r="V93" s="22">
        <f>IF(T$12=0,0,T93/T$12)</f>
        <v>0.16456692378653348</v>
      </c>
      <c r="W93" s="17"/>
      <c r="X93" s="23">
        <f>+P93-T93</f>
        <v>1559286.7799858609</v>
      </c>
      <c r="Y93" s="17"/>
      <c r="Z93" s="22">
        <f>IF(T93=0,0,X93/T93)</f>
        <v>2.1751818697285663</v>
      </c>
    </row>
    <row r="94" spans="1:26" ht="15" customHeight="1" x14ac:dyDescent="0.3">
      <c r="A94" s="12"/>
      <c r="B94" s="13"/>
      <c r="C94" s="12"/>
      <c r="D94" s="4"/>
      <c r="E94" s="4"/>
      <c r="F94" s="10"/>
      <c r="G94" s="4"/>
      <c r="H94" s="4"/>
      <c r="I94" s="4"/>
      <c r="J94" s="10"/>
      <c r="K94" s="4"/>
      <c r="L94" s="4"/>
      <c r="M94" s="4"/>
      <c r="N94" s="10"/>
      <c r="P94" s="4"/>
      <c r="Q94" s="4"/>
      <c r="R94" s="10"/>
      <c r="S94" s="4"/>
      <c r="T94" s="4"/>
      <c r="U94" s="4"/>
      <c r="V94" s="10"/>
      <c r="W94" s="4"/>
      <c r="X94" s="4"/>
      <c r="Y94" s="4"/>
      <c r="Z94" s="10"/>
    </row>
    <row r="95" spans="1:26" s="63" customFormat="1" ht="15" customHeight="1" x14ac:dyDescent="0.3">
      <c r="A95" s="49"/>
      <c r="B95" s="13" t="s">
        <v>293</v>
      </c>
      <c r="C95" s="13"/>
      <c r="D95" s="8">
        <v>-1298806.0900000001</v>
      </c>
      <c r="E95" s="8"/>
      <c r="F95" s="14">
        <f>IF(D$12=0,0,D95/D$12)</f>
        <v>236.45093866286058</v>
      </c>
      <c r="G95" s="8"/>
      <c r="H95" s="8">
        <v>-46035</v>
      </c>
      <c r="I95" s="8"/>
      <c r="J95" s="14">
        <f>IF(H$12=0,0,H95/H$12)</f>
        <v>0</v>
      </c>
      <c r="K95" s="8"/>
      <c r="L95" s="8">
        <f>+D95-H95</f>
        <v>-1252771.0900000001</v>
      </c>
      <c r="M95" s="8"/>
      <c r="N95" s="14">
        <f>IF(H95=0,0,L95/H95)</f>
        <v>27.213448245899862</v>
      </c>
      <c r="O95" s="13"/>
      <c r="P95" s="8">
        <v>-657256.26</v>
      </c>
      <c r="Q95" s="8"/>
      <c r="R95" s="14">
        <f>IF(P$12=0,0,P95/P$12)</f>
        <v>-0.11528872725946253</v>
      </c>
      <c r="S95" s="8"/>
      <c r="T95" s="8">
        <v>493945</v>
      </c>
      <c r="U95" s="8"/>
      <c r="V95" s="14">
        <f>IF(T$12=0,0,T95/T$12)</f>
        <v>0.11339416896235079</v>
      </c>
      <c r="W95" s="8"/>
      <c r="X95" s="8">
        <f>+P95-T95</f>
        <v>-1151201.26</v>
      </c>
      <c r="Y95" s="8"/>
      <c r="Z95" s="14">
        <f>IF(T95=0,0,X95/T95)</f>
        <v>-2.3306264057739221</v>
      </c>
    </row>
    <row r="96" spans="1:26" ht="15" customHeight="1" x14ac:dyDescent="0.3">
      <c r="A96" s="12"/>
      <c r="B96" s="13"/>
      <c r="C96" s="13"/>
      <c r="D96" s="4"/>
      <c r="E96" s="4"/>
      <c r="F96" s="10"/>
      <c r="G96" s="4"/>
      <c r="H96" s="4"/>
      <c r="I96" s="4"/>
      <c r="J96" s="10"/>
      <c r="K96" s="4"/>
      <c r="L96" s="4"/>
      <c r="M96" s="4"/>
      <c r="N96" s="10"/>
      <c r="O96" s="13"/>
      <c r="P96" s="4"/>
      <c r="Q96" s="4"/>
      <c r="R96" s="10"/>
      <c r="S96" s="4"/>
      <c r="T96" s="4"/>
      <c r="U96" s="4"/>
      <c r="V96" s="10"/>
      <c r="W96" s="4"/>
      <c r="X96" s="4"/>
      <c r="Y96" s="4"/>
      <c r="Z96" s="10"/>
    </row>
    <row r="97" spans="1:26" s="63" customFormat="1" ht="15" customHeight="1" x14ac:dyDescent="0.3">
      <c r="A97" s="13"/>
      <c r="B97" s="27" t="s">
        <v>294</v>
      </c>
      <c r="C97" s="27"/>
      <c r="D97" s="30">
        <f>+D93-D95</f>
        <v>1245241.8400000001</v>
      </c>
      <c r="E97" s="15"/>
      <c r="F97" s="35">
        <f>IF(D$12=0,0,D97/D$12)</f>
        <v>-226.69943126788667</v>
      </c>
      <c r="G97" s="15"/>
      <c r="H97" s="30">
        <f>+H93-H95</f>
        <v>-57267.499691219942</v>
      </c>
      <c r="I97" s="15"/>
      <c r="J97" s="35">
        <f>IF(H$12=0,0,H97/H$12)</f>
        <v>0</v>
      </c>
      <c r="K97" s="17"/>
      <c r="L97" s="30">
        <f>D97-H97</f>
        <v>1302509.3396912201</v>
      </c>
      <c r="M97" s="17"/>
      <c r="N97" s="35">
        <f>IF(H97=0,0,L97/H97)</f>
        <v>-22.74430255754498</v>
      </c>
      <c r="O97" s="28"/>
      <c r="P97" s="30">
        <f>+P93-P95</f>
        <v>2933396.5600000005</v>
      </c>
      <c r="Q97" s="15"/>
      <c r="R97" s="35">
        <f>IF(P$12=0,0,P97/P$12)</f>
        <v>0.51454444260399379</v>
      </c>
      <c r="S97" s="15"/>
      <c r="T97" s="30">
        <f>+T93-T95</f>
        <v>222908.52001413982</v>
      </c>
      <c r="U97" s="15"/>
      <c r="V97" s="35">
        <f>IF(T$12=0,0,T97/T$12)</f>
        <v>5.1172754824182695E-2</v>
      </c>
      <c r="W97" s="17"/>
      <c r="X97" s="30">
        <f>P97-T97</f>
        <v>2710488.0399858607</v>
      </c>
      <c r="Y97" s="17"/>
      <c r="Z97" s="35">
        <f>IF(T97=0,0,X97/T97)</f>
        <v>12.159643067092839</v>
      </c>
    </row>
    <row r="98" spans="1:26" ht="15" customHeight="1" x14ac:dyDescent="0.3">
      <c r="A98" s="12"/>
      <c r="B98" s="12"/>
      <c r="C98" s="12"/>
      <c r="D98" s="4"/>
      <c r="E98" s="4"/>
      <c r="F98" s="10"/>
      <c r="G98" s="4"/>
      <c r="H98" s="4"/>
      <c r="I98" s="4"/>
      <c r="J98" s="10"/>
      <c r="K98" s="4"/>
      <c r="L98" s="4"/>
      <c r="M98" s="4"/>
      <c r="N98" s="10"/>
      <c r="P98" s="4"/>
      <c r="Q98" s="4"/>
      <c r="R98" s="10"/>
      <c r="S98" s="4"/>
      <c r="T98" s="4"/>
      <c r="U98" s="4"/>
      <c r="V98" s="10"/>
      <c r="W98" s="4"/>
      <c r="X98" s="4"/>
      <c r="Y98" s="4"/>
      <c r="Z98" s="10"/>
    </row>
    <row r="99" spans="1:26" ht="15" customHeight="1" x14ac:dyDescent="0.3">
      <c r="A99" s="12"/>
      <c r="B99" s="12"/>
      <c r="C99" s="12"/>
      <c r="D99" s="4"/>
      <c r="E99" s="4"/>
      <c r="F99" s="10"/>
      <c r="G99" s="4"/>
      <c r="H99" s="4"/>
      <c r="I99" s="4"/>
      <c r="J99" s="10"/>
      <c r="K99" s="4"/>
      <c r="L99" s="4"/>
      <c r="M99" s="4"/>
      <c r="N99" s="10"/>
      <c r="P99" s="4"/>
      <c r="Q99" s="4"/>
      <c r="R99" s="10"/>
      <c r="S99" s="4"/>
      <c r="T99" s="4"/>
      <c r="U99" s="4"/>
      <c r="V99" s="10"/>
      <c r="W99" s="4"/>
      <c r="X99" s="4"/>
      <c r="Y99" s="4"/>
      <c r="Z99" s="10"/>
    </row>
    <row r="100" spans="1:26" s="63" customFormat="1" ht="15" customHeight="1" x14ac:dyDescent="0.3">
      <c r="A100" s="13"/>
      <c r="B100" s="27" t="s">
        <v>297</v>
      </c>
      <c r="C100" s="27"/>
      <c r="D100" s="33">
        <f>SUM(D97:D99)</f>
        <v>1245241.8400000001</v>
      </c>
      <c r="E100" s="15"/>
      <c r="F100" s="31">
        <f>IF(D$12=0,0,D100/D$12)</f>
        <v>-226.69943126788667</v>
      </c>
      <c r="G100" s="15"/>
      <c r="H100" s="33">
        <f>SUM(H97:H99)</f>
        <v>-57267.499691219942</v>
      </c>
      <c r="I100" s="15"/>
      <c r="J100" s="31">
        <f>IF(H$12=0,0,H100/H$12)</f>
        <v>0</v>
      </c>
      <c r="K100" s="17"/>
      <c r="L100" s="33">
        <f>+D100-H100</f>
        <v>1302509.3396912201</v>
      </c>
      <c r="M100" s="17"/>
      <c r="N100" s="31">
        <f>IF(H100=0,0,L100/H100)</f>
        <v>-22.74430255754498</v>
      </c>
      <c r="O100" s="28"/>
      <c r="P100" s="33">
        <f>SUM(P97:P99)</f>
        <v>2933396.5600000005</v>
      </c>
      <c r="Q100" s="15"/>
      <c r="R100" s="31">
        <f>IF(P$12=0,0,P100/P$12)</f>
        <v>0.51454444260399379</v>
      </c>
      <c r="S100" s="15"/>
      <c r="T100" s="33">
        <f>SUM(T97:T99)</f>
        <v>222908.52001413982</v>
      </c>
      <c r="U100" s="15"/>
      <c r="V100" s="31">
        <f>IF(T$12=0,0,T100/T$12)</f>
        <v>5.1172754824182695E-2</v>
      </c>
      <c r="W100" s="17"/>
      <c r="X100" s="33">
        <f>+P100-T100</f>
        <v>2710488.0399858607</v>
      </c>
      <c r="Y100" s="17"/>
      <c r="Z100" s="31">
        <f>IF(T100=0,0,X100/T100)</f>
        <v>12.159643067092839</v>
      </c>
    </row>
    <row r="101" spans="1:26" ht="15" customHeight="1" x14ac:dyDescent="0.3">
      <c r="A101" s="12"/>
      <c r="C101" s="12"/>
      <c r="D101" s="19"/>
      <c r="E101" s="19"/>
      <c r="G101" s="19"/>
      <c r="H101" s="19"/>
      <c r="I101" s="19"/>
      <c r="J101" s="41"/>
      <c r="K101" s="19"/>
      <c r="L101" s="19"/>
      <c r="M101" s="19"/>
      <c r="P101" s="19"/>
      <c r="Q101" s="19"/>
      <c r="R101" s="41"/>
      <c r="S101" s="19"/>
      <c r="T101" s="19"/>
      <c r="U101" s="19"/>
      <c r="V101" s="41"/>
      <c r="W101" s="19"/>
      <c r="X101" s="19"/>
    </row>
    <row r="102" spans="1:26" ht="15" customHeight="1" x14ac:dyDescent="0.3">
      <c r="A102" s="12"/>
      <c r="B102" s="50">
        <v>44767.799547766204</v>
      </c>
      <c r="D102" s="19"/>
      <c r="E102" s="19"/>
      <c r="G102" s="19"/>
      <c r="H102" s="19"/>
      <c r="I102" s="19"/>
      <c r="J102" s="41"/>
      <c r="K102" s="19"/>
      <c r="L102" s="19"/>
      <c r="M102" s="19"/>
      <c r="P102" s="19"/>
      <c r="Q102" s="19"/>
      <c r="R102" s="41"/>
      <c r="S102" s="19"/>
      <c r="T102" s="19"/>
      <c r="U102" s="19"/>
      <c r="V102" s="41"/>
      <c r="W102" s="19"/>
      <c r="X102" s="19"/>
    </row>
    <row r="103" spans="1:26" ht="15" customHeight="1" x14ac:dyDescent="0.3">
      <c r="A103" s="12"/>
      <c r="B103" s="57" t="s">
        <v>298</v>
      </c>
      <c r="D103" s="19"/>
      <c r="E103" s="19"/>
      <c r="G103" s="19"/>
      <c r="H103" s="19"/>
      <c r="I103" s="19"/>
      <c r="J103" s="41"/>
      <c r="K103" s="19"/>
      <c r="L103" s="19"/>
      <c r="M103" s="19"/>
      <c r="P103" s="19"/>
      <c r="Q103" s="19"/>
      <c r="R103" s="41"/>
      <c r="S103" s="19"/>
      <c r="T103" s="19"/>
      <c r="U103" s="19"/>
      <c r="V103" s="41"/>
      <c r="W103" s="19"/>
      <c r="X103" s="19"/>
    </row>
    <row r="104" spans="1:26" ht="15" customHeight="1" x14ac:dyDescent="0.3">
      <c r="A104" s="12"/>
      <c r="B104" s="51"/>
      <c r="D104" s="19"/>
      <c r="E104" s="19"/>
      <c r="G104" s="19"/>
      <c r="H104" s="19"/>
      <c r="I104" s="19"/>
      <c r="J104" s="41"/>
      <c r="K104" s="19"/>
      <c r="L104" s="19"/>
      <c r="M104" s="19"/>
      <c r="P104" s="19"/>
      <c r="Q104" s="19"/>
      <c r="R104" s="41"/>
      <c r="S104" s="19"/>
      <c r="T104" s="19"/>
      <c r="U104" s="19"/>
      <c r="V104" s="41"/>
      <c r="W104" s="19"/>
      <c r="X104" s="19"/>
    </row>
    <row r="105" spans="1:26" ht="15" customHeight="1" x14ac:dyDescent="0.3">
      <c r="D105" s="19"/>
      <c r="E105" s="19"/>
      <c r="G105" s="19"/>
      <c r="H105" s="19"/>
      <c r="I105" s="19"/>
      <c r="J105" s="41"/>
      <c r="K105" s="19"/>
      <c r="L105" s="19"/>
      <c r="M105" s="19"/>
      <c r="P105" s="19"/>
      <c r="Q105" s="19"/>
      <c r="R105" s="41"/>
      <c r="S105" s="19"/>
      <c r="T105" s="19"/>
      <c r="U105" s="19"/>
      <c r="V105" s="41"/>
      <c r="W105" s="19"/>
      <c r="X105" s="19"/>
    </row>
  </sheetData>
  <pageMargins left="0.25" right="0.25" top="0.75" bottom="0.75" header="0.3" footer="0.3"/>
  <pageSetup scale="55" orientation="landscape" r:id="rId1"/>
  <headerFooter>
    <oddHeader>&amp;RPre-Audit</oddHeader>
    <oddFooter>&amp;L&amp;C&amp;R</oddFooter>
    <evenHeader>&amp;L&amp;C&amp;R</evenHeader>
    <evenFooter>&amp;L&amp;C&amp;R</evenFoot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AB0823-2623-C0C5-F5A7-FB1C816B5D7F}">
  <sheetPr>
    <tabColor rgb="FF92D050"/>
    <outlinePr summaryBelow="0" summaryRight="0"/>
  </sheetPr>
  <dimension ref="A2:Z104"/>
  <sheetViews>
    <sheetView showGridLines="0" defaultGridColor="0" colorId="8" zoomScale="80" workbookViewId="0">
      <pane xSplit="3" ySplit="10" topLeftCell="D11" activePane="bottomRight" state="frozen"/>
      <selection activeCell="D78" sqref="D78"/>
      <selection pane="topRight" activeCell="D78" sqref="D78"/>
      <selection pane="bottomLeft" activeCell="D78" sqref="D78"/>
      <selection pane="bottomRight" activeCell="D78" sqref="D78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3" t="s">
        <v>276</v>
      </c>
    </row>
    <row r="3" spans="1:26" ht="15" customHeight="1" x14ac:dyDescent="0.3">
      <c r="D3" s="53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3" t="str">
        <f>CONCATENATE("Period ",RIGHT(202212,2),", ",2022)</f>
        <v>Period 12,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5"/>
      <c r="D5" s="60">
        <v>44742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5"/>
      <c r="B6" s="47"/>
      <c r="C6" s="47"/>
      <c r="D6" s="25" t="str">
        <f>CONCATENATE("Department ","450"," - ","Beachside Dining Hall")</f>
        <v>Department 450 - Beachside Dining Hall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4"/>
    </row>
    <row r="8" spans="1:26" ht="15" customHeight="1" x14ac:dyDescent="0.3">
      <c r="B8" s="54"/>
    </row>
    <row r="9" spans="1:26" ht="15" customHeight="1" x14ac:dyDescent="0.3">
      <c r="B9" s="12"/>
      <c r="C9" s="12"/>
      <c r="D9" s="16" t="s">
        <v>279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280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ht="15" customHeight="1" x14ac:dyDescent="0.3">
      <c r="A10" s="13"/>
      <c r="B10" s="52"/>
      <c r="C10" s="13"/>
      <c r="D10" s="40" t="s">
        <v>281</v>
      </c>
      <c r="E10" s="32"/>
      <c r="F10" s="39" t="s">
        <v>282</v>
      </c>
      <c r="G10" s="32"/>
      <c r="H10" s="45" t="s">
        <v>283</v>
      </c>
      <c r="I10" s="32"/>
      <c r="J10" s="42" t="s">
        <v>284</v>
      </c>
      <c r="K10" s="13"/>
      <c r="L10" s="40" t="s">
        <v>285</v>
      </c>
      <c r="M10" s="13"/>
      <c r="N10" s="39" t="s">
        <v>286</v>
      </c>
      <c r="O10" s="13"/>
      <c r="P10" s="55" t="s">
        <v>281</v>
      </c>
      <c r="Q10" s="32"/>
      <c r="R10" s="39" t="s">
        <v>282</v>
      </c>
      <c r="S10" s="32"/>
      <c r="T10" s="45" t="s">
        <v>283</v>
      </c>
      <c r="U10" s="32"/>
      <c r="V10" s="42" t="s">
        <v>284</v>
      </c>
      <c r="W10" s="13"/>
      <c r="X10" s="40" t="s">
        <v>285</v>
      </c>
      <c r="Y10" s="13"/>
      <c r="Z10" s="39" t="s">
        <v>286</v>
      </c>
    </row>
    <row r="11" spans="1:26" ht="16.5" customHeight="1" x14ac:dyDescent="0.3">
      <c r="A11" s="12"/>
      <c r="B11" s="58"/>
      <c r="C11" s="12"/>
      <c r="D11" s="12"/>
      <c r="E11" s="12"/>
      <c r="F11" s="10"/>
      <c r="G11" s="12"/>
      <c r="H11" s="12"/>
      <c r="I11" s="12"/>
      <c r="J11" s="43"/>
      <c r="K11" s="12"/>
      <c r="L11" s="12"/>
      <c r="M11" s="12"/>
      <c r="N11" s="10"/>
      <c r="P11" s="12"/>
      <c r="Q11" s="12"/>
      <c r="R11" s="10"/>
      <c r="S11" s="12"/>
      <c r="T11" s="12"/>
      <c r="U11" s="12"/>
      <c r="V11" s="43"/>
      <c r="W11" s="12"/>
      <c r="X11" s="12"/>
      <c r="Y11" s="12"/>
      <c r="Z11" s="10"/>
    </row>
    <row r="12" spans="1:26" s="63" customFormat="1" ht="15" customHeight="1" collapsed="1" x14ac:dyDescent="0.3">
      <c r="A12" s="13"/>
      <c r="B12" s="28" t="s">
        <v>287</v>
      </c>
      <c r="C12" s="13"/>
      <c r="D12" s="8">
        <f>SUM(OSRRefD13x_0)</f>
        <v>0</v>
      </c>
      <c r="E12" s="8"/>
      <c r="F12" s="14"/>
      <c r="G12" s="8"/>
      <c r="H12" s="8">
        <f>SUM(OSRRefH13x_0)</f>
        <v>0</v>
      </c>
      <c r="I12" s="8"/>
      <c r="J12" s="14"/>
      <c r="K12" s="8"/>
      <c r="L12" s="8">
        <f>+D12-H12</f>
        <v>0</v>
      </c>
      <c r="M12" s="8"/>
      <c r="N12" s="14">
        <f>IF(H12=0,0,L12/H12)</f>
        <v>0</v>
      </c>
      <c r="O12" s="13"/>
      <c r="P12" s="8">
        <f>SUM(OSRRefP13x_0)</f>
        <v>1977098.7000000002</v>
      </c>
      <c r="Q12" s="8"/>
      <c r="R12" s="14"/>
      <c r="S12" s="8"/>
      <c r="T12" s="8">
        <f>SUM(OSRRefT13x_0)</f>
        <v>950400</v>
      </c>
      <c r="U12" s="8"/>
      <c r="V12" s="14"/>
      <c r="W12" s="8"/>
      <c r="X12" s="8">
        <f>+P12-T12</f>
        <v>1026698.7000000002</v>
      </c>
      <c r="Y12" s="8"/>
      <c r="Z12" s="14">
        <f>IF(T12=0,0,X12/T12)</f>
        <v>1.080280618686869</v>
      </c>
    </row>
    <row r="13" spans="1:26" s="70" customFormat="1" ht="15" hidden="1" customHeight="1" outlineLevel="1" x14ac:dyDescent="0.3">
      <c r="A13" s="48"/>
      <c r="B13" s="9" t="str">
        <f>CONCATENATE("          ","4053"," - ","TAXABLE SALES-FOOD")</f>
        <v xml:space="preserve">          4053 - TAXABLE SALES-FOOD</v>
      </c>
      <c r="C13" s="9"/>
      <c r="D13" s="3">
        <f>0</f>
        <v>0</v>
      </c>
      <c r="E13" s="3"/>
      <c r="F13" s="26"/>
      <c r="G13" s="3"/>
      <c r="H13" s="3"/>
      <c r="I13" s="3"/>
      <c r="J13" s="26"/>
      <c r="K13" s="3"/>
      <c r="L13" s="3">
        <f>+D13-H13</f>
        <v>0</v>
      </c>
      <c r="M13" s="3"/>
      <c r="N13" s="26">
        <f>IF(H13=0,0,L13/H13)</f>
        <v>0</v>
      </c>
      <c r="O13" s="9"/>
      <c r="P13" s="3">
        <f>--354.32</f>
        <v>354.32</v>
      </c>
      <c r="Q13" s="3"/>
      <c r="R13" s="26"/>
      <c r="S13" s="3"/>
      <c r="T13" s="3"/>
      <c r="U13" s="3"/>
      <c r="V13" s="26"/>
      <c r="W13" s="3"/>
      <c r="X13" s="3">
        <f>+P13-T13</f>
        <v>354.32</v>
      </c>
      <c r="Y13" s="3"/>
      <c r="Z13" s="26">
        <f>IF(T13=0,0,X13/T13)</f>
        <v>0</v>
      </c>
    </row>
    <row r="14" spans="1:26" s="70" customFormat="1" ht="15" hidden="1" customHeight="1" outlineLevel="1" x14ac:dyDescent="0.3">
      <c r="A14" s="48"/>
      <c r="B14" s="9" t="str">
        <f>CONCATENATE("          ","4100"," - ","NON-TAXABLE SALES")</f>
        <v xml:space="preserve">          4100 - NON-TAXABLE SALES</v>
      </c>
      <c r="C14" s="9"/>
      <c r="D14" s="3">
        <f>0</f>
        <v>0</v>
      </c>
      <c r="E14" s="3"/>
      <c r="F14" s="26"/>
      <c r="G14" s="3"/>
      <c r="H14" s="3"/>
      <c r="I14" s="3"/>
      <c r="J14" s="26"/>
      <c r="K14" s="3"/>
      <c r="L14" s="3">
        <f>+D14-H14</f>
        <v>0</v>
      </c>
      <c r="M14" s="3"/>
      <c r="N14" s="26">
        <f>IF(H14=0,0,L14/H14)</f>
        <v>0</v>
      </c>
      <c r="O14" s="9"/>
      <c r="P14" s="3">
        <f>0</f>
        <v>0</v>
      </c>
      <c r="Q14" s="3"/>
      <c r="R14" s="26"/>
      <c r="S14" s="3"/>
      <c r="T14" s="3">
        <v>950400</v>
      </c>
      <c r="U14" s="3"/>
      <c r="V14" s="26"/>
      <c r="W14" s="3"/>
      <c r="X14" s="3">
        <f>+P14-T14</f>
        <v>-950400</v>
      </c>
      <c r="Y14" s="3"/>
      <c r="Z14" s="26">
        <f>IF(T14=0,0,X14/T14)</f>
        <v>-1</v>
      </c>
    </row>
    <row r="15" spans="1:26" s="70" customFormat="1" ht="15" hidden="1" customHeight="1" outlineLevel="1" x14ac:dyDescent="0.3">
      <c r="A15" s="48"/>
      <c r="B15" s="9" t="str">
        <f>CONCATENATE("          ","4151"," - ","NON-TAXABLE SALES-FOOD")</f>
        <v xml:space="preserve">          4151 - NON-TAXABLE SALES-FOOD</v>
      </c>
      <c r="C15" s="9"/>
      <c r="D15" s="3">
        <f>0</f>
        <v>0</v>
      </c>
      <c r="E15" s="3"/>
      <c r="F15" s="26"/>
      <c r="G15" s="3"/>
      <c r="H15" s="3"/>
      <c r="I15" s="3"/>
      <c r="J15" s="26"/>
      <c r="K15" s="3"/>
      <c r="L15" s="3">
        <f>+D15-H15</f>
        <v>0</v>
      </c>
      <c r="M15" s="3"/>
      <c r="N15" s="26">
        <f>IF(H15=0,0,L15/H15)</f>
        <v>0</v>
      </c>
      <c r="O15" s="9"/>
      <c r="P15" s="3">
        <f>--1967496.07</f>
        <v>1967496.07</v>
      </c>
      <c r="Q15" s="3"/>
      <c r="R15" s="26"/>
      <c r="S15" s="3"/>
      <c r="T15" s="3"/>
      <c r="U15" s="3"/>
      <c r="V15" s="26"/>
      <c r="W15" s="3"/>
      <c r="X15" s="3">
        <f>+P15-T15</f>
        <v>1967496.07</v>
      </c>
      <c r="Y15" s="3"/>
      <c r="Z15" s="26">
        <f>IF(T15=0,0,X15/T15)</f>
        <v>0</v>
      </c>
    </row>
    <row r="16" spans="1:26" s="70" customFormat="1" ht="15" hidden="1" customHeight="1" outlineLevel="1" x14ac:dyDescent="0.3">
      <c r="A16" s="48"/>
      <c r="B16" s="9" t="str">
        <f>CONCATENATE("          ","4153"," - ","NON-TAXABLE SALES-FOOD")</f>
        <v xml:space="preserve">          4153 - NON-TAXABLE SALES-FOOD</v>
      </c>
      <c r="C16" s="9"/>
      <c r="D16" s="3">
        <f>0</f>
        <v>0</v>
      </c>
      <c r="E16" s="3"/>
      <c r="F16" s="26"/>
      <c r="G16" s="3"/>
      <c r="H16" s="3"/>
      <c r="I16" s="3"/>
      <c r="J16" s="26"/>
      <c r="K16" s="3"/>
      <c r="L16" s="3">
        <f>+D16-H16</f>
        <v>0</v>
      </c>
      <c r="M16" s="3"/>
      <c r="N16" s="26">
        <f>IF(H16=0,0,L16/H16)</f>
        <v>0</v>
      </c>
      <c r="O16" s="9"/>
      <c r="P16" s="3">
        <f>--9248.31</f>
        <v>9248.31</v>
      </c>
      <c r="Q16" s="3"/>
      <c r="R16" s="26"/>
      <c r="S16" s="3"/>
      <c r="T16" s="3"/>
      <c r="U16" s="3"/>
      <c r="V16" s="26"/>
      <c r="W16" s="3"/>
      <c r="X16" s="3">
        <f>+P16-T16</f>
        <v>9248.31</v>
      </c>
      <c r="Y16" s="3"/>
      <c r="Z16" s="26">
        <f>IF(T16=0,0,X16/T16)</f>
        <v>0</v>
      </c>
    </row>
    <row r="17" spans="1:26" ht="15" customHeight="1" x14ac:dyDescent="0.3">
      <c r="A17" s="12"/>
      <c r="B17" s="13"/>
      <c r="C17" s="12"/>
      <c r="D17" s="4"/>
      <c r="E17" s="4"/>
      <c r="F17" s="10"/>
      <c r="G17" s="4"/>
      <c r="H17" s="4"/>
      <c r="I17" s="4"/>
      <c r="J17" s="10"/>
      <c r="K17" s="4"/>
      <c r="L17" s="4"/>
      <c r="M17" s="4"/>
      <c r="N17" s="10"/>
      <c r="P17" s="4"/>
      <c r="Q17" s="4"/>
      <c r="R17" s="10"/>
      <c r="S17" s="4"/>
      <c r="T17" s="4"/>
      <c r="U17" s="4"/>
      <c r="V17" s="10"/>
      <c r="W17" s="4"/>
      <c r="X17" s="4"/>
      <c r="Y17" s="4"/>
      <c r="Z17" s="10"/>
    </row>
    <row r="18" spans="1:26" s="63" customFormat="1" ht="15" customHeight="1" collapsed="1" x14ac:dyDescent="0.3">
      <c r="A18" s="13"/>
      <c r="B18" s="28" t="s">
        <v>288</v>
      </c>
      <c r="C18" s="13"/>
      <c r="D18" s="8">
        <f>SUM(OSRRefD16x_0)</f>
        <v>-1693.35</v>
      </c>
      <c r="E18" s="8"/>
      <c r="F18" s="14">
        <f>IF(D$12=0,0,D18/D$12)</f>
        <v>0</v>
      </c>
      <c r="G18" s="8"/>
      <c r="H18" s="8">
        <f>SUM(OSRRefH16x_0)</f>
        <v>0</v>
      </c>
      <c r="I18" s="8"/>
      <c r="J18" s="14">
        <f>IF(H$12=0,0,H18/H$12)</f>
        <v>0</v>
      </c>
      <c r="K18" s="8"/>
      <c r="L18" s="8">
        <f>+D18-H18</f>
        <v>-1693.35</v>
      </c>
      <c r="M18" s="8"/>
      <c r="N18" s="14">
        <f>IF(H18=0,0,L18/H18)</f>
        <v>0</v>
      </c>
      <c r="O18" s="13"/>
      <c r="P18" s="8">
        <f>SUM(OSRRefP16x_0)</f>
        <v>465992.21</v>
      </c>
      <c r="Q18" s="8"/>
      <c r="R18" s="14">
        <f>IF(P$12=0,0,P18/P$12)</f>
        <v>0.23569496555735936</v>
      </c>
      <c r="S18" s="8"/>
      <c r="T18" s="8">
        <f>SUM(OSRRefT16x_0)</f>
        <v>244057</v>
      </c>
      <c r="U18" s="8"/>
      <c r="V18" s="14">
        <f>IF(T$12=0,0,T18/T$12)</f>
        <v>0.25679398148148147</v>
      </c>
      <c r="W18" s="8"/>
      <c r="X18" s="8">
        <f>+P18-T18</f>
        <v>221935.21000000002</v>
      </c>
      <c r="Y18" s="8"/>
      <c r="Z18" s="14">
        <f>IF(T18=0,0,X18/T18)</f>
        <v>0.90935810077154111</v>
      </c>
    </row>
    <row r="19" spans="1:26" s="70" customFormat="1" ht="15" hidden="1" customHeight="1" outlineLevel="1" x14ac:dyDescent="0.3">
      <c r="A19" s="48"/>
      <c r="B19" s="9" t="str">
        <f>CONCATENATE("          ","5000"," - ","PURCHASES @ COST")</f>
        <v xml:space="preserve">          5000 - PURCHASES @ COST</v>
      </c>
      <c r="C19" s="9"/>
      <c r="D19" s="3"/>
      <c r="E19" s="3"/>
      <c r="F19" s="26">
        <f>IF(D$12=0,0,D19/D$12)</f>
        <v>0</v>
      </c>
      <c r="G19" s="3"/>
      <c r="H19" s="3"/>
      <c r="I19" s="3"/>
      <c r="J19" s="26">
        <f>IF(H$12=0,0,H19/H$12)</f>
        <v>0</v>
      </c>
      <c r="K19" s="3"/>
      <c r="L19" s="3">
        <f>+D19-H19</f>
        <v>0</v>
      </c>
      <c r="M19" s="3"/>
      <c r="N19" s="26">
        <f>IF(H19=0,0,L19/H19)</f>
        <v>0</v>
      </c>
      <c r="O19" s="9"/>
      <c r="P19" s="3"/>
      <c r="Q19" s="3"/>
      <c r="R19" s="26">
        <f>IF(P$12=0,0,P19/P$12)</f>
        <v>0</v>
      </c>
      <c r="S19" s="3"/>
      <c r="T19" s="3">
        <v>244057</v>
      </c>
      <c r="U19" s="3"/>
      <c r="V19" s="26">
        <f>IF(T$12=0,0,T19/T$12)</f>
        <v>0.25679398148148147</v>
      </c>
      <c r="W19" s="3"/>
      <c r="X19" s="3">
        <f>+P19-T19</f>
        <v>-244057</v>
      </c>
      <c r="Y19" s="3"/>
      <c r="Z19" s="26">
        <f>IF(T19=0,0,X19/T19)</f>
        <v>-1</v>
      </c>
    </row>
    <row r="20" spans="1:26" s="70" customFormat="1" ht="15" hidden="1" customHeight="1" outlineLevel="1" x14ac:dyDescent="0.3">
      <c r="A20" s="48"/>
      <c r="B20" s="9" t="str">
        <f>CONCATENATE("          ","5053"," - ","PURCHASES @ COST-FOOD")</f>
        <v xml:space="preserve">          5053 - PURCHASES @ COST-FOOD</v>
      </c>
      <c r="C20" s="9"/>
      <c r="D20" s="3">
        <v>2087.65</v>
      </c>
      <c r="E20" s="3"/>
      <c r="F20" s="26">
        <f>IF(D$12=0,0,D20/D$12)</f>
        <v>0</v>
      </c>
      <c r="G20" s="3"/>
      <c r="H20" s="3"/>
      <c r="I20" s="3"/>
      <c r="J20" s="26">
        <f>IF(H$12=0,0,H20/H$12)</f>
        <v>0</v>
      </c>
      <c r="K20" s="3"/>
      <c r="L20" s="3">
        <f>+D20-H20</f>
        <v>2087.65</v>
      </c>
      <c r="M20" s="3"/>
      <c r="N20" s="26">
        <f>IF(H20=0,0,L20/H20)</f>
        <v>0</v>
      </c>
      <c r="O20" s="9"/>
      <c r="P20" s="3">
        <v>477212.27</v>
      </c>
      <c r="Q20" s="3"/>
      <c r="R20" s="26">
        <f>IF(P$12=0,0,P20/P$12)</f>
        <v>0.24136997814019095</v>
      </c>
      <c r="S20" s="3"/>
      <c r="T20" s="3"/>
      <c r="U20" s="3"/>
      <c r="V20" s="26">
        <f>IF(T$12=0,0,T20/T$12)</f>
        <v>0</v>
      </c>
      <c r="W20" s="3"/>
      <c r="X20" s="3">
        <f>+P20-T20</f>
        <v>477212.27</v>
      </c>
      <c r="Y20" s="3"/>
      <c r="Z20" s="26">
        <f>IF(T20=0,0,X20/T20)</f>
        <v>0</v>
      </c>
    </row>
    <row r="21" spans="1:26" s="70" customFormat="1" ht="15" hidden="1" customHeight="1" outlineLevel="1" x14ac:dyDescent="0.3">
      <c r="A21" s="48"/>
      <c r="B21" s="9" t="str">
        <f>CONCATENATE("          ","5059"," - ","PURCHASES @ COST-FOOD")</f>
        <v xml:space="preserve">          5059 - PURCHASES @ COST-FOOD</v>
      </c>
      <c r="C21" s="9"/>
      <c r="D21" s="3">
        <v>-3781</v>
      </c>
      <c r="E21" s="3"/>
      <c r="F21" s="26">
        <f>IF(D$12=0,0,D21/D$12)</f>
        <v>0</v>
      </c>
      <c r="G21" s="3"/>
      <c r="H21" s="3"/>
      <c r="I21" s="3"/>
      <c r="J21" s="26">
        <f>IF(H$12=0,0,H21/H$12)</f>
        <v>0</v>
      </c>
      <c r="K21" s="3"/>
      <c r="L21" s="3">
        <f>+D21-H21</f>
        <v>-3781</v>
      </c>
      <c r="M21" s="3"/>
      <c r="N21" s="26">
        <f>IF(H21=0,0,L21/H21)</f>
        <v>0</v>
      </c>
      <c r="O21" s="9"/>
      <c r="P21" s="3">
        <v>-11220.06</v>
      </c>
      <c r="Q21" s="3"/>
      <c r="R21" s="26">
        <f>IF(P$12=0,0,P21/P$12)</f>
        <v>-5.6750125828315999E-3</v>
      </c>
      <c r="S21" s="3"/>
      <c r="T21" s="3"/>
      <c r="U21" s="3"/>
      <c r="V21" s="26">
        <f>IF(T$12=0,0,T21/T$12)</f>
        <v>0</v>
      </c>
      <c r="W21" s="3"/>
      <c r="X21" s="3">
        <f>+P21-T21</f>
        <v>-11220.06</v>
      </c>
      <c r="Y21" s="3"/>
      <c r="Z21" s="26">
        <f>IF(T21=0,0,X21/T21)</f>
        <v>0</v>
      </c>
    </row>
    <row r="22" spans="1:26" ht="15" customHeight="1" x14ac:dyDescent="0.3">
      <c r="A22" s="12"/>
      <c r="B22" s="13"/>
      <c r="C22" s="13"/>
      <c r="D22" s="4"/>
      <c r="E22" s="4"/>
      <c r="F22" s="10"/>
      <c r="G22" s="4"/>
      <c r="H22" s="4"/>
      <c r="I22" s="4"/>
      <c r="J22" s="10"/>
      <c r="K22" s="4"/>
      <c r="L22" s="4"/>
      <c r="M22" s="4"/>
      <c r="N22" s="10"/>
      <c r="O22" s="13"/>
      <c r="P22" s="4"/>
      <c r="Q22" s="4"/>
      <c r="R22" s="10"/>
      <c r="S22" s="4"/>
      <c r="T22" s="4"/>
      <c r="U22" s="4"/>
      <c r="V22" s="10"/>
      <c r="W22" s="4"/>
      <c r="X22" s="4"/>
      <c r="Y22" s="4"/>
      <c r="Z22" s="10"/>
    </row>
    <row r="23" spans="1:26" s="63" customFormat="1" ht="15" customHeight="1" x14ac:dyDescent="0.3">
      <c r="A23" s="13"/>
      <c r="B23" s="27" t="s">
        <v>289</v>
      </c>
      <c r="C23" s="27"/>
      <c r="D23" s="23">
        <f>D12-D18</f>
        <v>1693.35</v>
      </c>
      <c r="E23" s="15"/>
      <c r="F23" s="22">
        <f>IF(D$12=0,0,D23/D$12)</f>
        <v>0</v>
      </c>
      <c r="G23" s="15"/>
      <c r="H23" s="23">
        <f>H12-H18</f>
        <v>0</v>
      </c>
      <c r="I23" s="15"/>
      <c r="J23" s="22">
        <f>IF(H$12=0,0,H23/H$12)</f>
        <v>0</v>
      </c>
      <c r="K23" s="17"/>
      <c r="L23" s="23">
        <f>+D23-H23</f>
        <v>1693.35</v>
      </c>
      <c r="M23" s="17"/>
      <c r="N23" s="22">
        <f>IF(H23=0,0,L23/H23)</f>
        <v>0</v>
      </c>
      <c r="O23" s="28"/>
      <c r="P23" s="23">
        <f>P12-P18</f>
        <v>1511106.4900000002</v>
      </c>
      <c r="Q23" s="15"/>
      <c r="R23" s="22">
        <f>IF(P$12=0,0,P23/P$12)</f>
        <v>0.76430503444264064</v>
      </c>
      <c r="S23" s="15"/>
      <c r="T23" s="23">
        <f>T12-T18</f>
        <v>706343</v>
      </c>
      <c r="U23" s="15"/>
      <c r="V23" s="22">
        <f>IF(T$12=0,0,T23/T$12)</f>
        <v>0.74320601851851853</v>
      </c>
      <c r="W23" s="17"/>
      <c r="X23" s="23">
        <f>+P23-T23</f>
        <v>804763.49000000022</v>
      </c>
      <c r="Y23" s="17"/>
      <c r="Z23" s="22">
        <f>IF(T23=0,0,X23/T23)</f>
        <v>1.139338097779691</v>
      </c>
    </row>
    <row r="24" spans="1:26" ht="15" customHeight="1" x14ac:dyDescent="0.3">
      <c r="A24" s="12"/>
      <c r="B24" s="13"/>
      <c r="C24" s="12"/>
      <c r="D24" s="2"/>
      <c r="E24" s="2"/>
      <c r="F24" s="5"/>
      <c r="G24" s="2"/>
      <c r="H24" s="2"/>
      <c r="I24" s="2"/>
      <c r="J24" s="5"/>
      <c r="K24" s="2"/>
      <c r="L24" s="2"/>
      <c r="M24" s="2"/>
      <c r="N24" s="5"/>
      <c r="O24" s="36"/>
      <c r="P24" s="2"/>
      <c r="Q24" s="2"/>
      <c r="R24" s="5"/>
      <c r="S24" s="2"/>
      <c r="T24" s="2"/>
      <c r="U24" s="2"/>
      <c r="V24" s="5"/>
      <c r="W24" s="2"/>
      <c r="X24" s="2"/>
      <c r="Y24" s="2"/>
      <c r="Z24" s="5"/>
    </row>
    <row r="25" spans="1:26" s="63" customFormat="1" ht="15" customHeight="1" x14ac:dyDescent="0.3">
      <c r="A25" s="13"/>
      <c r="B25" s="28" t="s">
        <v>290</v>
      </c>
      <c r="C25" s="13"/>
      <c r="D25" s="24" cm="1">
        <f t="array" ref="D25">SUM(OSRRefD22x_0)</f>
        <v>52730.610000000008</v>
      </c>
      <c r="E25" s="24"/>
      <c r="F25" s="34">
        <f t="shared" ref="F25:F56" si="0">IF(D$12=0,0,D25/D$12)</f>
        <v>0</v>
      </c>
      <c r="G25" s="24"/>
      <c r="H25" s="24" cm="1">
        <f t="array" ref="H25">SUM(OSRRefH22x_0)</f>
        <v>67671.92699692311</v>
      </c>
      <c r="I25" s="24"/>
      <c r="J25" s="34">
        <f t="shared" ref="J25:J56" si="1">IF(H$12=0,0,H25/H$12)</f>
        <v>0</v>
      </c>
      <c r="K25" s="8"/>
      <c r="L25" s="24">
        <f t="shared" ref="L25:L56" si="2">+D25-H25</f>
        <v>-14941.316996923102</v>
      </c>
      <c r="M25" s="8"/>
      <c r="N25" s="34">
        <f t="shared" ref="N25:N56" si="3">IF(H25=0,0,L25/H25)</f>
        <v>-0.22079047634630605</v>
      </c>
      <c r="O25" s="13"/>
      <c r="P25" s="24" cm="1">
        <f t="array" ref="P25">SUM(OSRRefP22x_0)</f>
        <v>1323500.3900000001</v>
      </c>
      <c r="Q25" s="24"/>
      <c r="R25" s="34">
        <f t="shared" ref="R25:R56" si="4">IF(P$12=0,0,P25/P$12)</f>
        <v>0.66941543687222094</v>
      </c>
      <c r="S25" s="24"/>
      <c r="T25" s="24" cm="1">
        <f t="array" ref="T25">SUM(OSRRefT22x_0)</f>
        <v>1396850.2184599999</v>
      </c>
      <c r="U25" s="24"/>
      <c r="V25" s="34">
        <f t="shared" ref="V25:V56" si="5">IF(T$12=0,0,T25/T$12)</f>
        <v>1.4697498089856902</v>
      </c>
      <c r="W25" s="8"/>
      <c r="X25" s="24">
        <f t="shared" ref="X25:X56" si="6">+P25-T25</f>
        <v>-73349.828459999757</v>
      </c>
      <c r="Y25" s="8"/>
      <c r="Z25" s="34">
        <f t="shared" ref="Z25:Z56" si="7">IF(T25=0,0,X25/T25)</f>
        <v>-5.2510875891093399E-2</v>
      </c>
    </row>
    <row r="26" spans="1:26" s="69" customFormat="1" ht="15" customHeight="1" outlineLevel="1" collapsed="1" x14ac:dyDescent="0.3">
      <c r="A26" s="20"/>
      <c r="B26" s="11" t="str">
        <f>CONCATENATE("     ","*Benefits                                         ")</f>
        <v xml:space="preserve">     *Benefits                                         </v>
      </c>
      <c r="C26" s="11"/>
      <c r="D26" s="2">
        <f>SUM(OSRRefD22_0x_0)</f>
        <v>15578.19</v>
      </c>
      <c r="E26" s="2"/>
      <c r="F26" s="5">
        <f t="shared" si="0"/>
        <v>0</v>
      </c>
      <c r="G26" s="2"/>
      <c r="H26" s="2">
        <f>SUM(OSRRefH22_0x_0)</f>
        <v>27581.43161230773</v>
      </c>
      <c r="I26" s="2"/>
      <c r="J26" s="5">
        <f t="shared" si="1"/>
        <v>0</v>
      </c>
      <c r="K26" s="2"/>
      <c r="L26" s="2">
        <f t="shared" si="2"/>
        <v>-12003.241612307729</v>
      </c>
      <c r="M26" s="2"/>
      <c r="N26" s="5">
        <f t="shared" si="3"/>
        <v>-0.43519284209132542</v>
      </c>
      <c r="O26" s="11"/>
      <c r="P26" s="2">
        <f>SUM(OSRRefP22_0x_0)</f>
        <v>284772.17000000004</v>
      </c>
      <c r="Q26" s="2"/>
      <c r="R26" s="5">
        <f t="shared" si="4"/>
        <v>0.14403538376713312</v>
      </c>
      <c r="S26" s="2"/>
      <c r="T26" s="2">
        <f>SUM(OSRRefT22_0x_0)</f>
        <v>379898.30645999993</v>
      </c>
      <c r="U26" s="2"/>
      <c r="V26" s="5">
        <f t="shared" si="5"/>
        <v>0.39972464905303023</v>
      </c>
      <c r="W26" s="2"/>
      <c r="X26" s="2">
        <f t="shared" si="6"/>
        <v>-95126.136459999892</v>
      </c>
      <c r="Y26" s="2"/>
      <c r="Z26" s="5">
        <f t="shared" si="7"/>
        <v>-0.25039894846179278</v>
      </c>
    </row>
    <row r="27" spans="1:26" s="70" customFormat="1" ht="15" hidden="1" customHeight="1" outlineLevel="2" x14ac:dyDescent="0.3">
      <c r="A27" s="21"/>
      <c r="B27" s="9" t="str">
        <f>CONCATENATE("          ","6111"," - ","F.I.C.A.")</f>
        <v xml:space="preserve">          6111 - F.I.C.A.</v>
      </c>
      <c r="C27" s="9"/>
      <c r="D27" s="6">
        <v>3090.32</v>
      </c>
      <c r="E27" s="3"/>
      <c r="F27" s="7">
        <f t="shared" si="0"/>
        <v>0</v>
      </c>
      <c r="G27" s="3"/>
      <c r="H27" s="6">
        <v>2633.9977661538501</v>
      </c>
      <c r="I27" s="3"/>
      <c r="J27" s="7">
        <f t="shared" si="1"/>
        <v>0</v>
      </c>
      <c r="K27" s="3"/>
      <c r="L27" s="6">
        <f t="shared" si="2"/>
        <v>456.32223384615008</v>
      </c>
      <c r="M27" s="3"/>
      <c r="N27" s="7">
        <f t="shared" si="3"/>
        <v>0.17324321216584379</v>
      </c>
      <c r="O27" s="9"/>
      <c r="P27" s="6">
        <v>39387.69</v>
      </c>
      <c r="Q27" s="3"/>
      <c r="R27" s="7">
        <f t="shared" si="4"/>
        <v>1.9921964442139381E-2</v>
      </c>
      <c r="S27" s="3"/>
      <c r="T27" s="6">
        <v>35233.034460000003</v>
      </c>
      <c r="U27" s="3"/>
      <c r="V27" s="7">
        <f t="shared" si="5"/>
        <v>3.7071795517676767E-2</v>
      </c>
      <c r="W27" s="3"/>
      <c r="X27" s="6">
        <f t="shared" si="6"/>
        <v>4154.6555399999997</v>
      </c>
      <c r="Y27" s="3"/>
      <c r="Z27" s="7">
        <f t="shared" si="7"/>
        <v>0.11791932212698773</v>
      </c>
    </row>
    <row r="28" spans="1:26" s="70" customFormat="1" ht="15" hidden="1" customHeight="1" outlineLevel="2" x14ac:dyDescent="0.3">
      <c r="A28" s="21"/>
      <c r="B28" s="9" t="str">
        <f>CONCATENATE("          ","6112"," - ","COMPENSATION INSURANCE")</f>
        <v xml:space="preserve">          6112 - COMPENSATION INSURANCE</v>
      </c>
      <c r="C28" s="9"/>
      <c r="D28" s="6">
        <v>-7114.24</v>
      </c>
      <c r="E28" s="3"/>
      <c r="F28" s="7">
        <f t="shared" si="0"/>
        <v>0</v>
      </c>
      <c r="G28" s="3"/>
      <c r="H28" s="6">
        <v>1304.43636923077</v>
      </c>
      <c r="I28" s="3"/>
      <c r="J28" s="7">
        <f t="shared" si="1"/>
        <v>0</v>
      </c>
      <c r="K28" s="3"/>
      <c r="L28" s="6">
        <f t="shared" si="2"/>
        <v>-8418.6763692307704</v>
      </c>
      <c r="M28" s="3"/>
      <c r="N28" s="7">
        <f t="shared" si="3"/>
        <v>-6.4538804404811936</v>
      </c>
      <c r="O28" s="9"/>
      <c r="P28" s="6">
        <v>16622.95</v>
      </c>
      <c r="Q28" s="3"/>
      <c r="R28" s="7">
        <f t="shared" si="4"/>
        <v>8.4077491933002638E-3</v>
      </c>
      <c r="S28" s="3"/>
      <c r="T28" s="6">
        <v>30087.65784</v>
      </c>
      <c r="U28" s="3"/>
      <c r="V28" s="7">
        <f t="shared" si="5"/>
        <v>3.1657889141414139E-2</v>
      </c>
      <c r="W28" s="3"/>
      <c r="X28" s="6">
        <f t="shared" si="6"/>
        <v>-13464.707839999999</v>
      </c>
      <c r="Y28" s="3"/>
      <c r="Z28" s="7">
        <f t="shared" si="7"/>
        <v>-0.44751598517912416</v>
      </c>
    </row>
    <row r="29" spans="1:26" s="70" customFormat="1" ht="15" hidden="1" customHeight="1" outlineLevel="2" x14ac:dyDescent="0.3">
      <c r="A29" s="21"/>
      <c r="B29" s="9" t="str">
        <f>CONCATENATE("          ","6113"," - ","GROUP INSURANCE")</f>
        <v xml:space="preserve">          6113 - GROUP INSURANCE</v>
      </c>
      <c r="C29" s="9"/>
      <c r="D29" s="6">
        <v>12774.24</v>
      </c>
      <c r="E29" s="3"/>
      <c r="F29" s="7">
        <f t="shared" si="0"/>
        <v>0</v>
      </c>
      <c r="G29" s="3"/>
      <c r="H29" s="6">
        <v>18578.538461538501</v>
      </c>
      <c r="I29" s="3"/>
      <c r="J29" s="7">
        <f t="shared" si="1"/>
        <v>0</v>
      </c>
      <c r="K29" s="3"/>
      <c r="L29" s="6">
        <f t="shared" si="2"/>
        <v>-5804.2984615385012</v>
      </c>
      <c r="M29" s="3"/>
      <c r="N29" s="7">
        <f t="shared" si="3"/>
        <v>-0.31241954115791321</v>
      </c>
      <c r="O29" s="9"/>
      <c r="P29" s="6">
        <v>148122.79</v>
      </c>
      <c r="Q29" s="3"/>
      <c r="R29" s="7">
        <f t="shared" si="4"/>
        <v>7.4919269331369234E-2</v>
      </c>
      <c r="S29" s="3"/>
      <c r="T29" s="6">
        <v>239544</v>
      </c>
      <c r="U29" s="3"/>
      <c r="V29" s="7">
        <f t="shared" si="5"/>
        <v>0.25204545454545457</v>
      </c>
      <c r="W29" s="3"/>
      <c r="X29" s="6">
        <f t="shared" si="6"/>
        <v>-91421.209999999992</v>
      </c>
      <c r="Y29" s="3"/>
      <c r="Z29" s="7">
        <f t="shared" si="7"/>
        <v>-0.38164683732424937</v>
      </c>
    </row>
    <row r="30" spans="1:26" s="70" customFormat="1" ht="15" hidden="1" customHeight="1" outlineLevel="2" x14ac:dyDescent="0.3">
      <c r="A30" s="21"/>
      <c r="B30" s="9" t="str">
        <f>CONCATENATE("          ","6114"," - ","STATE UNEMPLOYMENT INSURANCE")</f>
        <v xml:space="preserve">          6114 - STATE UNEMPLOYMENT INSURANCE</v>
      </c>
      <c r="C30" s="9"/>
      <c r="D30" s="6"/>
      <c r="E30" s="3"/>
      <c r="F30" s="7">
        <f t="shared" si="0"/>
        <v>0</v>
      </c>
      <c r="G30" s="3"/>
      <c r="H30" s="6">
        <v>72.277476923076904</v>
      </c>
      <c r="I30" s="3"/>
      <c r="J30" s="7">
        <f t="shared" si="1"/>
        <v>0</v>
      </c>
      <c r="K30" s="3"/>
      <c r="L30" s="6">
        <f t="shared" si="2"/>
        <v>-72.277476923076904</v>
      </c>
      <c r="M30" s="3"/>
      <c r="N30" s="7">
        <f t="shared" si="3"/>
        <v>-1</v>
      </c>
      <c r="O30" s="9"/>
      <c r="P30" s="6">
        <v>1714.35</v>
      </c>
      <c r="Q30" s="3"/>
      <c r="R30" s="7">
        <f t="shared" si="4"/>
        <v>8.6710390331044157E-4</v>
      </c>
      <c r="S30" s="3"/>
      <c r="T30" s="6">
        <v>1667.12616</v>
      </c>
      <c r="U30" s="3"/>
      <c r="V30" s="7">
        <f t="shared" si="5"/>
        <v>1.7541310606060607E-3</v>
      </c>
      <c r="W30" s="3"/>
      <c r="X30" s="6">
        <f t="shared" si="6"/>
        <v>47.223839999999882</v>
      </c>
      <c r="Y30" s="3"/>
      <c r="Z30" s="7">
        <f t="shared" si="7"/>
        <v>2.8326494498772593E-2</v>
      </c>
    </row>
    <row r="31" spans="1:26" s="70" customFormat="1" ht="15" hidden="1" customHeight="1" outlineLevel="2" x14ac:dyDescent="0.3">
      <c r="A31" s="21"/>
      <c r="B31" s="9" t="str">
        <f>CONCATENATE("          ","6115"," - ","P.E.R.S.")</f>
        <v xml:space="preserve">          6115 - P.E.R.S.</v>
      </c>
      <c r="C31" s="9"/>
      <c r="D31" s="6">
        <v>1062.67</v>
      </c>
      <c r="E31" s="3"/>
      <c r="F31" s="7">
        <f t="shared" si="0"/>
        <v>0</v>
      </c>
      <c r="G31" s="3"/>
      <c r="H31" s="6">
        <v>408.83076923076902</v>
      </c>
      <c r="I31" s="3"/>
      <c r="J31" s="7">
        <f t="shared" si="1"/>
        <v>0</v>
      </c>
      <c r="K31" s="3"/>
      <c r="L31" s="6">
        <f t="shared" si="2"/>
        <v>653.83923076923111</v>
      </c>
      <c r="M31" s="3"/>
      <c r="N31" s="7">
        <f t="shared" si="3"/>
        <v>1.5992906600436534</v>
      </c>
      <c r="O31" s="9"/>
      <c r="P31" s="6">
        <v>11014.82</v>
      </c>
      <c r="Q31" s="3"/>
      <c r="R31" s="7">
        <f t="shared" si="4"/>
        <v>5.5712039060063102E-3</v>
      </c>
      <c r="S31" s="3"/>
      <c r="T31" s="6">
        <v>5314.8</v>
      </c>
      <c r="U31" s="3"/>
      <c r="V31" s="7">
        <f t="shared" si="5"/>
        <v>5.5921717171717178E-3</v>
      </c>
      <c r="W31" s="3"/>
      <c r="X31" s="6">
        <f t="shared" si="6"/>
        <v>5700.0199999999995</v>
      </c>
      <c r="Y31" s="3"/>
      <c r="Z31" s="7">
        <f t="shared" si="7"/>
        <v>1.0724806201550385</v>
      </c>
    </row>
    <row r="32" spans="1:26" s="70" customFormat="1" ht="15" hidden="1" customHeight="1" outlineLevel="2" x14ac:dyDescent="0.3">
      <c r="A32" s="21"/>
      <c r="B32" s="9" t="str">
        <f>CONCATENATE("          ","6116"," - ","EDUCATIONAL BENEFITS")</f>
        <v xml:space="preserve">          6116 - EDUCATIONAL BENEFITS</v>
      </c>
      <c r="C32" s="9"/>
      <c r="D32" s="6"/>
      <c r="E32" s="3"/>
      <c r="F32" s="7">
        <f t="shared" si="0"/>
        <v>0</v>
      </c>
      <c r="G32" s="3"/>
      <c r="H32" s="6">
        <v>0</v>
      </c>
      <c r="I32" s="3"/>
      <c r="J32" s="7">
        <f t="shared" si="1"/>
        <v>0</v>
      </c>
      <c r="K32" s="3"/>
      <c r="L32" s="6">
        <f t="shared" si="2"/>
        <v>0</v>
      </c>
      <c r="M32" s="3"/>
      <c r="N32" s="7">
        <f t="shared" si="3"/>
        <v>0</v>
      </c>
      <c r="O32" s="9"/>
      <c r="P32" s="6"/>
      <c r="Q32" s="3"/>
      <c r="R32" s="7">
        <f t="shared" si="4"/>
        <v>0</v>
      </c>
      <c r="S32" s="3"/>
      <c r="T32" s="6">
        <v>0</v>
      </c>
      <c r="U32" s="3"/>
      <c r="V32" s="7">
        <f t="shared" si="5"/>
        <v>0</v>
      </c>
      <c r="W32" s="3"/>
      <c r="X32" s="6">
        <f t="shared" si="6"/>
        <v>0</v>
      </c>
      <c r="Y32" s="3"/>
      <c r="Z32" s="7">
        <f t="shared" si="7"/>
        <v>0</v>
      </c>
    </row>
    <row r="33" spans="1:26" s="70" customFormat="1" ht="15" hidden="1" customHeight="1" outlineLevel="2" x14ac:dyDescent="0.3">
      <c r="A33" s="21"/>
      <c r="B33" s="9" t="str">
        <f>CONCATENATE("          ","6117"," - ","RETIREMENT STAFF HOURLY")</f>
        <v xml:space="preserve">          6117 - RETIREMENT STAFF HOURLY</v>
      </c>
      <c r="C33" s="9"/>
      <c r="D33" s="6">
        <v>462.29</v>
      </c>
      <c r="E33" s="3"/>
      <c r="F33" s="7">
        <f t="shared" si="0"/>
        <v>0</v>
      </c>
      <c r="G33" s="3"/>
      <c r="H33" s="6"/>
      <c r="I33" s="3"/>
      <c r="J33" s="7">
        <f t="shared" si="1"/>
        <v>0</v>
      </c>
      <c r="K33" s="3"/>
      <c r="L33" s="6">
        <f t="shared" si="2"/>
        <v>462.29</v>
      </c>
      <c r="M33" s="3"/>
      <c r="N33" s="7">
        <f t="shared" si="3"/>
        <v>0</v>
      </c>
      <c r="O33" s="9"/>
      <c r="P33" s="6">
        <v>7452.04</v>
      </c>
      <c r="Q33" s="3"/>
      <c r="R33" s="7">
        <f t="shared" si="4"/>
        <v>3.7691795558815549E-3</v>
      </c>
      <c r="S33" s="3"/>
      <c r="T33" s="6"/>
      <c r="U33" s="3"/>
      <c r="V33" s="7">
        <f t="shared" si="5"/>
        <v>0</v>
      </c>
      <c r="W33" s="3"/>
      <c r="X33" s="6">
        <f t="shared" si="6"/>
        <v>7452.04</v>
      </c>
      <c r="Y33" s="3"/>
      <c r="Z33" s="7">
        <f t="shared" si="7"/>
        <v>0</v>
      </c>
    </row>
    <row r="34" spans="1:26" s="70" customFormat="1" ht="15" hidden="1" customHeight="1" outlineLevel="2" x14ac:dyDescent="0.3">
      <c r="A34" s="21"/>
      <c r="B34" s="9" t="str">
        <f>CONCATENATE("          ","6118"," - ","VACATION")</f>
        <v xml:space="preserve">          6118 - VACATION</v>
      </c>
      <c r="C34" s="9"/>
      <c r="D34" s="6">
        <v>2315.1799999999998</v>
      </c>
      <c r="E34" s="3"/>
      <c r="F34" s="7">
        <f t="shared" si="0"/>
        <v>0</v>
      </c>
      <c r="G34" s="3"/>
      <c r="H34" s="6">
        <v>1625.81538461538</v>
      </c>
      <c r="I34" s="3"/>
      <c r="J34" s="7">
        <f t="shared" si="1"/>
        <v>0</v>
      </c>
      <c r="K34" s="3"/>
      <c r="L34" s="6">
        <f t="shared" si="2"/>
        <v>689.36461538461981</v>
      </c>
      <c r="M34" s="3"/>
      <c r="N34" s="7">
        <f t="shared" si="3"/>
        <v>0.4240116202047769</v>
      </c>
      <c r="O34" s="9"/>
      <c r="P34" s="6">
        <v>25631.26</v>
      </c>
      <c r="Q34" s="3"/>
      <c r="R34" s="7">
        <f t="shared" si="4"/>
        <v>1.2964077109554519E-2</v>
      </c>
      <c r="S34" s="3"/>
      <c r="T34" s="6">
        <v>21135.599999999999</v>
      </c>
      <c r="U34" s="3"/>
      <c r="V34" s="7">
        <f t="shared" si="5"/>
        <v>2.2238636363636363E-2</v>
      </c>
      <c r="W34" s="3"/>
      <c r="X34" s="6">
        <f t="shared" si="6"/>
        <v>4495.66</v>
      </c>
      <c r="Y34" s="3"/>
      <c r="Z34" s="7">
        <f t="shared" si="7"/>
        <v>0.21270557731978273</v>
      </c>
    </row>
    <row r="35" spans="1:26" s="70" customFormat="1" ht="15" hidden="1" customHeight="1" outlineLevel="2" x14ac:dyDescent="0.3">
      <c r="A35" s="21"/>
      <c r="B35" s="9" t="str">
        <f>CONCATENATE("          ","6119"," - ","SICK LEAVE")</f>
        <v xml:space="preserve">          6119 - SICK LEAVE</v>
      </c>
      <c r="C35" s="9"/>
      <c r="D35" s="6">
        <v>1783.26</v>
      </c>
      <c r="E35" s="3"/>
      <c r="F35" s="7">
        <f t="shared" si="0"/>
        <v>0</v>
      </c>
      <c r="G35" s="3"/>
      <c r="H35" s="6">
        <v>1032.5353846153801</v>
      </c>
      <c r="I35" s="3"/>
      <c r="J35" s="7">
        <f t="shared" si="1"/>
        <v>0</v>
      </c>
      <c r="K35" s="3"/>
      <c r="L35" s="6">
        <f t="shared" si="2"/>
        <v>750.72461538461994</v>
      </c>
      <c r="M35" s="3"/>
      <c r="N35" s="7">
        <f t="shared" si="3"/>
        <v>0.72706914123264188</v>
      </c>
      <c r="O35" s="9"/>
      <c r="P35" s="6">
        <v>21039.9</v>
      </c>
      <c r="Q35" s="3"/>
      <c r="R35" s="7">
        <f t="shared" si="4"/>
        <v>1.0641805591192792E-2</v>
      </c>
      <c r="S35" s="3"/>
      <c r="T35" s="6">
        <v>23816.088</v>
      </c>
      <c r="U35" s="3"/>
      <c r="V35" s="7">
        <f t="shared" si="5"/>
        <v>2.5059015151515152E-2</v>
      </c>
      <c r="W35" s="3"/>
      <c r="X35" s="6">
        <f t="shared" si="6"/>
        <v>-2776.1879999999983</v>
      </c>
      <c r="Y35" s="3"/>
      <c r="Z35" s="7">
        <f t="shared" si="7"/>
        <v>-0.11656775873518767</v>
      </c>
    </row>
    <row r="36" spans="1:26" s="70" customFormat="1" ht="15" hidden="1" customHeight="1" outlineLevel="2" x14ac:dyDescent="0.3">
      <c r="A36" s="21"/>
      <c r="B36" s="9" t="str">
        <f>CONCATENATE("          ","6156"," - ","EMPLOYEE MEALS")</f>
        <v xml:space="preserve">          6156 - EMPLOYEE MEALS</v>
      </c>
      <c r="C36" s="9"/>
      <c r="D36" s="6">
        <v>1204.47</v>
      </c>
      <c r="E36" s="3"/>
      <c r="F36" s="7">
        <f t="shared" si="0"/>
        <v>0</v>
      </c>
      <c r="G36" s="3"/>
      <c r="H36" s="6">
        <v>1925</v>
      </c>
      <c r="I36" s="3"/>
      <c r="J36" s="7">
        <f t="shared" si="1"/>
        <v>0</v>
      </c>
      <c r="K36" s="3"/>
      <c r="L36" s="6">
        <f t="shared" si="2"/>
        <v>-720.53</v>
      </c>
      <c r="M36" s="3"/>
      <c r="N36" s="7">
        <f t="shared" si="3"/>
        <v>-0.37430129870129869</v>
      </c>
      <c r="O36" s="9"/>
      <c r="P36" s="6">
        <v>13786.37</v>
      </c>
      <c r="Q36" s="3"/>
      <c r="R36" s="7">
        <f t="shared" si="4"/>
        <v>6.9730307343786125E-3</v>
      </c>
      <c r="S36" s="3"/>
      <c r="T36" s="6">
        <v>23100</v>
      </c>
      <c r="U36" s="3"/>
      <c r="V36" s="7">
        <f t="shared" si="5"/>
        <v>2.4305555555555556E-2</v>
      </c>
      <c r="W36" s="3"/>
      <c r="X36" s="6">
        <f t="shared" si="6"/>
        <v>-9313.6299999999992</v>
      </c>
      <c r="Y36" s="3"/>
      <c r="Z36" s="7">
        <f t="shared" si="7"/>
        <v>-0.40318744588744587</v>
      </c>
    </row>
    <row r="37" spans="1:26" s="69" customFormat="1" ht="15" customHeight="1" outlineLevel="1" collapsed="1" x14ac:dyDescent="0.3">
      <c r="A37" s="20"/>
      <c r="B37" s="11" t="str">
        <f>CONCATENATE("     ","*Payroll                                          ")</f>
        <v xml:space="preserve">     *Payroll                                          </v>
      </c>
      <c r="C37" s="11"/>
      <c r="D37" s="2">
        <f>SUM(OSRRefD22_1x_0)</f>
        <v>29256.04</v>
      </c>
      <c r="E37" s="2"/>
      <c r="F37" s="5">
        <f t="shared" si="0"/>
        <v>0</v>
      </c>
      <c r="G37" s="2"/>
      <c r="H37" s="2">
        <f>SUM(OSRRefH22_1x_0)</f>
        <v>31759.49538461538</v>
      </c>
      <c r="I37" s="2"/>
      <c r="J37" s="5">
        <f t="shared" si="1"/>
        <v>0</v>
      </c>
      <c r="K37" s="2"/>
      <c r="L37" s="2">
        <f t="shared" si="2"/>
        <v>-2503.4553846153794</v>
      </c>
      <c r="M37" s="2"/>
      <c r="N37" s="5">
        <f t="shared" si="3"/>
        <v>-7.8825414393330642E-2</v>
      </c>
      <c r="O37" s="11"/>
      <c r="P37" s="2">
        <f>SUM(OSRRefP22_1x_0)</f>
        <v>705271.28</v>
      </c>
      <c r="Q37" s="2"/>
      <c r="R37" s="5">
        <f t="shared" si="4"/>
        <v>0.3567203195267894</v>
      </c>
      <c r="S37" s="2"/>
      <c r="T37" s="2">
        <f>SUM(OSRRefT22_1x_0)</f>
        <v>748917.91200000001</v>
      </c>
      <c r="U37" s="2"/>
      <c r="V37" s="5">
        <f t="shared" si="5"/>
        <v>0.7880028535353536</v>
      </c>
      <c r="W37" s="2"/>
      <c r="X37" s="2">
        <f t="shared" si="6"/>
        <v>-43646.631999999983</v>
      </c>
      <c r="Y37" s="2"/>
      <c r="Z37" s="5">
        <f t="shared" si="7"/>
        <v>-5.8279594199370656E-2</v>
      </c>
    </row>
    <row r="38" spans="1:26" s="70" customFormat="1" ht="15" hidden="1" customHeight="1" outlineLevel="2" x14ac:dyDescent="0.3">
      <c r="A38" s="21"/>
      <c r="B38" s="9" t="str">
        <f>CONCATENATE("          ","6001"," - ","ADMINISTRATIVE SALARIES")</f>
        <v xml:space="preserve">          6001 - ADMINISTRATIVE SALARIES</v>
      </c>
      <c r="C38" s="9"/>
      <c r="D38" s="6"/>
      <c r="E38" s="3"/>
      <c r="F38" s="7">
        <f t="shared" si="0"/>
        <v>0</v>
      </c>
      <c r="G38" s="3"/>
      <c r="H38" s="6">
        <v>0</v>
      </c>
      <c r="I38" s="3"/>
      <c r="J38" s="7">
        <f t="shared" si="1"/>
        <v>0</v>
      </c>
      <c r="K38" s="3"/>
      <c r="L38" s="6">
        <f t="shared" si="2"/>
        <v>0</v>
      </c>
      <c r="M38" s="3"/>
      <c r="N38" s="7">
        <f t="shared" si="3"/>
        <v>0</v>
      </c>
      <c r="O38" s="9"/>
      <c r="P38" s="6"/>
      <c r="Q38" s="3"/>
      <c r="R38" s="7">
        <f t="shared" si="4"/>
        <v>0</v>
      </c>
      <c r="S38" s="3"/>
      <c r="T38" s="6">
        <v>0</v>
      </c>
      <c r="U38" s="3"/>
      <c r="V38" s="7">
        <f t="shared" si="5"/>
        <v>0</v>
      </c>
      <c r="W38" s="3"/>
      <c r="X38" s="6">
        <f t="shared" si="6"/>
        <v>0</v>
      </c>
      <c r="Y38" s="3"/>
      <c r="Z38" s="7">
        <f t="shared" si="7"/>
        <v>0</v>
      </c>
    </row>
    <row r="39" spans="1:26" s="70" customFormat="1" ht="15" hidden="1" customHeight="1" outlineLevel="2" x14ac:dyDescent="0.3">
      <c r="A39" s="21"/>
      <c r="B39" s="9" t="str">
        <f>CONCATENATE("          ","6002"," - ","STAFF SALARIES")</f>
        <v xml:space="preserve">          6002 - STAFF SALARIES</v>
      </c>
      <c r="C39" s="9"/>
      <c r="D39" s="6">
        <v>8211.94</v>
      </c>
      <c r="E39" s="3"/>
      <c r="F39" s="7">
        <f t="shared" si="0"/>
        <v>0</v>
      </c>
      <c r="G39" s="3"/>
      <c r="H39" s="6">
        <v>4468.6153846153802</v>
      </c>
      <c r="I39" s="3"/>
      <c r="J39" s="7">
        <f t="shared" si="1"/>
        <v>0</v>
      </c>
      <c r="K39" s="3"/>
      <c r="L39" s="6">
        <f t="shared" si="2"/>
        <v>3743.3246153846203</v>
      </c>
      <c r="M39" s="3"/>
      <c r="N39" s="7">
        <f t="shared" si="3"/>
        <v>0.83769228120911854</v>
      </c>
      <c r="O39" s="9"/>
      <c r="P39" s="6">
        <v>119954.71</v>
      </c>
      <c r="Q39" s="3"/>
      <c r="R39" s="7">
        <f t="shared" si="4"/>
        <v>6.0672089865822072E-2</v>
      </c>
      <c r="S39" s="3"/>
      <c r="T39" s="6">
        <v>58092</v>
      </c>
      <c r="U39" s="3"/>
      <c r="V39" s="7">
        <f t="shared" si="5"/>
        <v>6.1123737373737372E-2</v>
      </c>
      <c r="W39" s="3"/>
      <c r="X39" s="6">
        <f t="shared" si="6"/>
        <v>61862.710000000006</v>
      </c>
      <c r="Y39" s="3"/>
      <c r="Z39" s="7">
        <f t="shared" si="7"/>
        <v>1.0649092818288233</v>
      </c>
    </row>
    <row r="40" spans="1:26" s="70" customFormat="1" ht="15" hidden="1" customHeight="1" outlineLevel="2" x14ac:dyDescent="0.3">
      <c r="A40" s="21"/>
      <c r="B40" s="9" t="str">
        <f>CONCATENATE("          ","6003"," - ","STAFF HOURLY-9 MONTH")</f>
        <v xml:space="preserve">          6003 - STAFF HOURLY-9 MONTH</v>
      </c>
      <c r="C40" s="9"/>
      <c r="D40" s="6"/>
      <c r="E40" s="3"/>
      <c r="F40" s="7">
        <f t="shared" si="0"/>
        <v>0</v>
      </c>
      <c r="G40" s="3"/>
      <c r="H40" s="6">
        <v>0</v>
      </c>
      <c r="I40" s="3"/>
      <c r="J40" s="7">
        <f t="shared" si="1"/>
        <v>0</v>
      </c>
      <c r="K40" s="3"/>
      <c r="L40" s="6">
        <f t="shared" si="2"/>
        <v>0</v>
      </c>
      <c r="M40" s="3"/>
      <c r="N40" s="7">
        <f t="shared" si="3"/>
        <v>0</v>
      </c>
      <c r="O40" s="9"/>
      <c r="P40" s="6"/>
      <c r="Q40" s="3"/>
      <c r="R40" s="7">
        <f t="shared" si="4"/>
        <v>0</v>
      </c>
      <c r="S40" s="3"/>
      <c r="T40" s="6">
        <v>0</v>
      </c>
      <c r="U40" s="3"/>
      <c r="V40" s="7">
        <f t="shared" si="5"/>
        <v>0</v>
      </c>
      <c r="W40" s="3"/>
      <c r="X40" s="6">
        <f t="shared" si="6"/>
        <v>0</v>
      </c>
      <c r="Y40" s="3"/>
      <c r="Z40" s="7">
        <f t="shared" si="7"/>
        <v>0</v>
      </c>
    </row>
    <row r="41" spans="1:26" s="70" customFormat="1" ht="15" hidden="1" customHeight="1" outlineLevel="2" x14ac:dyDescent="0.3">
      <c r="A41" s="21"/>
      <c r="B41" s="9" t="str">
        <f>CONCATENATE("          ","6004"," - ","STAFF HOURLY")</f>
        <v xml:space="preserve">          6004 - STAFF HOURLY</v>
      </c>
      <c r="C41" s="9"/>
      <c r="D41" s="6">
        <v>18209.13</v>
      </c>
      <c r="E41" s="3"/>
      <c r="F41" s="7">
        <f t="shared" si="0"/>
        <v>0</v>
      </c>
      <c r="G41" s="3"/>
      <c r="H41" s="6">
        <v>27290.880000000001</v>
      </c>
      <c r="I41" s="3"/>
      <c r="J41" s="7">
        <f t="shared" si="1"/>
        <v>0</v>
      </c>
      <c r="K41" s="3"/>
      <c r="L41" s="6">
        <f t="shared" si="2"/>
        <v>-9081.75</v>
      </c>
      <c r="M41" s="3"/>
      <c r="N41" s="7">
        <f t="shared" si="3"/>
        <v>-0.33277600429154353</v>
      </c>
      <c r="O41" s="9"/>
      <c r="P41" s="6">
        <v>284718.05</v>
      </c>
      <c r="Q41" s="3"/>
      <c r="R41" s="7">
        <f t="shared" si="4"/>
        <v>0.14400801032340974</v>
      </c>
      <c r="S41" s="3"/>
      <c r="T41" s="6">
        <v>354781.44</v>
      </c>
      <c r="U41" s="3"/>
      <c r="V41" s="7">
        <f t="shared" si="5"/>
        <v>0.37329696969696968</v>
      </c>
      <c r="W41" s="3"/>
      <c r="X41" s="6">
        <f t="shared" si="6"/>
        <v>-70063.390000000014</v>
      </c>
      <c r="Y41" s="3"/>
      <c r="Z41" s="7">
        <f t="shared" si="7"/>
        <v>-0.19748324489578714</v>
      </c>
    </row>
    <row r="42" spans="1:26" s="70" customFormat="1" ht="15" hidden="1" customHeight="1" outlineLevel="2" x14ac:dyDescent="0.3">
      <c r="A42" s="21"/>
      <c r="B42" s="9" t="str">
        <f>CONCATENATE("          ","6005"," - ","TEMPORARY WAGES-HOURLY")</f>
        <v xml:space="preserve">          6005 - TEMPORARY WAGES-HOURLY</v>
      </c>
      <c r="C42" s="9"/>
      <c r="D42" s="6">
        <v>2834.97</v>
      </c>
      <c r="E42" s="3"/>
      <c r="F42" s="7">
        <f t="shared" si="0"/>
        <v>0</v>
      </c>
      <c r="G42" s="3"/>
      <c r="H42" s="6">
        <v>0</v>
      </c>
      <c r="I42" s="3"/>
      <c r="J42" s="7">
        <f t="shared" si="1"/>
        <v>0</v>
      </c>
      <c r="K42" s="3"/>
      <c r="L42" s="6">
        <f t="shared" si="2"/>
        <v>2834.97</v>
      </c>
      <c r="M42" s="3"/>
      <c r="N42" s="7">
        <f t="shared" si="3"/>
        <v>0</v>
      </c>
      <c r="O42" s="9"/>
      <c r="P42" s="6">
        <v>103178.98</v>
      </c>
      <c r="Q42" s="3"/>
      <c r="R42" s="7">
        <f t="shared" si="4"/>
        <v>5.2187065825292374E-2</v>
      </c>
      <c r="S42" s="3"/>
      <c r="T42" s="6">
        <v>69762.399999999994</v>
      </c>
      <c r="U42" s="3"/>
      <c r="V42" s="7">
        <f t="shared" si="5"/>
        <v>7.3403198653198651E-2</v>
      </c>
      <c r="W42" s="3"/>
      <c r="X42" s="6">
        <f t="shared" si="6"/>
        <v>33416.58</v>
      </c>
      <c r="Y42" s="3"/>
      <c r="Z42" s="7">
        <f t="shared" si="7"/>
        <v>0.47900559613774762</v>
      </c>
    </row>
    <row r="43" spans="1:26" s="70" customFormat="1" ht="15" hidden="1" customHeight="1" outlineLevel="2" x14ac:dyDescent="0.3">
      <c r="A43" s="21"/>
      <c r="B43" s="9" t="str">
        <f>CONCATENATE("          ","6006"," - ","TEMPORARY PART TIME")</f>
        <v xml:space="preserve">          6006 - TEMPORARY PART TIME</v>
      </c>
      <c r="C43" s="9"/>
      <c r="D43" s="6"/>
      <c r="E43" s="3"/>
      <c r="F43" s="7">
        <f t="shared" si="0"/>
        <v>0</v>
      </c>
      <c r="G43" s="3"/>
      <c r="H43" s="6">
        <v>0</v>
      </c>
      <c r="I43" s="3"/>
      <c r="J43" s="7">
        <f t="shared" si="1"/>
        <v>0</v>
      </c>
      <c r="K43" s="3"/>
      <c r="L43" s="6">
        <f t="shared" si="2"/>
        <v>0</v>
      </c>
      <c r="M43" s="3"/>
      <c r="N43" s="7">
        <f t="shared" si="3"/>
        <v>0</v>
      </c>
      <c r="O43" s="9"/>
      <c r="P43" s="6"/>
      <c r="Q43" s="3"/>
      <c r="R43" s="7">
        <f t="shared" si="4"/>
        <v>0</v>
      </c>
      <c r="S43" s="3"/>
      <c r="T43" s="6">
        <v>0</v>
      </c>
      <c r="U43" s="3"/>
      <c r="V43" s="7">
        <f t="shared" si="5"/>
        <v>0</v>
      </c>
      <c r="W43" s="3"/>
      <c r="X43" s="6">
        <f t="shared" si="6"/>
        <v>0</v>
      </c>
      <c r="Y43" s="3"/>
      <c r="Z43" s="7">
        <f t="shared" si="7"/>
        <v>0</v>
      </c>
    </row>
    <row r="44" spans="1:26" s="70" customFormat="1" ht="15" hidden="1" customHeight="1" outlineLevel="2" x14ac:dyDescent="0.3">
      <c r="A44" s="21"/>
      <c r="B44" s="9" t="str">
        <f>CONCATENATE("          ","6007"," - ","STUDENT HOURLY")</f>
        <v xml:space="preserve">          6007 - STUDENT HOURLY</v>
      </c>
      <c r="C44" s="9"/>
      <c r="D44" s="6"/>
      <c r="E44" s="3"/>
      <c r="F44" s="7">
        <f t="shared" si="0"/>
        <v>0</v>
      </c>
      <c r="G44" s="3"/>
      <c r="H44" s="6">
        <v>0</v>
      </c>
      <c r="I44" s="3"/>
      <c r="J44" s="7">
        <f t="shared" si="1"/>
        <v>0</v>
      </c>
      <c r="K44" s="3"/>
      <c r="L44" s="6">
        <f t="shared" si="2"/>
        <v>0</v>
      </c>
      <c r="M44" s="3"/>
      <c r="N44" s="7">
        <f t="shared" si="3"/>
        <v>0</v>
      </c>
      <c r="O44" s="9"/>
      <c r="P44" s="6">
        <v>148339.31</v>
      </c>
      <c r="Q44" s="3"/>
      <c r="R44" s="7">
        <f t="shared" si="4"/>
        <v>7.5028783337928437E-2</v>
      </c>
      <c r="S44" s="3"/>
      <c r="T44" s="6">
        <v>12561.5</v>
      </c>
      <c r="U44" s="3"/>
      <c r="V44" s="7">
        <f t="shared" si="5"/>
        <v>1.3217066498316499E-2</v>
      </c>
      <c r="W44" s="3"/>
      <c r="X44" s="6">
        <f t="shared" si="6"/>
        <v>135777.81</v>
      </c>
      <c r="Y44" s="3"/>
      <c r="Z44" s="7">
        <f t="shared" si="7"/>
        <v>10.809044302033993</v>
      </c>
    </row>
    <row r="45" spans="1:26" s="70" customFormat="1" ht="15" hidden="1" customHeight="1" outlineLevel="2" x14ac:dyDescent="0.3">
      <c r="A45" s="21"/>
      <c r="B45" s="9" t="str">
        <f>CONCATENATE("          ","6008"," - ","STUDENT HOURLY-FICA EXEMPT")</f>
        <v xml:space="preserve">          6008 - STUDENT HOURLY-FICA EXEMPT</v>
      </c>
      <c r="C45" s="9"/>
      <c r="D45" s="6"/>
      <c r="E45" s="3"/>
      <c r="F45" s="7">
        <f t="shared" si="0"/>
        <v>0</v>
      </c>
      <c r="G45" s="3"/>
      <c r="H45" s="6">
        <v>0</v>
      </c>
      <c r="I45" s="3"/>
      <c r="J45" s="7">
        <f t="shared" si="1"/>
        <v>0</v>
      </c>
      <c r="K45" s="3"/>
      <c r="L45" s="6">
        <f t="shared" si="2"/>
        <v>0</v>
      </c>
      <c r="M45" s="3"/>
      <c r="N45" s="7">
        <f t="shared" si="3"/>
        <v>0</v>
      </c>
      <c r="O45" s="9"/>
      <c r="P45" s="6">
        <v>49080.23</v>
      </c>
      <c r="Q45" s="3"/>
      <c r="R45" s="7">
        <f t="shared" si="4"/>
        <v>2.4824370174336769E-2</v>
      </c>
      <c r="S45" s="3"/>
      <c r="T45" s="6">
        <v>253720.57199999999</v>
      </c>
      <c r="U45" s="3"/>
      <c r="V45" s="7">
        <f t="shared" si="5"/>
        <v>0.26696188131313131</v>
      </c>
      <c r="W45" s="3"/>
      <c r="X45" s="6">
        <f t="shared" si="6"/>
        <v>-204640.34199999998</v>
      </c>
      <c r="Y45" s="3"/>
      <c r="Z45" s="7">
        <f t="shared" si="7"/>
        <v>-0.80655794044166029</v>
      </c>
    </row>
    <row r="46" spans="1:26" s="70" customFormat="1" ht="15" hidden="1" customHeight="1" outlineLevel="2" x14ac:dyDescent="0.3">
      <c r="A46" s="21"/>
      <c r="B46" s="9" t="str">
        <f>CONCATENATE("          ","6009"," - ","TEMPORARY-SEASONAL")</f>
        <v xml:space="preserve">          6009 - TEMPORARY-SEASONAL</v>
      </c>
      <c r="C46" s="9"/>
      <c r="D46" s="6"/>
      <c r="E46" s="3"/>
      <c r="F46" s="7">
        <f t="shared" si="0"/>
        <v>0</v>
      </c>
      <c r="G46" s="3"/>
      <c r="H46" s="6">
        <v>0</v>
      </c>
      <c r="I46" s="3"/>
      <c r="J46" s="7">
        <f t="shared" si="1"/>
        <v>0</v>
      </c>
      <c r="K46" s="3"/>
      <c r="L46" s="6">
        <f t="shared" si="2"/>
        <v>0</v>
      </c>
      <c r="M46" s="3"/>
      <c r="N46" s="7">
        <f t="shared" si="3"/>
        <v>0</v>
      </c>
      <c r="O46" s="9"/>
      <c r="P46" s="6"/>
      <c r="Q46" s="3"/>
      <c r="R46" s="7">
        <f t="shared" si="4"/>
        <v>0</v>
      </c>
      <c r="S46" s="3"/>
      <c r="T46" s="6">
        <v>0</v>
      </c>
      <c r="U46" s="3"/>
      <c r="V46" s="7">
        <f t="shared" si="5"/>
        <v>0</v>
      </c>
      <c r="W46" s="3"/>
      <c r="X46" s="6">
        <f t="shared" si="6"/>
        <v>0</v>
      </c>
      <c r="Y46" s="3"/>
      <c r="Z46" s="7">
        <f t="shared" si="7"/>
        <v>0</v>
      </c>
    </row>
    <row r="47" spans="1:26" s="70" customFormat="1" ht="15" hidden="1" customHeight="1" outlineLevel="2" x14ac:dyDescent="0.3">
      <c r="A47" s="21"/>
      <c r="B47" s="9" t="str">
        <f>CONCATENATE("          ","6010"," - ","GRATUITY")</f>
        <v xml:space="preserve">          6010 - GRATUITY</v>
      </c>
      <c r="C47" s="9"/>
      <c r="D47" s="6"/>
      <c r="E47" s="3"/>
      <c r="F47" s="7">
        <f t="shared" si="0"/>
        <v>0</v>
      </c>
      <c r="G47" s="3"/>
      <c r="H47" s="6">
        <v>0</v>
      </c>
      <c r="I47" s="3"/>
      <c r="J47" s="7">
        <f t="shared" si="1"/>
        <v>0</v>
      </c>
      <c r="K47" s="3"/>
      <c r="L47" s="6">
        <f t="shared" si="2"/>
        <v>0</v>
      </c>
      <c r="M47" s="3"/>
      <c r="N47" s="7">
        <f t="shared" si="3"/>
        <v>0</v>
      </c>
      <c r="O47" s="9"/>
      <c r="P47" s="6"/>
      <c r="Q47" s="3"/>
      <c r="R47" s="7">
        <f t="shared" si="4"/>
        <v>0</v>
      </c>
      <c r="S47" s="3"/>
      <c r="T47" s="6">
        <v>0</v>
      </c>
      <c r="U47" s="3"/>
      <c r="V47" s="7">
        <f t="shared" si="5"/>
        <v>0</v>
      </c>
      <c r="W47" s="3"/>
      <c r="X47" s="6">
        <f t="shared" si="6"/>
        <v>0</v>
      </c>
      <c r="Y47" s="3"/>
      <c r="Z47" s="7">
        <f t="shared" si="7"/>
        <v>0</v>
      </c>
    </row>
    <row r="48" spans="1:26" s="69" customFormat="1" ht="15" customHeight="1" outlineLevel="1" collapsed="1" x14ac:dyDescent="0.3">
      <c r="A48" s="20"/>
      <c r="B48" s="11" t="str">
        <f>CONCATENATE("     ","Advertising/Promo                                 ")</f>
        <v xml:space="preserve">     Advertising/Promo                                 </v>
      </c>
      <c r="C48" s="11"/>
      <c r="D48" s="2">
        <f>SUM(OSRRefD22_2x_0)</f>
        <v>388.12</v>
      </c>
      <c r="E48" s="2"/>
      <c r="F48" s="5">
        <f t="shared" si="0"/>
        <v>0</v>
      </c>
      <c r="G48" s="2"/>
      <c r="H48" s="2">
        <f>SUM(OSRRefH22_2x_0)</f>
        <v>0</v>
      </c>
      <c r="I48" s="2"/>
      <c r="J48" s="5">
        <f t="shared" si="1"/>
        <v>0</v>
      </c>
      <c r="K48" s="2"/>
      <c r="L48" s="2">
        <f t="shared" si="2"/>
        <v>388.12</v>
      </c>
      <c r="M48" s="2"/>
      <c r="N48" s="5">
        <f t="shared" si="3"/>
        <v>0</v>
      </c>
      <c r="O48" s="11"/>
      <c r="P48" s="2">
        <f>SUM(OSRRefP22_2x_0)</f>
        <v>2093.2199999999998</v>
      </c>
      <c r="Q48" s="2"/>
      <c r="R48" s="5">
        <f t="shared" si="4"/>
        <v>1.058733183123331E-3</v>
      </c>
      <c r="S48" s="2"/>
      <c r="T48" s="2">
        <f>SUM(OSRRefT22_2x_0)</f>
        <v>3850</v>
      </c>
      <c r="U48" s="2"/>
      <c r="V48" s="5">
        <f t="shared" si="5"/>
        <v>4.0509259259259257E-3</v>
      </c>
      <c r="W48" s="2"/>
      <c r="X48" s="2">
        <f t="shared" si="6"/>
        <v>-1756.7800000000002</v>
      </c>
      <c r="Y48" s="2"/>
      <c r="Z48" s="5">
        <f t="shared" si="7"/>
        <v>-0.45630649350649355</v>
      </c>
    </row>
    <row r="49" spans="1:26" s="70" customFormat="1" ht="15" hidden="1" customHeight="1" outlineLevel="2" x14ac:dyDescent="0.3">
      <c r="A49" s="21"/>
      <c r="B49" s="9" t="str">
        <f>CONCATENATE("          ","6362"," - ","ADVERTISING EXPENSE")</f>
        <v xml:space="preserve">          6362 - ADVERTISING EXPENSE</v>
      </c>
      <c r="C49" s="9"/>
      <c r="D49" s="6">
        <v>388.12</v>
      </c>
      <c r="E49" s="3"/>
      <c r="F49" s="7">
        <f t="shared" si="0"/>
        <v>0</v>
      </c>
      <c r="G49" s="3"/>
      <c r="H49" s="6"/>
      <c r="I49" s="3"/>
      <c r="J49" s="7">
        <f t="shared" si="1"/>
        <v>0</v>
      </c>
      <c r="K49" s="3"/>
      <c r="L49" s="6">
        <f t="shared" si="2"/>
        <v>388.12</v>
      </c>
      <c r="M49" s="3"/>
      <c r="N49" s="7">
        <f t="shared" si="3"/>
        <v>0</v>
      </c>
      <c r="O49" s="9"/>
      <c r="P49" s="6">
        <v>2093.2199999999998</v>
      </c>
      <c r="Q49" s="3"/>
      <c r="R49" s="7">
        <f t="shared" si="4"/>
        <v>1.058733183123331E-3</v>
      </c>
      <c r="S49" s="3"/>
      <c r="T49" s="6">
        <v>3850</v>
      </c>
      <c r="U49" s="3"/>
      <c r="V49" s="7">
        <f t="shared" si="5"/>
        <v>4.0509259259259257E-3</v>
      </c>
      <c r="W49" s="3"/>
      <c r="X49" s="6">
        <f t="shared" si="6"/>
        <v>-1756.7800000000002</v>
      </c>
      <c r="Y49" s="3"/>
      <c r="Z49" s="7">
        <f t="shared" si="7"/>
        <v>-0.45630649350649355</v>
      </c>
    </row>
    <row r="50" spans="1:26" s="69" customFormat="1" ht="15" customHeight="1" outlineLevel="1" collapsed="1" x14ac:dyDescent="0.3">
      <c r="A50" s="20"/>
      <c r="B50" s="11" t="str">
        <f>CONCATENATE("     ","Bad Debts/Over/Short                              ")</f>
        <v xml:space="preserve">     Bad Debts/Over/Short                              </v>
      </c>
      <c r="C50" s="11"/>
      <c r="D50" s="2">
        <f>SUM(OSRRefD22_3x_0)</f>
        <v>0</v>
      </c>
      <c r="E50" s="2"/>
      <c r="F50" s="5">
        <f t="shared" si="0"/>
        <v>0</v>
      </c>
      <c r="G50" s="2"/>
      <c r="H50" s="2">
        <f>SUM(OSRRefH22_3x_0)</f>
        <v>0</v>
      </c>
      <c r="I50" s="2"/>
      <c r="J50" s="5">
        <f t="shared" si="1"/>
        <v>0</v>
      </c>
      <c r="K50" s="2"/>
      <c r="L50" s="2">
        <f t="shared" si="2"/>
        <v>0</v>
      </c>
      <c r="M50" s="2"/>
      <c r="N50" s="5">
        <f t="shared" si="3"/>
        <v>0</v>
      </c>
      <c r="O50" s="11"/>
      <c r="P50" s="2">
        <f>SUM(OSRRefP22_3x_0)</f>
        <v>16</v>
      </c>
      <c r="Q50" s="2"/>
      <c r="R50" s="5">
        <f t="shared" si="4"/>
        <v>8.0926662892449412E-6</v>
      </c>
      <c r="S50" s="2"/>
      <c r="T50" s="2">
        <f>SUM(OSRRefT22_3x_0)</f>
        <v>100</v>
      </c>
      <c r="U50" s="2"/>
      <c r="V50" s="5">
        <f t="shared" si="5"/>
        <v>1.0521885521885521E-4</v>
      </c>
      <c r="W50" s="2"/>
      <c r="X50" s="2">
        <f t="shared" si="6"/>
        <v>-84</v>
      </c>
      <c r="Y50" s="2"/>
      <c r="Z50" s="5">
        <f t="shared" si="7"/>
        <v>-0.84</v>
      </c>
    </row>
    <row r="51" spans="1:26" s="70" customFormat="1" ht="15" hidden="1" customHeight="1" outlineLevel="2" x14ac:dyDescent="0.3">
      <c r="A51" s="21"/>
      <c r="B51" s="9" t="str">
        <f>CONCATENATE("          ","6272"," - ","CASH (OVER/SHORT)")</f>
        <v xml:space="preserve">          6272 - CASH (OVER/SHORT)</v>
      </c>
      <c r="C51" s="9"/>
      <c r="D51" s="6"/>
      <c r="E51" s="3"/>
      <c r="F51" s="7">
        <f t="shared" si="0"/>
        <v>0</v>
      </c>
      <c r="G51" s="3"/>
      <c r="H51" s="6"/>
      <c r="I51" s="3"/>
      <c r="J51" s="7">
        <f t="shared" si="1"/>
        <v>0</v>
      </c>
      <c r="K51" s="3"/>
      <c r="L51" s="6">
        <f t="shared" si="2"/>
        <v>0</v>
      </c>
      <c r="M51" s="3"/>
      <c r="N51" s="7">
        <f t="shared" si="3"/>
        <v>0</v>
      </c>
      <c r="O51" s="9"/>
      <c r="P51" s="6">
        <v>16</v>
      </c>
      <c r="Q51" s="3"/>
      <c r="R51" s="7">
        <f t="shared" si="4"/>
        <v>8.0926662892449412E-6</v>
      </c>
      <c r="S51" s="3"/>
      <c r="T51" s="6">
        <v>100</v>
      </c>
      <c r="U51" s="3"/>
      <c r="V51" s="7">
        <f t="shared" si="5"/>
        <v>1.0521885521885521E-4</v>
      </c>
      <c r="W51" s="3"/>
      <c r="X51" s="6">
        <f t="shared" si="6"/>
        <v>-84</v>
      </c>
      <c r="Y51" s="3"/>
      <c r="Z51" s="7">
        <f t="shared" si="7"/>
        <v>-0.84</v>
      </c>
    </row>
    <row r="52" spans="1:26" s="69" customFormat="1" ht="15" customHeight="1" outlineLevel="1" collapsed="1" x14ac:dyDescent="0.3">
      <c r="A52" s="20"/>
      <c r="B52" s="11" t="str">
        <f>CONCATENATE("     ","Bank/card Fees                                    ")</f>
        <v xml:space="preserve">     Bank/card Fees                                    </v>
      </c>
      <c r="C52" s="11"/>
      <c r="D52" s="2">
        <f>SUM(OSRRefD22_4x_0)</f>
        <v>42.69</v>
      </c>
      <c r="E52" s="2"/>
      <c r="F52" s="5">
        <f t="shared" si="0"/>
        <v>0</v>
      </c>
      <c r="G52" s="2"/>
      <c r="H52" s="2">
        <f>SUM(OSRRefH22_4x_0)</f>
        <v>0</v>
      </c>
      <c r="I52" s="2"/>
      <c r="J52" s="5">
        <f t="shared" si="1"/>
        <v>0</v>
      </c>
      <c r="K52" s="2"/>
      <c r="L52" s="2">
        <f t="shared" si="2"/>
        <v>42.69</v>
      </c>
      <c r="M52" s="2"/>
      <c r="N52" s="5">
        <f t="shared" si="3"/>
        <v>0</v>
      </c>
      <c r="O52" s="11"/>
      <c r="P52" s="2">
        <f>SUM(OSRRefP22_4x_0)</f>
        <v>576.65</v>
      </c>
      <c r="Q52" s="2"/>
      <c r="R52" s="5">
        <f t="shared" si="4"/>
        <v>2.9166475098081846E-4</v>
      </c>
      <c r="S52" s="2"/>
      <c r="T52" s="2">
        <f>SUM(OSRRefT22_4x_0)</f>
        <v>250</v>
      </c>
      <c r="U52" s="2"/>
      <c r="V52" s="5">
        <f t="shared" si="5"/>
        <v>2.6304713804713804E-4</v>
      </c>
      <c r="W52" s="2"/>
      <c r="X52" s="2">
        <f t="shared" si="6"/>
        <v>326.64999999999998</v>
      </c>
      <c r="Y52" s="2"/>
      <c r="Z52" s="5">
        <f t="shared" si="7"/>
        <v>1.3066</v>
      </c>
    </row>
    <row r="53" spans="1:26" s="70" customFormat="1" ht="15" hidden="1" customHeight="1" outlineLevel="2" x14ac:dyDescent="0.3">
      <c r="A53" s="21"/>
      <c r="B53" s="9" t="str">
        <f>CONCATENATE("          ","6381"," - ","BANK/CREDIT CARD FEES")</f>
        <v xml:space="preserve">          6381 - BANK/CREDIT CARD FEES</v>
      </c>
      <c r="C53" s="9"/>
      <c r="D53" s="6">
        <v>42.69</v>
      </c>
      <c r="E53" s="3"/>
      <c r="F53" s="7">
        <f t="shared" si="0"/>
        <v>0</v>
      </c>
      <c r="G53" s="3"/>
      <c r="H53" s="6"/>
      <c r="I53" s="3"/>
      <c r="J53" s="7">
        <f t="shared" si="1"/>
        <v>0</v>
      </c>
      <c r="K53" s="3"/>
      <c r="L53" s="6">
        <f t="shared" si="2"/>
        <v>42.69</v>
      </c>
      <c r="M53" s="3"/>
      <c r="N53" s="7">
        <f t="shared" si="3"/>
        <v>0</v>
      </c>
      <c r="O53" s="9"/>
      <c r="P53" s="6">
        <v>576.65</v>
      </c>
      <c r="Q53" s="3"/>
      <c r="R53" s="7">
        <f t="shared" si="4"/>
        <v>2.9166475098081846E-4</v>
      </c>
      <c r="S53" s="3"/>
      <c r="T53" s="6">
        <v>250</v>
      </c>
      <c r="U53" s="3"/>
      <c r="V53" s="7">
        <f t="shared" si="5"/>
        <v>2.6304713804713804E-4</v>
      </c>
      <c r="W53" s="3"/>
      <c r="X53" s="6">
        <f t="shared" si="6"/>
        <v>326.64999999999998</v>
      </c>
      <c r="Y53" s="3"/>
      <c r="Z53" s="7">
        <f t="shared" si="7"/>
        <v>1.3066</v>
      </c>
    </row>
    <row r="54" spans="1:26" s="69" customFormat="1" ht="15" customHeight="1" outlineLevel="1" collapsed="1" x14ac:dyDescent="0.3">
      <c r="A54" s="20"/>
      <c r="B54" s="11" t="str">
        <f>CONCATENATE("     ","Depreciation                                      ")</f>
        <v xml:space="preserve">     Depreciation                                      </v>
      </c>
      <c r="C54" s="11"/>
      <c r="D54" s="2">
        <f>SUM(OSRRefD22_5x_0)</f>
        <v>212.99</v>
      </c>
      <c r="E54" s="2"/>
      <c r="F54" s="5">
        <f t="shared" si="0"/>
        <v>0</v>
      </c>
      <c r="G54" s="2"/>
      <c r="H54" s="2">
        <f>SUM(OSRRefH22_5x_0)</f>
        <v>213</v>
      </c>
      <c r="I54" s="2"/>
      <c r="J54" s="5">
        <f t="shared" si="1"/>
        <v>0</v>
      </c>
      <c r="K54" s="2"/>
      <c r="L54" s="2">
        <f t="shared" si="2"/>
        <v>-9.9999999999909051E-3</v>
      </c>
      <c r="M54" s="2"/>
      <c r="N54" s="5">
        <f t="shared" si="3"/>
        <v>-4.694835680746904E-5</v>
      </c>
      <c r="O54" s="11"/>
      <c r="P54" s="2">
        <f>SUM(OSRRefP22_5x_0)</f>
        <v>2556.21</v>
      </c>
      <c r="Q54" s="2"/>
      <c r="R54" s="5">
        <f t="shared" si="4"/>
        <v>1.2929096559519259E-3</v>
      </c>
      <c r="S54" s="2"/>
      <c r="T54" s="2">
        <f>SUM(OSRRefT22_5x_0)</f>
        <v>2556</v>
      </c>
      <c r="U54" s="2"/>
      <c r="V54" s="5">
        <f t="shared" si="5"/>
        <v>2.6893939393939394E-3</v>
      </c>
      <c r="W54" s="2"/>
      <c r="X54" s="2">
        <f t="shared" si="6"/>
        <v>0.21000000000003638</v>
      </c>
      <c r="Y54" s="2"/>
      <c r="Z54" s="5">
        <f t="shared" si="7"/>
        <v>8.2159624413159779E-5</v>
      </c>
    </row>
    <row r="55" spans="1:26" s="70" customFormat="1" ht="15" hidden="1" customHeight="1" outlineLevel="2" x14ac:dyDescent="0.3">
      <c r="A55" s="21"/>
      <c r="B55" s="9" t="str">
        <f>CONCATENATE("          ","6322"," - ","EQUIPMENT DEPRECIATION EXPENSE")</f>
        <v xml:space="preserve">          6322 - EQUIPMENT DEPRECIATION EXPENSE</v>
      </c>
      <c r="C55" s="9"/>
      <c r="D55" s="6">
        <v>212.99</v>
      </c>
      <c r="E55" s="3"/>
      <c r="F55" s="7">
        <f t="shared" si="0"/>
        <v>0</v>
      </c>
      <c r="G55" s="3"/>
      <c r="H55" s="6">
        <v>213</v>
      </c>
      <c r="I55" s="3"/>
      <c r="J55" s="7">
        <f t="shared" si="1"/>
        <v>0</v>
      </c>
      <c r="K55" s="3"/>
      <c r="L55" s="6">
        <f t="shared" si="2"/>
        <v>-9.9999999999909051E-3</v>
      </c>
      <c r="M55" s="3"/>
      <c r="N55" s="7">
        <f t="shared" si="3"/>
        <v>-4.694835680746904E-5</v>
      </c>
      <c r="O55" s="9"/>
      <c r="P55" s="6">
        <v>2556.21</v>
      </c>
      <c r="Q55" s="3"/>
      <c r="R55" s="7">
        <f t="shared" si="4"/>
        <v>1.2929096559519259E-3</v>
      </c>
      <c r="S55" s="3"/>
      <c r="T55" s="6">
        <v>2556</v>
      </c>
      <c r="U55" s="3"/>
      <c r="V55" s="7">
        <f t="shared" si="5"/>
        <v>2.6893939393939394E-3</v>
      </c>
      <c r="W55" s="3"/>
      <c r="X55" s="6">
        <f t="shared" si="6"/>
        <v>0.21000000000003638</v>
      </c>
      <c r="Y55" s="3"/>
      <c r="Z55" s="7">
        <f t="shared" si="7"/>
        <v>8.2159624413159779E-5</v>
      </c>
    </row>
    <row r="56" spans="1:26" s="69" customFormat="1" ht="15" customHeight="1" outlineLevel="1" collapsed="1" x14ac:dyDescent="0.3">
      <c r="A56" s="20"/>
      <c r="B56" s="11" t="str">
        <f>CONCATENATE("     ","Donations                                         ")</f>
        <v xml:space="preserve">     Donations                                         </v>
      </c>
      <c r="C56" s="11"/>
      <c r="D56" s="2">
        <f>SUM(OSRRefD22_6x_0)</f>
        <v>0</v>
      </c>
      <c r="E56" s="2"/>
      <c r="F56" s="5">
        <f t="shared" si="0"/>
        <v>0</v>
      </c>
      <c r="G56" s="2"/>
      <c r="H56" s="2">
        <f>SUM(OSRRefH22_6x_0)</f>
        <v>0</v>
      </c>
      <c r="I56" s="2"/>
      <c r="J56" s="5">
        <f t="shared" si="1"/>
        <v>0</v>
      </c>
      <c r="K56" s="2"/>
      <c r="L56" s="2">
        <f t="shared" si="2"/>
        <v>0</v>
      </c>
      <c r="M56" s="2"/>
      <c r="N56" s="5">
        <f t="shared" si="3"/>
        <v>0</v>
      </c>
      <c r="O56" s="11"/>
      <c r="P56" s="2">
        <f>SUM(OSRRefP22_6x_0)</f>
        <v>12120.01</v>
      </c>
      <c r="Q56" s="2"/>
      <c r="R56" s="5">
        <f t="shared" si="4"/>
        <v>6.1301997720194746E-3</v>
      </c>
      <c r="S56" s="2"/>
      <c r="T56" s="2">
        <f>SUM(OSRRefT22_6x_0)</f>
        <v>30000</v>
      </c>
      <c r="U56" s="2"/>
      <c r="V56" s="5">
        <f t="shared" si="5"/>
        <v>3.1565656565656568E-2</v>
      </c>
      <c r="W56" s="2"/>
      <c r="X56" s="2">
        <f t="shared" si="6"/>
        <v>-17879.989999999998</v>
      </c>
      <c r="Y56" s="2"/>
      <c r="Z56" s="5">
        <f t="shared" si="7"/>
        <v>-0.59599966666666659</v>
      </c>
    </row>
    <row r="57" spans="1:26" s="70" customFormat="1" ht="15" hidden="1" customHeight="1" outlineLevel="2" x14ac:dyDescent="0.3">
      <c r="A57" s="21"/>
      <c r="B57" s="9" t="str">
        <f>CONCATENATE("          ","6399"," - ","DONATION-ON CAMPUS")</f>
        <v xml:space="preserve">          6399 - DONATION-ON CAMPUS</v>
      </c>
      <c r="C57" s="9"/>
      <c r="D57" s="6"/>
      <c r="E57" s="3"/>
      <c r="F57" s="7">
        <f t="shared" ref="F57:F88" si="8">IF(D$12=0,0,D57/D$12)</f>
        <v>0</v>
      </c>
      <c r="G57" s="3"/>
      <c r="H57" s="6"/>
      <c r="I57" s="3"/>
      <c r="J57" s="7">
        <f t="shared" ref="J57:J88" si="9">IF(H$12=0,0,H57/H$12)</f>
        <v>0</v>
      </c>
      <c r="K57" s="3"/>
      <c r="L57" s="6">
        <f t="shared" ref="L57:L88" si="10">+D57-H57</f>
        <v>0</v>
      </c>
      <c r="M57" s="3"/>
      <c r="N57" s="7">
        <f t="shared" ref="N57:N88" si="11">IF(H57=0,0,L57/H57)</f>
        <v>0</v>
      </c>
      <c r="O57" s="9"/>
      <c r="P57" s="6">
        <v>12120.01</v>
      </c>
      <c r="Q57" s="3"/>
      <c r="R57" s="7">
        <f t="shared" ref="R57:R88" si="12">IF(P$12=0,0,P57/P$12)</f>
        <v>6.1301997720194746E-3</v>
      </c>
      <c r="S57" s="3"/>
      <c r="T57" s="6">
        <v>30000</v>
      </c>
      <c r="U57" s="3"/>
      <c r="V57" s="7">
        <f t="shared" ref="V57:V88" si="13">IF(T$12=0,0,T57/T$12)</f>
        <v>3.1565656565656568E-2</v>
      </c>
      <c r="W57" s="3"/>
      <c r="X57" s="6">
        <f t="shared" ref="X57:X88" si="14">+P57-T57</f>
        <v>-17879.989999999998</v>
      </c>
      <c r="Y57" s="3"/>
      <c r="Z57" s="7">
        <f t="shared" ref="Z57:Z88" si="15">IF(T57=0,0,X57/T57)</f>
        <v>-0.59599966666666659</v>
      </c>
    </row>
    <row r="58" spans="1:26" s="69" customFormat="1" ht="15" customHeight="1" outlineLevel="1" collapsed="1" x14ac:dyDescent="0.3">
      <c r="A58" s="20"/>
      <c r="B58" s="11" t="str">
        <f>CONCATENATE("     ","Employees' Appreciation                           ")</f>
        <v xml:space="preserve">     Employees' Appreciation                           </v>
      </c>
      <c r="C58" s="11"/>
      <c r="D58" s="2">
        <f>SUM(OSRRefD22_7x_0)</f>
        <v>0</v>
      </c>
      <c r="E58" s="2"/>
      <c r="F58" s="5">
        <f t="shared" si="8"/>
        <v>0</v>
      </c>
      <c r="G58" s="2"/>
      <c r="H58" s="2">
        <f>SUM(OSRRefH22_7x_0)</f>
        <v>50</v>
      </c>
      <c r="I58" s="2"/>
      <c r="J58" s="5">
        <f t="shared" si="9"/>
        <v>0</v>
      </c>
      <c r="K58" s="2"/>
      <c r="L58" s="2">
        <f t="shared" si="10"/>
        <v>-50</v>
      </c>
      <c r="M58" s="2"/>
      <c r="N58" s="5">
        <f t="shared" si="11"/>
        <v>-1</v>
      </c>
      <c r="O58" s="11"/>
      <c r="P58" s="2">
        <f>SUM(OSRRefP22_7x_0)</f>
        <v>90.47</v>
      </c>
      <c r="Q58" s="2"/>
      <c r="R58" s="5">
        <f t="shared" si="12"/>
        <v>4.5758969949249368E-5</v>
      </c>
      <c r="S58" s="2"/>
      <c r="T58" s="2">
        <f>SUM(OSRRefT22_7x_0)</f>
        <v>600</v>
      </c>
      <c r="U58" s="2"/>
      <c r="V58" s="5">
        <f t="shared" si="13"/>
        <v>6.3131313131313137E-4</v>
      </c>
      <c r="W58" s="2"/>
      <c r="X58" s="2">
        <f t="shared" si="14"/>
        <v>-509.53</v>
      </c>
      <c r="Y58" s="2"/>
      <c r="Z58" s="5">
        <f t="shared" si="15"/>
        <v>-0.84921666666666662</v>
      </c>
    </row>
    <row r="59" spans="1:26" s="70" customFormat="1" ht="15" hidden="1" customHeight="1" outlineLevel="2" x14ac:dyDescent="0.3">
      <c r="A59" s="21"/>
      <c r="B59" s="9" t="str">
        <f>CONCATENATE("          ","6277"," - ","EMPLOYEE APPRECIATION")</f>
        <v xml:space="preserve">          6277 - EMPLOYEE APPRECIATION</v>
      </c>
      <c r="C59" s="9"/>
      <c r="D59" s="6"/>
      <c r="E59" s="3"/>
      <c r="F59" s="7">
        <f t="shared" si="8"/>
        <v>0</v>
      </c>
      <c r="G59" s="3"/>
      <c r="H59" s="6">
        <v>50</v>
      </c>
      <c r="I59" s="3"/>
      <c r="J59" s="7">
        <f t="shared" si="9"/>
        <v>0</v>
      </c>
      <c r="K59" s="3"/>
      <c r="L59" s="6">
        <f t="shared" si="10"/>
        <v>-50</v>
      </c>
      <c r="M59" s="3"/>
      <c r="N59" s="7">
        <f t="shared" si="11"/>
        <v>-1</v>
      </c>
      <c r="O59" s="9"/>
      <c r="P59" s="6">
        <v>90.47</v>
      </c>
      <c r="Q59" s="3"/>
      <c r="R59" s="7">
        <f t="shared" si="12"/>
        <v>4.5758969949249368E-5</v>
      </c>
      <c r="S59" s="3"/>
      <c r="T59" s="6">
        <v>600</v>
      </c>
      <c r="U59" s="3"/>
      <c r="V59" s="7">
        <f t="shared" si="13"/>
        <v>6.3131313131313137E-4</v>
      </c>
      <c r="W59" s="3"/>
      <c r="X59" s="6">
        <f t="shared" si="14"/>
        <v>-509.53</v>
      </c>
      <c r="Y59" s="3"/>
      <c r="Z59" s="7">
        <f t="shared" si="15"/>
        <v>-0.84921666666666662</v>
      </c>
    </row>
    <row r="60" spans="1:26" s="69" customFormat="1" ht="15" customHeight="1" outlineLevel="1" collapsed="1" x14ac:dyDescent="0.3">
      <c r="A60" s="20"/>
      <c r="B60" s="11" t="str">
        <f>CONCATENATE("     ","General                                           ")</f>
        <v xml:space="preserve">     General                                           </v>
      </c>
      <c r="C60" s="11"/>
      <c r="D60" s="2">
        <f>SUM(OSRRefD22_8x_0)</f>
        <v>0</v>
      </c>
      <c r="E60" s="2"/>
      <c r="F60" s="5">
        <f t="shared" si="8"/>
        <v>0</v>
      </c>
      <c r="G60" s="2"/>
      <c r="H60" s="2">
        <f>SUM(OSRRefH22_8x_0)</f>
        <v>0</v>
      </c>
      <c r="I60" s="2"/>
      <c r="J60" s="5">
        <f t="shared" si="9"/>
        <v>0</v>
      </c>
      <c r="K60" s="2"/>
      <c r="L60" s="2">
        <f t="shared" si="10"/>
        <v>0</v>
      </c>
      <c r="M60" s="2"/>
      <c r="N60" s="5">
        <f t="shared" si="11"/>
        <v>0</v>
      </c>
      <c r="O60" s="11"/>
      <c r="P60" s="2">
        <f>SUM(OSRRefP22_8x_0)</f>
        <v>2071.98</v>
      </c>
      <c r="Q60" s="2"/>
      <c r="R60" s="5">
        <f t="shared" si="12"/>
        <v>1.0479901686243583E-3</v>
      </c>
      <c r="S60" s="2"/>
      <c r="T60" s="2">
        <f>SUM(OSRRefT22_8x_0)</f>
        <v>2300</v>
      </c>
      <c r="U60" s="2"/>
      <c r="V60" s="5">
        <f t="shared" si="13"/>
        <v>2.4200336700336699E-3</v>
      </c>
      <c r="W60" s="2"/>
      <c r="X60" s="2">
        <f t="shared" si="14"/>
        <v>-228.01999999999998</v>
      </c>
      <c r="Y60" s="2"/>
      <c r="Z60" s="5">
        <f t="shared" si="15"/>
        <v>-9.9139130434782605E-2</v>
      </c>
    </row>
    <row r="61" spans="1:26" s="70" customFormat="1" ht="15" hidden="1" customHeight="1" outlineLevel="2" x14ac:dyDescent="0.3">
      <c r="A61" s="21"/>
      <c r="B61" s="9" t="str">
        <f>CONCATENATE("          ","6279"," - ","GENERAL EXPENSE")</f>
        <v xml:space="preserve">          6279 - GENERAL EXPENSE</v>
      </c>
      <c r="C61" s="9"/>
      <c r="D61" s="6"/>
      <c r="E61" s="3"/>
      <c r="F61" s="7">
        <f t="shared" si="8"/>
        <v>0</v>
      </c>
      <c r="G61" s="3"/>
      <c r="H61" s="6"/>
      <c r="I61" s="3"/>
      <c r="J61" s="7">
        <f t="shared" si="9"/>
        <v>0</v>
      </c>
      <c r="K61" s="3"/>
      <c r="L61" s="6">
        <f t="shared" si="10"/>
        <v>0</v>
      </c>
      <c r="M61" s="3"/>
      <c r="N61" s="7">
        <f t="shared" si="11"/>
        <v>0</v>
      </c>
      <c r="O61" s="9"/>
      <c r="P61" s="6">
        <v>2071.98</v>
      </c>
      <c r="Q61" s="3"/>
      <c r="R61" s="7">
        <f t="shared" si="12"/>
        <v>1.0479901686243583E-3</v>
      </c>
      <c r="S61" s="3"/>
      <c r="T61" s="6">
        <v>2300</v>
      </c>
      <c r="U61" s="3"/>
      <c r="V61" s="7">
        <f t="shared" si="13"/>
        <v>2.4200336700336699E-3</v>
      </c>
      <c r="W61" s="3"/>
      <c r="X61" s="6">
        <f t="shared" si="14"/>
        <v>-228.01999999999998</v>
      </c>
      <c r="Y61" s="3"/>
      <c r="Z61" s="7">
        <f t="shared" si="15"/>
        <v>-9.9139130434782605E-2</v>
      </c>
    </row>
    <row r="62" spans="1:26" s="69" customFormat="1" ht="15" customHeight="1" outlineLevel="1" collapsed="1" x14ac:dyDescent="0.3">
      <c r="A62" s="20"/>
      <c r="B62" s="11" t="str">
        <f>CONCATENATE("     ","Insurance                                         ")</f>
        <v xml:space="preserve">     Insurance                                         </v>
      </c>
      <c r="C62" s="11"/>
      <c r="D62" s="2">
        <f>SUM(OSRRefD22_9x_0)</f>
        <v>5.32</v>
      </c>
      <c r="E62" s="2"/>
      <c r="F62" s="5">
        <f t="shared" si="8"/>
        <v>0</v>
      </c>
      <c r="G62" s="2"/>
      <c r="H62" s="2">
        <f>SUM(OSRRefH22_9x_0)</f>
        <v>10</v>
      </c>
      <c r="I62" s="2"/>
      <c r="J62" s="5">
        <f t="shared" si="9"/>
        <v>0</v>
      </c>
      <c r="K62" s="2"/>
      <c r="L62" s="2">
        <f t="shared" si="10"/>
        <v>-4.68</v>
      </c>
      <c r="M62" s="2"/>
      <c r="N62" s="5">
        <f t="shared" si="11"/>
        <v>-0.46799999999999997</v>
      </c>
      <c r="O62" s="11"/>
      <c r="P62" s="2">
        <f>SUM(OSRRefP22_9x_0)</f>
        <v>62.64</v>
      </c>
      <c r="Q62" s="2"/>
      <c r="R62" s="5">
        <f t="shared" si="12"/>
        <v>3.1682788522393945E-5</v>
      </c>
      <c r="S62" s="2"/>
      <c r="T62" s="2">
        <f>SUM(OSRRefT22_9x_0)</f>
        <v>120</v>
      </c>
      <c r="U62" s="2"/>
      <c r="V62" s="5">
        <f t="shared" si="13"/>
        <v>1.2626262626262626E-4</v>
      </c>
      <c r="W62" s="2"/>
      <c r="X62" s="2">
        <f t="shared" si="14"/>
        <v>-57.36</v>
      </c>
      <c r="Y62" s="2"/>
      <c r="Z62" s="5">
        <f t="shared" si="15"/>
        <v>-0.47799999999999998</v>
      </c>
    </row>
    <row r="63" spans="1:26" s="70" customFormat="1" ht="15" hidden="1" customHeight="1" outlineLevel="2" x14ac:dyDescent="0.3">
      <c r="A63" s="21"/>
      <c r="B63" s="9" t="str">
        <f>CONCATENATE("          ","6314"," - ","LIABILITY INSURANCE")</f>
        <v xml:space="preserve">          6314 - LIABILITY INSURANCE</v>
      </c>
      <c r="C63" s="9"/>
      <c r="D63" s="6">
        <v>5.32</v>
      </c>
      <c r="E63" s="3"/>
      <c r="F63" s="7">
        <f t="shared" si="8"/>
        <v>0</v>
      </c>
      <c r="G63" s="3"/>
      <c r="H63" s="6">
        <v>10</v>
      </c>
      <c r="I63" s="3"/>
      <c r="J63" s="7">
        <f t="shared" si="9"/>
        <v>0</v>
      </c>
      <c r="K63" s="3"/>
      <c r="L63" s="6">
        <f t="shared" si="10"/>
        <v>-4.68</v>
      </c>
      <c r="M63" s="3"/>
      <c r="N63" s="7">
        <f t="shared" si="11"/>
        <v>-0.46799999999999997</v>
      </c>
      <c r="O63" s="9"/>
      <c r="P63" s="6">
        <v>62.64</v>
      </c>
      <c r="Q63" s="3"/>
      <c r="R63" s="7">
        <f t="shared" si="12"/>
        <v>3.1682788522393945E-5</v>
      </c>
      <c r="S63" s="3"/>
      <c r="T63" s="6">
        <v>120</v>
      </c>
      <c r="U63" s="3"/>
      <c r="V63" s="7">
        <f t="shared" si="13"/>
        <v>1.2626262626262626E-4</v>
      </c>
      <c r="W63" s="3"/>
      <c r="X63" s="6">
        <f t="shared" si="14"/>
        <v>-57.36</v>
      </c>
      <c r="Y63" s="3"/>
      <c r="Z63" s="7">
        <f t="shared" si="15"/>
        <v>-0.47799999999999998</v>
      </c>
    </row>
    <row r="64" spans="1:26" s="69" customFormat="1" ht="15" customHeight="1" outlineLevel="1" collapsed="1" x14ac:dyDescent="0.3">
      <c r="A64" s="20"/>
      <c r="B64" s="11" t="str">
        <f>CONCATENATE("     ","R/H Commissions                                   ")</f>
        <v xml:space="preserve">     R/H Commissions                                   </v>
      </c>
      <c r="C64" s="11"/>
      <c r="D64" s="2">
        <f>SUM(OSRRefD22_10x_0)</f>
        <v>0</v>
      </c>
      <c r="E64" s="2"/>
      <c r="F64" s="5">
        <f t="shared" si="8"/>
        <v>0</v>
      </c>
      <c r="G64" s="2"/>
      <c r="H64" s="2">
        <f>SUM(OSRRefH22_10x_0)</f>
        <v>0</v>
      </c>
      <c r="I64" s="2"/>
      <c r="J64" s="5">
        <f t="shared" si="9"/>
        <v>0</v>
      </c>
      <c r="K64" s="2"/>
      <c r="L64" s="2">
        <f t="shared" si="10"/>
        <v>0</v>
      </c>
      <c r="M64" s="2"/>
      <c r="N64" s="5">
        <f t="shared" si="11"/>
        <v>0</v>
      </c>
      <c r="O64" s="11"/>
      <c r="P64" s="2">
        <f>SUM(OSRRefP22_10x_0)</f>
        <v>153578.54</v>
      </c>
      <c r="Q64" s="2"/>
      <c r="R64" s="5">
        <f t="shared" si="12"/>
        <v>7.7678742088091002E-2</v>
      </c>
      <c r="S64" s="2"/>
      <c r="T64" s="2">
        <f>SUM(OSRRefT22_10x_0)</f>
        <v>76032</v>
      </c>
      <c r="U64" s="2"/>
      <c r="V64" s="5">
        <f t="shared" si="13"/>
        <v>0.08</v>
      </c>
      <c r="W64" s="2"/>
      <c r="X64" s="2">
        <f t="shared" si="14"/>
        <v>77546.540000000008</v>
      </c>
      <c r="Y64" s="2"/>
      <c r="Z64" s="5">
        <f t="shared" si="15"/>
        <v>1.0199197706228957</v>
      </c>
    </row>
    <row r="65" spans="1:26" s="70" customFormat="1" ht="15" hidden="1" customHeight="1" outlineLevel="2" x14ac:dyDescent="0.3">
      <c r="A65" s="21"/>
      <c r="B65" s="9" t="str">
        <f>CONCATENATE("          ","6387"," - ","COMMISSION DUE HOUSING")</f>
        <v xml:space="preserve">          6387 - COMMISSION DUE HOUSING</v>
      </c>
      <c r="C65" s="9"/>
      <c r="D65" s="6"/>
      <c r="E65" s="3"/>
      <c r="F65" s="7">
        <f t="shared" si="8"/>
        <v>0</v>
      </c>
      <c r="G65" s="3"/>
      <c r="H65" s="6"/>
      <c r="I65" s="3"/>
      <c r="J65" s="7">
        <f t="shared" si="9"/>
        <v>0</v>
      </c>
      <c r="K65" s="3"/>
      <c r="L65" s="6">
        <f t="shared" si="10"/>
        <v>0</v>
      </c>
      <c r="M65" s="3"/>
      <c r="N65" s="7">
        <f t="shared" si="11"/>
        <v>0</v>
      </c>
      <c r="O65" s="9"/>
      <c r="P65" s="6">
        <v>153578.54</v>
      </c>
      <c r="Q65" s="3"/>
      <c r="R65" s="7">
        <f t="shared" si="12"/>
        <v>7.7678742088091002E-2</v>
      </c>
      <c r="S65" s="3"/>
      <c r="T65" s="6">
        <v>76032</v>
      </c>
      <c r="U65" s="3"/>
      <c r="V65" s="7">
        <f t="shared" si="13"/>
        <v>0.08</v>
      </c>
      <c r="W65" s="3"/>
      <c r="X65" s="6">
        <f t="shared" si="14"/>
        <v>77546.540000000008</v>
      </c>
      <c r="Y65" s="3"/>
      <c r="Z65" s="7">
        <f t="shared" si="15"/>
        <v>1.0199197706228957</v>
      </c>
    </row>
    <row r="66" spans="1:26" s="69" customFormat="1" ht="15" customHeight="1" outlineLevel="1" collapsed="1" x14ac:dyDescent="0.3">
      <c r="A66" s="20"/>
      <c r="B66" s="11" t="str">
        <f>CONCATENATE("     ","Repair and Maintenance                            ")</f>
        <v xml:space="preserve">     Repair and Maintenance                            </v>
      </c>
      <c r="C66" s="11"/>
      <c r="D66" s="2">
        <f>SUM(OSRRefD22_11x_0)</f>
        <v>130.15</v>
      </c>
      <c r="E66" s="2"/>
      <c r="F66" s="5">
        <f t="shared" si="8"/>
        <v>0</v>
      </c>
      <c r="G66" s="2"/>
      <c r="H66" s="2">
        <f>SUM(OSRRefH22_11x_0)</f>
        <v>100</v>
      </c>
      <c r="I66" s="2"/>
      <c r="J66" s="5">
        <f t="shared" si="9"/>
        <v>0</v>
      </c>
      <c r="K66" s="2"/>
      <c r="L66" s="2">
        <f t="shared" si="10"/>
        <v>30.150000000000006</v>
      </c>
      <c r="M66" s="2"/>
      <c r="N66" s="5">
        <f t="shared" si="11"/>
        <v>0.30150000000000005</v>
      </c>
      <c r="O66" s="11"/>
      <c r="P66" s="2">
        <f>SUM(OSRRefP22_11x_0)</f>
        <v>2668.43</v>
      </c>
      <c r="Q66" s="2"/>
      <c r="R66" s="5">
        <f t="shared" si="12"/>
        <v>1.3496695941381173E-3</v>
      </c>
      <c r="S66" s="2"/>
      <c r="T66" s="2">
        <f>SUM(OSRRefT22_11x_0)</f>
        <v>5700</v>
      </c>
      <c r="U66" s="2"/>
      <c r="V66" s="5">
        <f t="shared" si="13"/>
        <v>5.9974747474747471E-3</v>
      </c>
      <c r="W66" s="2"/>
      <c r="X66" s="2">
        <f t="shared" si="14"/>
        <v>-3031.57</v>
      </c>
      <c r="Y66" s="2"/>
      <c r="Z66" s="5">
        <f t="shared" si="15"/>
        <v>-0.5318543859649123</v>
      </c>
    </row>
    <row r="67" spans="1:26" s="70" customFormat="1" ht="15" hidden="1" customHeight="1" outlineLevel="2" x14ac:dyDescent="0.3">
      <c r="A67" s="21"/>
      <c r="B67" s="9" t="str">
        <f>CONCATENATE("          ","6371"," - ","COMPUTER SOFTWARE MAINTENANCE")</f>
        <v xml:space="preserve">          6371 - COMPUTER SOFTWARE MAINTENANCE</v>
      </c>
      <c r="C67" s="9"/>
      <c r="D67" s="6"/>
      <c r="E67" s="3"/>
      <c r="F67" s="7">
        <f t="shared" si="8"/>
        <v>0</v>
      </c>
      <c r="G67" s="3"/>
      <c r="H67" s="6"/>
      <c r="I67" s="3"/>
      <c r="J67" s="7">
        <f t="shared" si="9"/>
        <v>0</v>
      </c>
      <c r="K67" s="3"/>
      <c r="L67" s="6">
        <f t="shared" si="10"/>
        <v>0</v>
      </c>
      <c r="M67" s="3"/>
      <c r="N67" s="7">
        <f t="shared" si="11"/>
        <v>0</v>
      </c>
      <c r="O67" s="9"/>
      <c r="P67" s="6"/>
      <c r="Q67" s="3"/>
      <c r="R67" s="7">
        <f t="shared" si="12"/>
        <v>0</v>
      </c>
      <c r="S67" s="3"/>
      <c r="T67" s="6">
        <v>0</v>
      </c>
      <c r="U67" s="3"/>
      <c r="V67" s="7">
        <f t="shared" si="13"/>
        <v>0</v>
      </c>
      <c r="W67" s="3"/>
      <c r="X67" s="6">
        <f t="shared" si="14"/>
        <v>0</v>
      </c>
      <c r="Y67" s="3"/>
      <c r="Z67" s="7">
        <f t="shared" si="15"/>
        <v>0</v>
      </c>
    </row>
    <row r="68" spans="1:26" s="70" customFormat="1" ht="15" hidden="1" customHeight="1" outlineLevel="2" x14ac:dyDescent="0.3">
      <c r="A68" s="21"/>
      <c r="B68" s="9" t="str">
        <f>CONCATENATE("          ","6373"," - ","MAINTENANCE CONTRACTS")</f>
        <v xml:space="preserve">          6373 - MAINTENANCE CONTRACTS</v>
      </c>
      <c r="C68" s="9"/>
      <c r="D68" s="6"/>
      <c r="E68" s="3"/>
      <c r="F68" s="7">
        <f t="shared" si="8"/>
        <v>0</v>
      </c>
      <c r="G68" s="3"/>
      <c r="H68" s="6"/>
      <c r="I68" s="3"/>
      <c r="J68" s="7">
        <f t="shared" si="9"/>
        <v>0</v>
      </c>
      <c r="K68" s="3"/>
      <c r="L68" s="6">
        <f t="shared" si="10"/>
        <v>0</v>
      </c>
      <c r="M68" s="3"/>
      <c r="N68" s="7">
        <f t="shared" si="11"/>
        <v>0</v>
      </c>
      <c r="O68" s="9"/>
      <c r="P68" s="6">
        <v>221.66</v>
      </c>
      <c r="Q68" s="3"/>
      <c r="R68" s="7">
        <f t="shared" si="12"/>
        <v>1.1211377560462712E-4</v>
      </c>
      <c r="S68" s="3"/>
      <c r="T68" s="6">
        <v>4500</v>
      </c>
      <c r="U68" s="3"/>
      <c r="V68" s="7">
        <f t="shared" si="13"/>
        <v>4.734848484848485E-3</v>
      </c>
      <c r="W68" s="3"/>
      <c r="X68" s="6">
        <f t="shared" si="14"/>
        <v>-4278.34</v>
      </c>
      <c r="Y68" s="3"/>
      <c r="Z68" s="7">
        <f t="shared" si="15"/>
        <v>-0.95074222222222227</v>
      </c>
    </row>
    <row r="69" spans="1:26" s="70" customFormat="1" ht="15" hidden="1" customHeight="1" outlineLevel="2" x14ac:dyDescent="0.3">
      <c r="A69" s="21"/>
      <c r="B69" s="9" t="str">
        <f>CONCATENATE("          ","6375"," - ","OUTSIDE REPAIRS &amp; MAINTENANCE")</f>
        <v xml:space="preserve">          6375 - OUTSIDE REPAIRS &amp; MAINTENANCE</v>
      </c>
      <c r="C69" s="9"/>
      <c r="D69" s="6">
        <v>130.15</v>
      </c>
      <c r="E69" s="3"/>
      <c r="F69" s="7">
        <f t="shared" si="8"/>
        <v>0</v>
      </c>
      <c r="G69" s="3"/>
      <c r="H69" s="6">
        <v>100</v>
      </c>
      <c r="I69" s="3"/>
      <c r="J69" s="7">
        <f t="shared" si="9"/>
        <v>0</v>
      </c>
      <c r="K69" s="3"/>
      <c r="L69" s="6">
        <f t="shared" si="10"/>
        <v>30.150000000000006</v>
      </c>
      <c r="M69" s="3"/>
      <c r="N69" s="7">
        <f t="shared" si="11"/>
        <v>0.30150000000000005</v>
      </c>
      <c r="O69" s="9"/>
      <c r="P69" s="6">
        <v>2446.77</v>
      </c>
      <c r="Q69" s="3"/>
      <c r="R69" s="7">
        <f t="shared" si="12"/>
        <v>1.2375558185334903E-3</v>
      </c>
      <c r="S69" s="3"/>
      <c r="T69" s="6">
        <v>1200</v>
      </c>
      <c r="U69" s="3"/>
      <c r="V69" s="7">
        <f t="shared" si="13"/>
        <v>1.2626262626262627E-3</v>
      </c>
      <c r="W69" s="3"/>
      <c r="X69" s="6">
        <f t="shared" si="14"/>
        <v>1246.77</v>
      </c>
      <c r="Y69" s="3"/>
      <c r="Z69" s="7">
        <f t="shared" si="15"/>
        <v>1.038975</v>
      </c>
    </row>
    <row r="70" spans="1:26" s="69" customFormat="1" ht="15" customHeight="1" outlineLevel="1" collapsed="1" x14ac:dyDescent="0.3">
      <c r="A70" s="20"/>
      <c r="B70" s="11" t="str">
        <f>CONCATENATE("     ","Services                                          ")</f>
        <v xml:space="preserve">     Services                                          </v>
      </c>
      <c r="C70" s="11"/>
      <c r="D70" s="2">
        <f>SUM(OSRRefD22_12x_0)</f>
        <v>5611.76</v>
      </c>
      <c r="E70" s="2"/>
      <c r="F70" s="5">
        <f t="shared" si="8"/>
        <v>0</v>
      </c>
      <c r="G70" s="2"/>
      <c r="H70" s="2">
        <f>SUM(OSRRefH22_12x_0)</f>
        <v>7224</v>
      </c>
      <c r="I70" s="2"/>
      <c r="J70" s="5">
        <f t="shared" si="9"/>
        <v>0</v>
      </c>
      <c r="K70" s="2"/>
      <c r="L70" s="2">
        <f t="shared" si="10"/>
        <v>-1612.2399999999998</v>
      </c>
      <c r="M70" s="2"/>
      <c r="N70" s="5">
        <f t="shared" si="11"/>
        <v>-0.22317829457364338</v>
      </c>
      <c r="O70" s="11"/>
      <c r="P70" s="2">
        <f>SUM(OSRRefP22_12x_0)</f>
        <v>59767.34</v>
      </c>
      <c r="Q70" s="2"/>
      <c r="R70" s="5">
        <f t="shared" si="12"/>
        <v>3.0229821100990047E-2</v>
      </c>
      <c r="S70" s="2"/>
      <c r="T70" s="2">
        <f>SUM(OSRRefT22_12x_0)</f>
        <v>83576</v>
      </c>
      <c r="U70" s="2"/>
      <c r="V70" s="5">
        <f t="shared" si="13"/>
        <v>8.793771043771044E-2</v>
      </c>
      <c r="W70" s="2"/>
      <c r="X70" s="2">
        <f t="shared" si="14"/>
        <v>-23808.660000000003</v>
      </c>
      <c r="Y70" s="2"/>
      <c r="Z70" s="5">
        <f t="shared" si="15"/>
        <v>-0.2848743658466546</v>
      </c>
    </row>
    <row r="71" spans="1:26" s="70" customFormat="1" ht="15" hidden="1" customHeight="1" outlineLevel="2" x14ac:dyDescent="0.3">
      <c r="A71" s="21"/>
      <c r="B71" s="9" t="str">
        <f>CONCATENATE("          ","6282"," - ","JANITORIAL/EXTERMINATOR EXPENS")</f>
        <v xml:space="preserve">          6282 - JANITORIAL/EXTERMINATOR EXPENS</v>
      </c>
      <c r="C71" s="9"/>
      <c r="D71" s="6">
        <v>1459.9</v>
      </c>
      <c r="E71" s="3"/>
      <c r="F71" s="7">
        <f t="shared" si="8"/>
        <v>0</v>
      </c>
      <c r="G71" s="3"/>
      <c r="H71" s="6">
        <v>670</v>
      </c>
      <c r="I71" s="3"/>
      <c r="J71" s="7">
        <f t="shared" si="9"/>
        <v>0</v>
      </c>
      <c r="K71" s="3"/>
      <c r="L71" s="6">
        <f t="shared" si="10"/>
        <v>789.90000000000009</v>
      </c>
      <c r="M71" s="3"/>
      <c r="N71" s="7">
        <f t="shared" si="11"/>
        <v>1.1789552238805971</v>
      </c>
      <c r="O71" s="9"/>
      <c r="P71" s="6">
        <v>8798.1</v>
      </c>
      <c r="Q71" s="3"/>
      <c r="R71" s="7">
        <f t="shared" si="12"/>
        <v>4.4500054549628703E-3</v>
      </c>
      <c r="S71" s="3"/>
      <c r="T71" s="6">
        <v>8040</v>
      </c>
      <c r="U71" s="3"/>
      <c r="V71" s="7">
        <f t="shared" si="13"/>
        <v>8.4595959595959603E-3</v>
      </c>
      <c r="W71" s="3"/>
      <c r="X71" s="6">
        <f t="shared" si="14"/>
        <v>758.10000000000036</v>
      </c>
      <c r="Y71" s="3"/>
      <c r="Z71" s="7">
        <f t="shared" si="15"/>
        <v>9.4291044776119451E-2</v>
      </c>
    </row>
    <row r="72" spans="1:26" s="70" customFormat="1" ht="15" hidden="1" customHeight="1" outlineLevel="2" x14ac:dyDescent="0.3">
      <c r="A72" s="21"/>
      <c r="B72" s="9" t="str">
        <f>CONCATENATE("          ","6284"," - ","TRASH REMOVAL EXPENSE")</f>
        <v xml:space="preserve">          6284 - TRASH REMOVAL EXPENSE</v>
      </c>
      <c r="C72" s="9"/>
      <c r="D72" s="6"/>
      <c r="E72" s="3"/>
      <c r="F72" s="7">
        <f t="shared" si="8"/>
        <v>0</v>
      </c>
      <c r="G72" s="3"/>
      <c r="H72" s="6">
        <v>50</v>
      </c>
      <c r="I72" s="3"/>
      <c r="J72" s="7">
        <f t="shared" si="9"/>
        <v>0</v>
      </c>
      <c r="K72" s="3"/>
      <c r="L72" s="6">
        <f t="shared" si="10"/>
        <v>-50</v>
      </c>
      <c r="M72" s="3"/>
      <c r="N72" s="7">
        <f t="shared" si="11"/>
        <v>-1</v>
      </c>
      <c r="O72" s="9"/>
      <c r="P72" s="6"/>
      <c r="Q72" s="3"/>
      <c r="R72" s="7">
        <f t="shared" si="12"/>
        <v>0</v>
      </c>
      <c r="S72" s="3"/>
      <c r="T72" s="6">
        <v>600</v>
      </c>
      <c r="U72" s="3"/>
      <c r="V72" s="7">
        <f t="shared" si="13"/>
        <v>6.3131313131313137E-4</v>
      </c>
      <c r="W72" s="3"/>
      <c r="X72" s="6">
        <f t="shared" si="14"/>
        <v>-600</v>
      </c>
      <c r="Y72" s="3"/>
      <c r="Z72" s="7">
        <f t="shared" si="15"/>
        <v>-1</v>
      </c>
    </row>
    <row r="73" spans="1:26" s="70" customFormat="1" ht="15" hidden="1" customHeight="1" outlineLevel="2" x14ac:dyDescent="0.3">
      <c r="A73" s="21"/>
      <c r="B73" s="9" t="str">
        <f>CONCATENATE("          ","6285"," - ","JANITORIAL SERVICES")</f>
        <v xml:space="preserve">          6285 - JANITORIAL SERVICES</v>
      </c>
      <c r="C73" s="9"/>
      <c r="D73" s="6">
        <v>4151.8599999999997</v>
      </c>
      <c r="E73" s="3"/>
      <c r="F73" s="7">
        <f t="shared" si="8"/>
        <v>0</v>
      </c>
      <c r="G73" s="3"/>
      <c r="H73" s="6">
        <v>4904</v>
      </c>
      <c r="I73" s="3"/>
      <c r="J73" s="7">
        <f t="shared" si="9"/>
        <v>0</v>
      </c>
      <c r="K73" s="3"/>
      <c r="L73" s="6">
        <f t="shared" si="10"/>
        <v>-752.14000000000033</v>
      </c>
      <c r="M73" s="3"/>
      <c r="N73" s="7">
        <f t="shared" si="11"/>
        <v>-0.15337275693311589</v>
      </c>
      <c r="O73" s="9"/>
      <c r="P73" s="6">
        <v>43714.79</v>
      </c>
      <c r="Q73" s="3"/>
      <c r="R73" s="7">
        <f t="shared" si="12"/>
        <v>2.211057546090137E-2</v>
      </c>
      <c r="S73" s="3"/>
      <c r="T73" s="6">
        <v>57336</v>
      </c>
      <c r="U73" s="3"/>
      <c r="V73" s="7">
        <f t="shared" si="13"/>
        <v>6.0328282828282828E-2</v>
      </c>
      <c r="W73" s="3"/>
      <c r="X73" s="6">
        <f t="shared" si="14"/>
        <v>-13621.21</v>
      </c>
      <c r="Y73" s="3"/>
      <c r="Z73" s="7">
        <f t="shared" si="15"/>
        <v>-0.23756819450258126</v>
      </c>
    </row>
    <row r="74" spans="1:26" s="70" customFormat="1" ht="15" hidden="1" customHeight="1" outlineLevel="2" x14ac:dyDescent="0.3">
      <c r="A74" s="21"/>
      <c r="B74" s="9" t="str">
        <f>CONCATENATE("          ","6286"," - ","LAUNDRY EXPENSE")</f>
        <v xml:space="preserve">          6286 - LAUNDRY EXPENSE</v>
      </c>
      <c r="C74" s="9"/>
      <c r="D74" s="6"/>
      <c r="E74" s="3"/>
      <c r="F74" s="7">
        <f t="shared" si="8"/>
        <v>0</v>
      </c>
      <c r="G74" s="3"/>
      <c r="H74" s="6">
        <v>1600</v>
      </c>
      <c r="I74" s="3"/>
      <c r="J74" s="7">
        <f t="shared" si="9"/>
        <v>0</v>
      </c>
      <c r="K74" s="3"/>
      <c r="L74" s="6">
        <f t="shared" si="10"/>
        <v>-1600</v>
      </c>
      <c r="M74" s="3"/>
      <c r="N74" s="7">
        <f t="shared" si="11"/>
        <v>-1</v>
      </c>
      <c r="O74" s="9"/>
      <c r="P74" s="6">
        <v>7254.45</v>
      </c>
      <c r="Q74" s="3"/>
      <c r="R74" s="7">
        <f t="shared" si="12"/>
        <v>3.6692401851258103E-3</v>
      </c>
      <c r="S74" s="3"/>
      <c r="T74" s="6">
        <v>17600</v>
      </c>
      <c r="U74" s="3"/>
      <c r="V74" s="7">
        <f t="shared" si="13"/>
        <v>1.8518518518518517E-2</v>
      </c>
      <c r="W74" s="3"/>
      <c r="X74" s="6">
        <f t="shared" si="14"/>
        <v>-10345.549999999999</v>
      </c>
      <c r="Y74" s="3"/>
      <c r="Z74" s="7">
        <f t="shared" si="15"/>
        <v>-0.58781534090909082</v>
      </c>
    </row>
    <row r="75" spans="1:26" s="69" customFormat="1" ht="15" customHeight="1" outlineLevel="1" collapsed="1" x14ac:dyDescent="0.3">
      <c r="A75" s="20"/>
      <c r="B75" s="11" t="str">
        <f>CONCATENATE("     ","Supplies                                          ")</f>
        <v xml:space="preserve">     Supplies                                          </v>
      </c>
      <c r="C75" s="11"/>
      <c r="D75" s="2">
        <f>SUM(OSRRefD22_13x_0)</f>
        <v>1469.3500000000001</v>
      </c>
      <c r="E75" s="2"/>
      <c r="F75" s="5">
        <f t="shared" si="8"/>
        <v>0</v>
      </c>
      <c r="G75" s="2"/>
      <c r="H75" s="2">
        <f>SUM(OSRRefH22_13x_0)</f>
        <v>444</v>
      </c>
      <c r="I75" s="2"/>
      <c r="J75" s="5">
        <f t="shared" si="9"/>
        <v>0</v>
      </c>
      <c r="K75" s="2"/>
      <c r="L75" s="2">
        <f t="shared" si="10"/>
        <v>1025.3500000000001</v>
      </c>
      <c r="M75" s="2"/>
      <c r="N75" s="5">
        <f t="shared" si="11"/>
        <v>2.309346846846847</v>
      </c>
      <c r="O75" s="11"/>
      <c r="P75" s="2">
        <f>SUM(OSRRefP22_13x_0)</f>
        <v>95260.189999999988</v>
      </c>
      <c r="Q75" s="2"/>
      <c r="R75" s="5">
        <f t="shared" si="12"/>
        <v>4.8181808020004248E-2</v>
      </c>
      <c r="S75" s="2"/>
      <c r="T75" s="2">
        <f>SUM(OSRRefT22_13x_0)</f>
        <v>59450</v>
      </c>
      <c r="U75" s="2"/>
      <c r="V75" s="5">
        <f t="shared" si="13"/>
        <v>6.2552609427609429E-2</v>
      </c>
      <c r="W75" s="2"/>
      <c r="X75" s="2">
        <f t="shared" si="14"/>
        <v>35810.189999999988</v>
      </c>
      <c r="Y75" s="2"/>
      <c r="Z75" s="5">
        <f t="shared" si="15"/>
        <v>0.60235811606391909</v>
      </c>
    </row>
    <row r="76" spans="1:26" s="70" customFormat="1" ht="15" hidden="1" customHeight="1" outlineLevel="2" x14ac:dyDescent="0.3">
      <c r="A76" s="21"/>
      <c r="B76" s="9" t="str">
        <f>CONCATENATE("          ","6237"," - ","JANITORIAL SUPPLIES")</f>
        <v xml:space="preserve">          6237 - JANITORIAL SUPPLIES</v>
      </c>
      <c r="C76" s="9"/>
      <c r="D76" s="6">
        <v>1434.89</v>
      </c>
      <c r="E76" s="3"/>
      <c r="F76" s="7">
        <f t="shared" si="8"/>
        <v>0</v>
      </c>
      <c r="G76" s="3"/>
      <c r="H76" s="6">
        <v>0</v>
      </c>
      <c r="I76" s="3"/>
      <c r="J76" s="7">
        <f t="shared" si="9"/>
        <v>0</v>
      </c>
      <c r="K76" s="3"/>
      <c r="L76" s="6">
        <f t="shared" si="10"/>
        <v>1434.89</v>
      </c>
      <c r="M76" s="3"/>
      <c r="N76" s="7">
        <f t="shared" si="11"/>
        <v>0</v>
      </c>
      <c r="O76" s="9"/>
      <c r="P76" s="6">
        <v>34815.82</v>
      </c>
      <c r="Q76" s="3"/>
      <c r="R76" s="7">
        <f t="shared" si="12"/>
        <v>1.760955080290124E-2</v>
      </c>
      <c r="S76" s="3"/>
      <c r="T76" s="6">
        <v>25000</v>
      </c>
      <c r="U76" s="3"/>
      <c r="V76" s="7">
        <f t="shared" si="13"/>
        <v>2.6304713804713806E-2</v>
      </c>
      <c r="W76" s="3"/>
      <c r="X76" s="6">
        <f t="shared" si="14"/>
        <v>9815.82</v>
      </c>
      <c r="Y76" s="3"/>
      <c r="Z76" s="7">
        <f t="shared" si="15"/>
        <v>0.3926328</v>
      </c>
    </row>
    <row r="77" spans="1:26" s="70" customFormat="1" ht="15" hidden="1" customHeight="1" outlineLevel="2" x14ac:dyDescent="0.3">
      <c r="A77" s="21"/>
      <c r="B77" s="9" t="str">
        <f>CONCATENATE("          ","6239"," - ","KITCHEN SUPPLIES")</f>
        <v xml:space="preserve">          6239 - KITCHEN SUPPLIES</v>
      </c>
      <c r="C77" s="9"/>
      <c r="D77" s="6"/>
      <c r="E77" s="3"/>
      <c r="F77" s="7">
        <f t="shared" si="8"/>
        <v>0</v>
      </c>
      <c r="G77" s="3"/>
      <c r="H77" s="6"/>
      <c r="I77" s="3"/>
      <c r="J77" s="7">
        <f t="shared" si="9"/>
        <v>0</v>
      </c>
      <c r="K77" s="3"/>
      <c r="L77" s="6">
        <f t="shared" si="10"/>
        <v>0</v>
      </c>
      <c r="M77" s="3"/>
      <c r="N77" s="7">
        <f t="shared" si="11"/>
        <v>0</v>
      </c>
      <c r="O77" s="9"/>
      <c r="P77" s="6">
        <v>11670.66</v>
      </c>
      <c r="Q77" s="3"/>
      <c r="R77" s="7">
        <f t="shared" si="12"/>
        <v>5.9029222972024611E-3</v>
      </c>
      <c r="S77" s="3"/>
      <c r="T77" s="6">
        <v>9100</v>
      </c>
      <c r="U77" s="3"/>
      <c r="V77" s="7">
        <f t="shared" si="13"/>
        <v>9.5749158249158247E-3</v>
      </c>
      <c r="W77" s="3"/>
      <c r="X77" s="6">
        <f t="shared" si="14"/>
        <v>2570.66</v>
      </c>
      <c r="Y77" s="3"/>
      <c r="Z77" s="7">
        <f t="shared" si="15"/>
        <v>0.28249010989010986</v>
      </c>
    </row>
    <row r="78" spans="1:26" s="70" customFormat="1" ht="15" hidden="1" customHeight="1" outlineLevel="2" x14ac:dyDescent="0.3">
      <c r="A78" s="21"/>
      <c r="B78" s="9" t="str">
        <f>CONCATENATE("          ","6241"," - ","OFFICE EXPENSE")</f>
        <v xml:space="preserve">          6241 - OFFICE EXPENSE</v>
      </c>
      <c r="C78" s="9"/>
      <c r="D78" s="6">
        <v>34.46</v>
      </c>
      <c r="E78" s="3"/>
      <c r="F78" s="7">
        <f t="shared" si="8"/>
        <v>0</v>
      </c>
      <c r="G78" s="3"/>
      <c r="H78" s="6">
        <v>125</v>
      </c>
      <c r="I78" s="3"/>
      <c r="J78" s="7">
        <f t="shared" si="9"/>
        <v>0</v>
      </c>
      <c r="K78" s="3"/>
      <c r="L78" s="6">
        <f t="shared" si="10"/>
        <v>-90.539999999999992</v>
      </c>
      <c r="M78" s="3"/>
      <c r="N78" s="7">
        <f t="shared" si="11"/>
        <v>-0.72431999999999996</v>
      </c>
      <c r="O78" s="9"/>
      <c r="P78" s="6">
        <v>6442.57</v>
      </c>
      <c r="Q78" s="3"/>
      <c r="R78" s="7">
        <f t="shared" si="12"/>
        <v>3.2585980659437987E-3</v>
      </c>
      <c r="S78" s="3"/>
      <c r="T78" s="6">
        <v>1500</v>
      </c>
      <c r="U78" s="3"/>
      <c r="V78" s="7">
        <f t="shared" si="13"/>
        <v>1.5782828282828283E-3</v>
      </c>
      <c r="W78" s="3"/>
      <c r="X78" s="6">
        <f t="shared" si="14"/>
        <v>4942.57</v>
      </c>
      <c r="Y78" s="3"/>
      <c r="Z78" s="7">
        <f t="shared" si="15"/>
        <v>3.2950466666666665</v>
      </c>
    </row>
    <row r="79" spans="1:26" s="70" customFormat="1" ht="15" hidden="1" customHeight="1" outlineLevel="2" x14ac:dyDescent="0.3">
      <c r="A79" s="21"/>
      <c r="B79" s="9" t="str">
        <f>CONCATENATE("          ","6243"," - ","PAPER SUPPLIES")</f>
        <v xml:space="preserve">          6243 - PAPER SUPPLIES</v>
      </c>
      <c r="C79" s="9"/>
      <c r="D79" s="6"/>
      <c r="E79" s="3"/>
      <c r="F79" s="7">
        <f t="shared" si="8"/>
        <v>0</v>
      </c>
      <c r="G79" s="3"/>
      <c r="H79" s="6"/>
      <c r="I79" s="3"/>
      <c r="J79" s="7">
        <f t="shared" si="9"/>
        <v>0</v>
      </c>
      <c r="K79" s="3"/>
      <c r="L79" s="6">
        <f t="shared" si="10"/>
        <v>0</v>
      </c>
      <c r="M79" s="3"/>
      <c r="N79" s="7">
        <f t="shared" si="11"/>
        <v>0</v>
      </c>
      <c r="O79" s="9"/>
      <c r="P79" s="6">
        <v>39808.1</v>
      </c>
      <c r="Q79" s="3"/>
      <c r="R79" s="7">
        <f t="shared" si="12"/>
        <v>2.0134604306805724E-2</v>
      </c>
      <c r="S79" s="3"/>
      <c r="T79" s="6">
        <v>20000</v>
      </c>
      <c r="U79" s="3"/>
      <c r="V79" s="7">
        <f t="shared" si="13"/>
        <v>2.1043771043771045E-2</v>
      </c>
      <c r="W79" s="3"/>
      <c r="X79" s="6">
        <f t="shared" si="14"/>
        <v>19808.099999999999</v>
      </c>
      <c r="Y79" s="3"/>
      <c r="Z79" s="7">
        <f t="shared" si="15"/>
        <v>0.99040499999999998</v>
      </c>
    </row>
    <row r="80" spans="1:26" s="70" customFormat="1" ht="15" hidden="1" customHeight="1" outlineLevel="2" x14ac:dyDescent="0.3">
      <c r="A80" s="21"/>
      <c r="B80" s="9" t="str">
        <f>CONCATENATE("          ","6244"," - ","SAFETY SUPPLY EXPENSE")</f>
        <v xml:space="preserve">          6244 - SAFETY SUPPLY EXPENSE</v>
      </c>
      <c r="C80" s="9"/>
      <c r="D80" s="6"/>
      <c r="E80" s="3"/>
      <c r="F80" s="7">
        <f t="shared" si="8"/>
        <v>0</v>
      </c>
      <c r="G80" s="3"/>
      <c r="H80" s="6">
        <v>125</v>
      </c>
      <c r="I80" s="3"/>
      <c r="J80" s="7">
        <f t="shared" si="9"/>
        <v>0</v>
      </c>
      <c r="K80" s="3"/>
      <c r="L80" s="6">
        <f t="shared" si="10"/>
        <v>-125</v>
      </c>
      <c r="M80" s="3"/>
      <c r="N80" s="7">
        <f t="shared" si="11"/>
        <v>-1</v>
      </c>
      <c r="O80" s="9"/>
      <c r="P80" s="6"/>
      <c r="Q80" s="3"/>
      <c r="R80" s="7">
        <f t="shared" si="12"/>
        <v>0</v>
      </c>
      <c r="S80" s="3"/>
      <c r="T80" s="6">
        <v>1500</v>
      </c>
      <c r="U80" s="3"/>
      <c r="V80" s="7">
        <f t="shared" si="13"/>
        <v>1.5782828282828283E-3</v>
      </c>
      <c r="W80" s="3"/>
      <c r="X80" s="6">
        <f t="shared" si="14"/>
        <v>-1500</v>
      </c>
      <c r="Y80" s="3"/>
      <c r="Z80" s="7">
        <f t="shared" si="15"/>
        <v>-1</v>
      </c>
    </row>
    <row r="81" spans="1:26" s="70" customFormat="1" ht="15" hidden="1" customHeight="1" outlineLevel="2" x14ac:dyDescent="0.3">
      <c r="A81" s="21"/>
      <c r="B81" s="9" t="str">
        <f>CONCATENATE("          ","6247"," - ","STORE SUPPLIES")</f>
        <v xml:space="preserve">          6247 - STORE SUPPLIES</v>
      </c>
      <c r="C81" s="9"/>
      <c r="D81" s="6"/>
      <c r="E81" s="3"/>
      <c r="F81" s="7">
        <f t="shared" si="8"/>
        <v>0</v>
      </c>
      <c r="G81" s="3"/>
      <c r="H81" s="6"/>
      <c r="I81" s="3"/>
      <c r="J81" s="7">
        <f t="shared" si="9"/>
        <v>0</v>
      </c>
      <c r="K81" s="3"/>
      <c r="L81" s="6">
        <f t="shared" si="10"/>
        <v>0</v>
      </c>
      <c r="M81" s="3"/>
      <c r="N81" s="7">
        <f t="shared" si="11"/>
        <v>0</v>
      </c>
      <c r="O81" s="9"/>
      <c r="P81" s="6">
        <v>652.62</v>
      </c>
      <c r="Q81" s="3"/>
      <c r="R81" s="7">
        <f t="shared" si="12"/>
        <v>3.3008974210543964E-4</v>
      </c>
      <c r="S81" s="3"/>
      <c r="T81" s="6"/>
      <c r="U81" s="3"/>
      <c r="V81" s="7">
        <f t="shared" si="13"/>
        <v>0</v>
      </c>
      <c r="W81" s="3"/>
      <c r="X81" s="6">
        <f t="shared" si="14"/>
        <v>652.62</v>
      </c>
      <c r="Y81" s="3"/>
      <c r="Z81" s="7">
        <f t="shared" si="15"/>
        <v>0</v>
      </c>
    </row>
    <row r="82" spans="1:26" s="70" customFormat="1" ht="15" hidden="1" customHeight="1" outlineLevel="2" x14ac:dyDescent="0.3">
      <c r="A82" s="21"/>
      <c r="B82" s="9" t="str">
        <f>CONCATENATE("          ","6248"," - ","UNIFORMS")</f>
        <v xml:space="preserve">          6248 - UNIFORMS</v>
      </c>
      <c r="C82" s="9"/>
      <c r="D82" s="6"/>
      <c r="E82" s="3"/>
      <c r="F82" s="7">
        <f t="shared" si="8"/>
        <v>0</v>
      </c>
      <c r="G82" s="3"/>
      <c r="H82" s="6">
        <v>194</v>
      </c>
      <c r="I82" s="3"/>
      <c r="J82" s="7">
        <f t="shared" si="9"/>
        <v>0</v>
      </c>
      <c r="K82" s="3"/>
      <c r="L82" s="6">
        <f t="shared" si="10"/>
        <v>-194</v>
      </c>
      <c r="M82" s="3"/>
      <c r="N82" s="7">
        <f t="shared" si="11"/>
        <v>-1</v>
      </c>
      <c r="O82" s="9"/>
      <c r="P82" s="6">
        <v>1870.42</v>
      </c>
      <c r="Q82" s="3"/>
      <c r="R82" s="7">
        <f t="shared" si="12"/>
        <v>9.4604280504559531E-4</v>
      </c>
      <c r="S82" s="3"/>
      <c r="T82" s="6">
        <v>2350</v>
      </c>
      <c r="U82" s="3"/>
      <c r="V82" s="7">
        <f t="shared" si="13"/>
        <v>2.4726430976430977E-3</v>
      </c>
      <c r="W82" s="3"/>
      <c r="X82" s="6">
        <f t="shared" si="14"/>
        <v>-479.57999999999993</v>
      </c>
      <c r="Y82" s="3"/>
      <c r="Z82" s="7">
        <f t="shared" si="15"/>
        <v>-0.20407659574468082</v>
      </c>
    </row>
    <row r="83" spans="1:26" s="69" customFormat="1" ht="15" customHeight="1" outlineLevel="1" collapsed="1" x14ac:dyDescent="0.3">
      <c r="A83" s="20"/>
      <c r="B83" s="11" t="str">
        <f>CONCATENATE("     ","Telephone/Data Lines                              ")</f>
        <v xml:space="preserve">     Telephone/Data Lines                              </v>
      </c>
      <c r="C83" s="11"/>
      <c r="D83" s="2">
        <f>SUM(OSRRefD22_14x_0)</f>
        <v>36</v>
      </c>
      <c r="E83" s="2"/>
      <c r="F83" s="5">
        <f t="shared" si="8"/>
        <v>0</v>
      </c>
      <c r="G83" s="2"/>
      <c r="H83" s="2">
        <f>SUM(OSRRefH22_14x_0)</f>
        <v>125</v>
      </c>
      <c r="I83" s="2"/>
      <c r="J83" s="5">
        <f t="shared" si="9"/>
        <v>0</v>
      </c>
      <c r="K83" s="2"/>
      <c r="L83" s="2">
        <f t="shared" si="10"/>
        <v>-89</v>
      </c>
      <c r="M83" s="2"/>
      <c r="N83" s="5">
        <f t="shared" si="11"/>
        <v>-0.71199999999999997</v>
      </c>
      <c r="O83" s="11"/>
      <c r="P83" s="2">
        <f>SUM(OSRRefP22_14x_0)</f>
        <v>1922.85</v>
      </c>
      <c r="Q83" s="2"/>
      <c r="R83" s="5">
        <f t="shared" si="12"/>
        <v>9.7256146089216475E-4</v>
      </c>
      <c r="S83" s="2"/>
      <c r="T83" s="2">
        <f>SUM(OSRRefT22_14x_0)</f>
        <v>1500</v>
      </c>
      <c r="U83" s="2"/>
      <c r="V83" s="5">
        <f t="shared" si="13"/>
        <v>1.5782828282828283E-3</v>
      </c>
      <c r="W83" s="2"/>
      <c r="X83" s="2">
        <f t="shared" si="14"/>
        <v>422.84999999999991</v>
      </c>
      <c r="Y83" s="2"/>
      <c r="Z83" s="5">
        <f t="shared" si="15"/>
        <v>0.28189999999999993</v>
      </c>
    </row>
    <row r="84" spans="1:26" s="70" customFormat="1" ht="15" hidden="1" customHeight="1" outlineLevel="2" x14ac:dyDescent="0.3">
      <c r="A84" s="21"/>
      <c r="B84" s="9" t="str">
        <f>CONCATENATE("          ","6309"," - ","TELEPHONE")</f>
        <v xml:space="preserve">          6309 - TELEPHONE</v>
      </c>
      <c r="C84" s="9"/>
      <c r="D84" s="6">
        <v>36</v>
      </c>
      <c r="E84" s="3"/>
      <c r="F84" s="7">
        <f t="shared" si="8"/>
        <v>0</v>
      </c>
      <c r="G84" s="3"/>
      <c r="H84" s="6">
        <v>125</v>
      </c>
      <c r="I84" s="3"/>
      <c r="J84" s="7">
        <f t="shared" si="9"/>
        <v>0</v>
      </c>
      <c r="K84" s="3"/>
      <c r="L84" s="6">
        <f t="shared" si="10"/>
        <v>-89</v>
      </c>
      <c r="M84" s="3"/>
      <c r="N84" s="7">
        <f t="shared" si="11"/>
        <v>-0.71199999999999997</v>
      </c>
      <c r="O84" s="9"/>
      <c r="P84" s="6">
        <v>1922.85</v>
      </c>
      <c r="Q84" s="3"/>
      <c r="R84" s="7">
        <f t="shared" si="12"/>
        <v>9.7256146089216475E-4</v>
      </c>
      <c r="S84" s="3"/>
      <c r="T84" s="6">
        <v>1500</v>
      </c>
      <c r="U84" s="3"/>
      <c r="V84" s="7">
        <f t="shared" si="13"/>
        <v>1.5782828282828283E-3</v>
      </c>
      <c r="W84" s="3"/>
      <c r="X84" s="6">
        <f t="shared" si="14"/>
        <v>422.84999999999991</v>
      </c>
      <c r="Y84" s="3"/>
      <c r="Z84" s="7">
        <f t="shared" si="15"/>
        <v>0.28189999999999993</v>
      </c>
    </row>
    <row r="85" spans="1:26" s="69" customFormat="1" ht="15" customHeight="1" outlineLevel="1" collapsed="1" x14ac:dyDescent="0.3">
      <c r="A85" s="20"/>
      <c r="B85" s="11" t="str">
        <f>CONCATENATE("     ","Training                                          ")</f>
        <v xml:space="preserve">     Training                                          </v>
      </c>
      <c r="C85" s="11"/>
      <c r="D85" s="2">
        <f>SUM(OSRRefD22_15x_0)</f>
        <v>0</v>
      </c>
      <c r="E85" s="2"/>
      <c r="F85" s="5">
        <f t="shared" si="8"/>
        <v>0</v>
      </c>
      <c r="G85" s="2"/>
      <c r="H85" s="2">
        <f>SUM(OSRRefH22_15x_0)</f>
        <v>165</v>
      </c>
      <c r="I85" s="2"/>
      <c r="J85" s="5">
        <f t="shared" si="9"/>
        <v>0</v>
      </c>
      <c r="K85" s="2"/>
      <c r="L85" s="2">
        <f t="shared" si="10"/>
        <v>-165</v>
      </c>
      <c r="M85" s="2"/>
      <c r="N85" s="5">
        <f t="shared" si="11"/>
        <v>-1</v>
      </c>
      <c r="O85" s="11"/>
      <c r="P85" s="2">
        <f>SUM(OSRRefP22_15x_0)</f>
        <v>312</v>
      </c>
      <c r="Q85" s="2"/>
      <c r="R85" s="5">
        <f t="shared" si="12"/>
        <v>1.5780699264027637E-4</v>
      </c>
      <c r="S85" s="2"/>
      <c r="T85" s="2">
        <f>SUM(OSRRefT22_15x_0)</f>
        <v>2000</v>
      </c>
      <c r="U85" s="2"/>
      <c r="V85" s="5">
        <f t="shared" si="13"/>
        <v>2.1043771043771043E-3</v>
      </c>
      <c r="W85" s="2"/>
      <c r="X85" s="2">
        <f t="shared" si="14"/>
        <v>-1688</v>
      </c>
      <c r="Y85" s="2"/>
      <c r="Z85" s="5">
        <f t="shared" si="15"/>
        <v>-0.84399999999999997</v>
      </c>
    </row>
    <row r="86" spans="1:26" s="70" customFormat="1" ht="15" hidden="1" customHeight="1" outlineLevel="2" x14ac:dyDescent="0.3">
      <c r="A86" s="21"/>
      <c r="B86" s="9" t="str">
        <f>CONCATENATE("          ","6376"," - ","TRAINING")</f>
        <v xml:space="preserve">          6376 - TRAINING</v>
      </c>
      <c r="C86" s="9"/>
      <c r="D86" s="6"/>
      <c r="E86" s="3"/>
      <c r="F86" s="7">
        <f t="shared" si="8"/>
        <v>0</v>
      </c>
      <c r="G86" s="3"/>
      <c r="H86" s="6">
        <v>165</v>
      </c>
      <c r="I86" s="3"/>
      <c r="J86" s="7">
        <f t="shared" si="9"/>
        <v>0</v>
      </c>
      <c r="K86" s="3"/>
      <c r="L86" s="6">
        <f t="shared" si="10"/>
        <v>-165</v>
      </c>
      <c r="M86" s="3"/>
      <c r="N86" s="7">
        <f t="shared" si="11"/>
        <v>-1</v>
      </c>
      <c r="O86" s="9"/>
      <c r="P86" s="6">
        <v>312</v>
      </c>
      <c r="Q86" s="3"/>
      <c r="R86" s="7">
        <f t="shared" si="12"/>
        <v>1.5780699264027637E-4</v>
      </c>
      <c r="S86" s="3"/>
      <c r="T86" s="6">
        <v>2000</v>
      </c>
      <c r="U86" s="3"/>
      <c r="V86" s="7">
        <f t="shared" si="13"/>
        <v>2.1043771043771043E-3</v>
      </c>
      <c r="W86" s="3"/>
      <c r="X86" s="6">
        <f t="shared" si="14"/>
        <v>-1688</v>
      </c>
      <c r="Y86" s="3"/>
      <c r="Z86" s="7">
        <f t="shared" si="15"/>
        <v>-0.84399999999999997</v>
      </c>
    </row>
    <row r="87" spans="1:26" s="69" customFormat="1" ht="15" customHeight="1" outlineLevel="1" collapsed="1" x14ac:dyDescent="0.3">
      <c r="A87" s="20"/>
      <c r="B87" s="11" t="str">
        <f>CONCATENATE("     ","Travel                                            ")</f>
        <v xml:space="preserve">     Travel                                            </v>
      </c>
      <c r="C87" s="11"/>
      <c r="D87" s="2">
        <f>SUM(OSRRefD22_16x_0)</f>
        <v>0</v>
      </c>
      <c r="E87" s="2"/>
      <c r="F87" s="5">
        <f t="shared" si="8"/>
        <v>0</v>
      </c>
      <c r="G87" s="2"/>
      <c r="H87" s="2">
        <f>SUM(OSRRefH22_16x_0)</f>
        <v>0</v>
      </c>
      <c r="I87" s="2"/>
      <c r="J87" s="5">
        <f t="shared" si="9"/>
        <v>0</v>
      </c>
      <c r="K87" s="2"/>
      <c r="L87" s="2">
        <f t="shared" si="10"/>
        <v>0</v>
      </c>
      <c r="M87" s="2"/>
      <c r="N87" s="5">
        <f t="shared" si="11"/>
        <v>0</v>
      </c>
      <c r="O87" s="11"/>
      <c r="P87" s="2">
        <f>SUM(OSRRefP22_16x_0)</f>
        <v>360.41</v>
      </c>
      <c r="Q87" s="2"/>
      <c r="R87" s="5">
        <f t="shared" si="12"/>
        <v>1.8229236608167311E-4</v>
      </c>
      <c r="S87" s="2"/>
      <c r="T87" s="2">
        <f>SUM(OSRRefT22_16x_0)</f>
        <v>0</v>
      </c>
      <c r="U87" s="2"/>
      <c r="V87" s="5">
        <f t="shared" si="13"/>
        <v>0</v>
      </c>
      <c r="W87" s="2"/>
      <c r="X87" s="2">
        <f t="shared" si="14"/>
        <v>360.41</v>
      </c>
      <c r="Y87" s="2"/>
      <c r="Z87" s="5">
        <f t="shared" si="15"/>
        <v>0</v>
      </c>
    </row>
    <row r="88" spans="1:26" s="70" customFormat="1" ht="15" hidden="1" customHeight="1" outlineLevel="2" x14ac:dyDescent="0.3">
      <c r="A88" s="21"/>
      <c r="B88" s="9" t="str">
        <f>CONCATENATE("          ","6298"," - ","VEHICLE MILEAGE")</f>
        <v xml:space="preserve">          6298 - VEHICLE MILEAGE</v>
      </c>
      <c r="C88" s="9"/>
      <c r="D88" s="6"/>
      <c r="E88" s="3"/>
      <c r="F88" s="7">
        <f t="shared" si="8"/>
        <v>0</v>
      </c>
      <c r="G88" s="3"/>
      <c r="H88" s="6"/>
      <c r="I88" s="3"/>
      <c r="J88" s="7">
        <f t="shared" si="9"/>
        <v>0</v>
      </c>
      <c r="K88" s="3"/>
      <c r="L88" s="6">
        <f t="shared" si="10"/>
        <v>0</v>
      </c>
      <c r="M88" s="3"/>
      <c r="N88" s="7">
        <f t="shared" si="11"/>
        <v>0</v>
      </c>
      <c r="O88" s="9"/>
      <c r="P88" s="6">
        <v>360.41</v>
      </c>
      <c r="Q88" s="3"/>
      <c r="R88" s="7">
        <f t="shared" si="12"/>
        <v>1.8229236608167311E-4</v>
      </c>
      <c r="S88" s="3"/>
      <c r="T88" s="6"/>
      <c r="U88" s="3"/>
      <c r="V88" s="7">
        <f t="shared" si="13"/>
        <v>0</v>
      </c>
      <c r="W88" s="3"/>
      <c r="X88" s="6">
        <f t="shared" si="14"/>
        <v>360.41</v>
      </c>
      <c r="Y88" s="3"/>
      <c r="Z88" s="7">
        <f t="shared" si="15"/>
        <v>0</v>
      </c>
    </row>
    <row r="89" spans="1:26" s="65" customFormat="1" ht="15" customHeight="1" x14ac:dyDescent="0.3">
      <c r="A89" s="36"/>
      <c r="B89" s="36"/>
      <c r="C89" s="36"/>
      <c r="D89" s="2"/>
      <c r="E89" s="2"/>
      <c r="F89" s="5"/>
      <c r="G89" s="2"/>
      <c r="H89" s="2"/>
      <c r="I89" s="2"/>
      <c r="J89" s="5"/>
      <c r="K89" s="2"/>
      <c r="L89" s="2"/>
      <c r="M89" s="2"/>
      <c r="N89" s="5"/>
      <c r="O89" s="36"/>
      <c r="P89" s="2"/>
      <c r="Q89" s="2"/>
      <c r="R89" s="5"/>
      <c r="S89" s="2"/>
      <c r="T89" s="2"/>
      <c r="U89" s="2"/>
      <c r="V89" s="5"/>
      <c r="W89" s="2"/>
      <c r="X89" s="2"/>
      <c r="Y89" s="2"/>
      <c r="Z89" s="5"/>
    </row>
    <row r="90" spans="1:26" s="63" customFormat="1" ht="15" customHeight="1" x14ac:dyDescent="0.3">
      <c r="A90" s="13"/>
      <c r="B90" s="28" t="s">
        <v>291</v>
      </c>
      <c r="C90" s="13"/>
      <c r="D90" s="8">
        <f>SUM(0)</f>
        <v>0</v>
      </c>
      <c r="E90" s="8"/>
      <c r="F90" s="14">
        <f>IF(D$12=0,0,D90/D$12)</f>
        <v>0</v>
      </c>
      <c r="G90" s="8"/>
      <c r="H90" s="8">
        <f>SUM(0)</f>
        <v>0</v>
      </c>
      <c r="I90" s="8"/>
      <c r="J90" s="14">
        <f>IF(H$12=0,0,H90/H$12)</f>
        <v>0</v>
      </c>
      <c r="K90" s="8"/>
      <c r="L90" s="8">
        <f>+D90-H90</f>
        <v>0</v>
      </c>
      <c r="M90" s="8"/>
      <c r="N90" s="14">
        <f>IF(H90=0,0,L90/H90)</f>
        <v>0</v>
      </c>
      <c r="O90" s="13"/>
      <c r="P90" s="8">
        <f>SUM(0)</f>
        <v>0</v>
      </c>
      <c r="Q90" s="8"/>
      <c r="R90" s="14">
        <f>IF(P$12=0,0,P90/P$12)</f>
        <v>0</v>
      </c>
      <c r="S90" s="8"/>
      <c r="T90" s="8">
        <f>SUM(0)</f>
        <v>0</v>
      </c>
      <c r="U90" s="8"/>
      <c r="V90" s="14">
        <f>IF(T$12=0,0,T90/T$12)</f>
        <v>0</v>
      </c>
      <c r="W90" s="8"/>
      <c r="X90" s="8">
        <f>+P90-T90</f>
        <v>0</v>
      </c>
      <c r="Y90" s="8"/>
      <c r="Z90" s="14">
        <f>IF(T90=0,0,X90/T90)</f>
        <v>0</v>
      </c>
    </row>
    <row r="91" spans="1:26" ht="15" customHeight="1" x14ac:dyDescent="0.3">
      <c r="A91" s="12"/>
      <c r="B91" s="13"/>
      <c r="C91" s="13"/>
      <c r="D91" s="4"/>
      <c r="E91" s="4"/>
      <c r="F91" s="10"/>
      <c r="G91" s="4"/>
      <c r="H91" s="4"/>
      <c r="I91" s="4"/>
      <c r="J91" s="10"/>
      <c r="K91" s="4"/>
      <c r="L91" s="4"/>
      <c r="M91" s="4"/>
      <c r="N91" s="10"/>
      <c r="O91" s="13"/>
      <c r="P91" s="4"/>
      <c r="Q91" s="4"/>
      <c r="R91" s="10"/>
      <c r="S91" s="4"/>
      <c r="T91" s="4"/>
      <c r="U91" s="4"/>
      <c r="V91" s="10"/>
      <c r="W91" s="4"/>
      <c r="X91" s="4"/>
      <c r="Y91" s="4"/>
      <c r="Z91" s="10"/>
    </row>
    <row r="92" spans="1:26" s="63" customFormat="1" ht="15" customHeight="1" x14ac:dyDescent="0.3">
      <c r="A92" s="13"/>
      <c r="B92" s="27" t="s">
        <v>292</v>
      </c>
      <c r="C92" s="27"/>
      <c r="D92" s="23">
        <f>+D23-D25+D90</f>
        <v>-51037.260000000009</v>
      </c>
      <c r="E92" s="15"/>
      <c r="F92" s="22">
        <f>IF(D$12=0,0,D92/D$12)</f>
        <v>0</v>
      </c>
      <c r="G92" s="15"/>
      <c r="H92" s="23">
        <f>+H23-H25+H90</f>
        <v>-67671.92699692311</v>
      </c>
      <c r="I92" s="15"/>
      <c r="J92" s="22">
        <f>IF(H$12=0,0,H92/H$12)</f>
        <v>0</v>
      </c>
      <c r="K92" s="17"/>
      <c r="L92" s="23">
        <f>+D92-H92</f>
        <v>16634.666996923101</v>
      </c>
      <c r="M92" s="17"/>
      <c r="N92" s="22">
        <f>IF(H92=0,0,L92/H92)</f>
        <v>-0.24581340793915091</v>
      </c>
      <c r="O92" s="28"/>
      <c r="P92" s="23">
        <f>+P23-P25+P90</f>
        <v>187606.10000000009</v>
      </c>
      <c r="Q92" s="15"/>
      <c r="R92" s="22">
        <f>IF(P$12=0,0,P92/P$12)</f>
        <v>9.4889597570419759E-2</v>
      </c>
      <c r="S92" s="15"/>
      <c r="T92" s="23">
        <f>+T23-T25+T90</f>
        <v>-690507.21845999989</v>
      </c>
      <c r="U92" s="15"/>
      <c r="V92" s="22">
        <f>IF(T$12=0,0,T92/T$12)</f>
        <v>-0.72654379046717155</v>
      </c>
      <c r="W92" s="17"/>
      <c r="X92" s="23">
        <f>+P92-T92</f>
        <v>878113.31845999998</v>
      </c>
      <c r="Y92" s="17"/>
      <c r="Z92" s="22">
        <f>IF(T92=0,0,X92/T92)</f>
        <v>-1.2716931771088615</v>
      </c>
    </row>
    <row r="93" spans="1:26" ht="15" customHeight="1" x14ac:dyDescent="0.3">
      <c r="A93" s="12"/>
      <c r="B93" s="13"/>
      <c r="C93" s="12"/>
      <c r="D93" s="4"/>
      <c r="E93" s="4"/>
      <c r="F93" s="10"/>
      <c r="G93" s="4"/>
      <c r="H93" s="4"/>
      <c r="I93" s="4"/>
      <c r="J93" s="10"/>
      <c r="K93" s="4"/>
      <c r="L93" s="4"/>
      <c r="M93" s="4"/>
      <c r="N93" s="10"/>
      <c r="P93" s="4"/>
      <c r="Q93" s="4"/>
      <c r="R93" s="10"/>
      <c r="S93" s="4"/>
      <c r="T93" s="4"/>
      <c r="U93" s="4"/>
      <c r="V93" s="10"/>
      <c r="W93" s="4"/>
      <c r="X93" s="4"/>
      <c r="Y93" s="4"/>
      <c r="Z93" s="10"/>
    </row>
    <row r="94" spans="1:26" s="63" customFormat="1" ht="15" customHeight="1" x14ac:dyDescent="0.3">
      <c r="A94" s="49"/>
      <c r="B94" s="13" t="s">
        <v>293</v>
      </c>
      <c r="C94" s="13"/>
      <c r="D94" s="8">
        <v>-450213.21</v>
      </c>
      <c r="E94" s="8"/>
      <c r="F94" s="14">
        <f>IF(D$12=0,0,D94/D$12)</f>
        <v>0</v>
      </c>
      <c r="G94" s="8"/>
      <c r="H94" s="8">
        <v>-10044</v>
      </c>
      <c r="I94" s="8"/>
      <c r="J94" s="14">
        <f>IF(H$12=0,0,H94/H$12)</f>
        <v>0</v>
      </c>
      <c r="K94" s="8"/>
      <c r="L94" s="8">
        <f>+D94-H94</f>
        <v>-440169.21</v>
      </c>
      <c r="M94" s="8"/>
      <c r="N94" s="14">
        <f>IF(H94=0,0,L94/H94)</f>
        <v>43.824094982078854</v>
      </c>
      <c r="O94" s="13"/>
      <c r="P94" s="8">
        <v>-227937.19</v>
      </c>
      <c r="Q94" s="8"/>
      <c r="R94" s="14">
        <f>IF(P$12=0,0,P94/P$12)</f>
        <v>-0.11528872584863871</v>
      </c>
      <c r="S94" s="8"/>
      <c r="T94" s="8">
        <v>107769</v>
      </c>
      <c r="U94" s="8"/>
      <c r="V94" s="14">
        <f>IF(T$12=0,0,T94/T$12)</f>
        <v>0.11339330808080808</v>
      </c>
      <c r="W94" s="8"/>
      <c r="X94" s="8">
        <f>+P94-T94</f>
        <v>-335706.19</v>
      </c>
      <c r="Y94" s="8"/>
      <c r="Z94" s="14">
        <f>IF(T94=0,0,X94/T94)</f>
        <v>-3.1150534012563909</v>
      </c>
    </row>
    <row r="95" spans="1:26" ht="15" customHeight="1" x14ac:dyDescent="0.3">
      <c r="A95" s="12"/>
      <c r="B95" s="13"/>
      <c r="C95" s="13"/>
      <c r="D95" s="4"/>
      <c r="E95" s="4"/>
      <c r="F95" s="10"/>
      <c r="G95" s="4"/>
      <c r="H95" s="4"/>
      <c r="I95" s="4"/>
      <c r="J95" s="10"/>
      <c r="K95" s="4"/>
      <c r="L95" s="4"/>
      <c r="M95" s="4"/>
      <c r="N95" s="10"/>
      <c r="O95" s="13"/>
      <c r="P95" s="4"/>
      <c r="Q95" s="4"/>
      <c r="R95" s="10"/>
      <c r="S95" s="4"/>
      <c r="T95" s="4"/>
      <c r="U95" s="4"/>
      <c r="V95" s="10"/>
      <c r="W95" s="4"/>
      <c r="X95" s="4"/>
      <c r="Y95" s="4"/>
      <c r="Z95" s="10"/>
    </row>
    <row r="96" spans="1:26" s="63" customFormat="1" ht="15" customHeight="1" x14ac:dyDescent="0.3">
      <c r="A96" s="13"/>
      <c r="B96" s="27" t="s">
        <v>294</v>
      </c>
      <c r="C96" s="27"/>
      <c r="D96" s="30">
        <f>+D92-D94</f>
        <v>399175.95</v>
      </c>
      <c r="E96" s="15"/>
      <c r="F96" s="35">
        <f>IF(D$12=0,0,D96/D$12)</f>
        <v>0</v>
      </c>
      <c r="G96" s="15"/>
      <c r="H96" s="30">
        <f>+H92-H94</f>
        <v>-57627.92699692311</v>
      </c>
      <c r="I96" s="15"/>
      <c r="J96" s="35">
        <f>IF(H$12=0,0,H96/H$12)</f>
        <v>0</v>
      </c>
      <c r="K96" s="17"/>
      <c r="L96" s="30">
        <f>D96-H96</f>
        <v>456803.87699692312</v>
      </c>
      <c r="M96" s="17"/>
      <c r="N96" s="35">
        <f>IF(H96=0,0,L96/H96)</f>
        <v>-7.9267796153991963</v>
      </c>
      <c r="O96" s="28"/>
      <c r="P96" s="30">
        <f>+P92-P94</f>
        <v>415543.2900000001</v>
      </c>
      <c r="Q96" s="15"/>
      <c r="R96" s="35">
        <f>IF(P$12=0,0,P96/P$12)</f>
        <v>0.21017832341905848</v>
      </c>
      <c r="S96" s="15"/>
      <c r="T96" s="30">
        <f>+T92-T94</f>
        <v>-798276.21845999989</v>
      </c>
      <c r="U96" s="15"/>
      <c r="V96" s="35">
        <f>IF(T$12=0,0,T96/T$12)</f>
        <v>-0.83993709854797971</v>
      </c>
      <c r="W96" s="17"/>
      <c r="X96" s="30">
        <f>P96-T96</f>
        <v>1213819.5084599999</v>
      </c>
      <c r="Y96" s="17"/>
      <c r="Z96" s="35">
        <f>IF(T96=0,0,X96/T96)</f>
        <v>-1.5205507572324379</v>
      </c>
    </row>
    <row r="97" spans="1:26" ht="15" customHeight="1" x14ac:dyDescent="0.3">
      <c r="A97" s="12"/>
      <c r="B97" s="12"/>
      <c r="C97" s="12"/>
      <c r="D97" s="4"/>
      <c r="E97" s="4"/>
      <c r="F97" s="10"/>
      <c r="G97" s="4"/>
      <c r="H97" s="4"/>
      <c r="I97" s="4"/>
      <c r="J97" s="10"/>
      <c r="K97" s="4"/>
      <c r="L97" s="4"/>
      <c r="M97" s="4"/>
      <c r="N97" s="10"/>
      <c r="P97" s="4"/>
      <c r="Q97" s="4"/>
      <c r="R97" s="10"/>
      <c r="S97" s="4"/>
      <c r="T97" s="4"/>
      <c r="U97" s="4"/>
      <c r="V97" s="10"/>
      <c r="W97" s="4"/>
      <c r="X97" s="4"/>
      <c r="Y97" s="4"/>
      <c r="Z97" s="10"/>
    </row>
    <row r="98" spans="1:26" ht="15" customHeight="1" x14ac:dyDescent="0.3">
      <c r="A98" s="12"/>
      <c r="B98" s="12"/>
      <c r="C98" s="12"/>
      <c r="D98" s="4"/>
      <c r="E98" s="4"/>
      <c r="F98" s="10"/>
      <c r="G98" s="4"/>
      <c r="H98" s="4"/>
      <c r="I98" s="4"/>
      <c r="J98" s="10"/>
      <c r="K98" s="4"/>
      <c r="L98" s="4"/>
      <c r="M98" s="4"/>
      <c r="N98" s="10"/>
      <c r="P98" s="4"/>
      <c r="Q98" s="4"/>
      <c r="R98" s="10"/>
      <c r="S98" s="4"/>
      <c r="T98" s="4"/>
      <c r="U98" s="4"/>
      <c r="V98" s="10"/>
      <c r="W98" s="4"/>
      <c r="X98" s="4"/>
      <c r="Y98" s="4"/>
      <c r="Z98" s="10"/>
    </row>
    <row r="99" spans="1:26" s="63" customFormat="1" ht="15" customHeight="1" x14ac:dyDescent="0.3">
      <c r="A99" s="13"/>
      <c r="B99" s="27" t="s">
        <v>297</v>
      </c>
      <c r="C99" s="27"/>
      <c r="D99" s="33">
        <f>SUM(D96:D98)</f>
        <v>399175.95</v>
      </c>
      <c r="E99" s="15"/>
      <c r="F99" s="31">
        <f>IF(D$12=0,0,D99/D$12)</f>
        <v>0</v>
      </c>
      <c r="G99" s="15"/>
      <c r="H99" s="33">
        <f>SUM(H96:H98)</f>
        <v>-57627.92699692311</v>
      </c>
      <c r="I99" s="15"/>
      <c r="J99" s="31">
        <f>IF(H$12=0,0,H99/H$12)</f>
        <v>0</v>
      </c>
      <c r="K99" s="17"/>
      <c r="L99" s="33">
        <f>+D99-H99</f>
        <v>456803.87699692312</v>
      </c>
      <c r="M99" s="17"/>
      <c r="N99" s="31">
        <f>IF(H99=0,0,L99/H99)</f>
        <v>-7.9267796153991963</v>
      </c>
      <c r="O99" s="28"/>
      <c r="P99" s="33">
        <f>SUM(P96:P98)</f>
        <v>415543.2900000001</v>
      </c>
      <c r="Q99" s="15"/>
      <c r="R99" s="31">
        <f>IF(P$12=0,0,P99/P$12)</f>
        <v>0.21017832341905848</v>
      </c>
      <c r="S99" s="15"/>
      <c r="T99" s="33">
        <f>SUM(T96:T98)</f>
        <v>-798276.21845999989</v>
      </c>
      <c r="U99" s="15"/>
      <c r="V99" s="31">
        <f>IF(T$12=0,0,T99/T$12)</f>
        <v>-0.83993709854797971</v>
      </c>
      <c r="W99" s="17"/>
      <c r="X99" s="33">
        <f>+P99-T99</f>
        <v>1213819.5084599999</v>
      </c>
      <c r="Y99" s="17"/>
      <c r="Z99" s="31">
        <f>IF(T99=0,0,X99/T99)</f>
        <v>-1.5205507572324379</v>
      </c>
    </row>
    <row r="100" spans="1:26" ht="15" customHeight="1" x14ac:dyDescent="0.3">
      <c r="A100" s="12"/>
      <c r="C100" s="12"/>
      <c r="D100" s="19"/>
      <c r="E100" s="19"/>
      <c r="G100" s="19"/>
      <c r="H100" s="19"/>
      <c r="I100" s="19"/>
      <c r="J100" s="41"/>
      <c r="K100" s="19"/>
      <c r="L100" s="19"/>
      <c r="M100" s="19"/>
      <c r="P100" s="19"/>
      <c r="Q100" s="19"/>
      <c r="R100" s="41"/>
      <c r="S100" s="19"/>
      <c r="T100" s="19"/>
      <c r="U100" s="19"/>
      <c r="V100" s="41"/>
      <c r="W100" s="19"/>
      <c r="X100" s="19"/>
    </row>
    <row r="101" spans="1:26" ht="15" customHeight="1" x14ac:dyDescent="0.3">
      <c r="A101" s="12"/>
      <c r="B101" s="50">
        <v>44767.799547766204</v>
      </c>
      <c r="D101" s="19"/>
      <c r="E101" s="19"/>
      <c r="G101" s="19"/>
      <c r="H101" s="19"/>
      <c r="I101" s="19"/>
      <c r="J101" s="41"/>
      <c r="K101" s="19"/>
      <c r="L101" s="19"/>
      <c r="M101" s="19"/>
      <c r="P101" s="19"/>
      <c r="Q101" s="19"/>
      <c r="R101" s="41"/>
      <c r="S101" s="19"/>
      <c r="T101" s="19"/>
      <c r="U101" s="19"/>
      <c r="V101" s="41"/>
      <c r="W101" s="19"/>
      <c r="X101" s="19"/>
    </row>
    <row r="102" spans="1:26" ht="15" customHeight="1" x14ac:dyDescent="0.3">
      <c r="A102" s="12"/>
      <c r="B102" s="57" t="s">
        <v>298</v>
      </c>
      <c r="D102" s="19"/>
      <c r="E102" s="19"/>
      <c r="G102" s="19"/>
      <c r="H102" s="19"/>
      <c r="I102" s="19"/>
      <c r="J102" s="41"/>
      <c r="K102" s="19"/>
      <c r="L102" s="19"/>
      <c r="M102" s="19"/>
      <c r="P102" s="19"/>
      <c r="Q102" s="19"/>
      <c r="R102" s="41"/>
      <c r="S102" s="19"/>
      <c r="T102" s="19"/>
      <c r="U102" s="19"/>
      <c r="V102" s="41"/>
      <c r="W102" s="19"/>
      <c r="X102" s="19"/>
    </row>
    <row r="103" spans="1:26" ht="15" customHeight="1" x14ac:dyDescent="0.3">
      <c r="A103" s="12"/>
      <c r="B103" s="51"/>
      <c r="D103" s="19"/>
      <c r="E103" s="19"/>
      <c r="G103" s="19"/>
      <c r="H103" s="19"/>
      <c r="I103" s="19"/>
      <c r="J103" s="41"/>
      <c r="K103" s="19"/>
      <c r="L103" s="19"/>
      <c r="M103" s="19"/>
      <c r="P103" s="19"/>
      <c r="Q103" s="19"/>
      <c r="R103" s="41"/>
      <c r="S103" s="19"/>
      <c r="T103" s="19"/>
      <c r="U103" s="19"/>
      <c r="V103" s="41"/>
      <c r="W103" s="19"/>
      <c r="X103" s="19"/>
    </row>
    <row r="104" spans="1:26" ht="15" customHeight="1" x14ac:dyDescent="0.3">
      <c r="D104" s="19"/>
      <c r="E104" s="19"/>
      <c r="G104" s="19"/>
      <c r="H104" s="19"/>
      <c r="I104" s="19"/>
      <c r="J104" s="41"/>
      <c r="K104" s="19"/>
      <c r="L104" s="19"/>
      <c r="M104" s="19"/>
      <c r="P104" s="19"/>
      <c r="Q104" s="19"/>
      <c r="R104" s="41"/>
      <c r="S104" s="19"/>
      <c r="T104" s="19"/>
      <c r="U104" s="19"/>
      <c r="V104" s="41"/>
      <c r="W104" s="19"/>
      <c r="X104" s="19"/>
    </row>
  </sheetData>
  <pageMargins left="0.25" right="0.25" top="0.75" bottom="0.75" header="0.3" footer="0.3"/>
  <pageSetup scale="55" orientation="landscape" r:id="rId1"/>
  <headerFooter>
    <oddHeader>&amp;RPre-Audit</oddHeader>
    <oddFooter>&amp;L&amp;C&amp;R</oddFooter>
    <evenHeader>&amp;L&amp;C&amp;R</evenHeader>
    <evenFooter>&amp;L&amp;C&amp;R</evenFooter>
  </headerFooter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ABCE74-79B6-BDFC-76E7-71CE74FC1195}">
  <sheetPr>
    <tabColor rgb="FFFFC000"/>
    <outlinePr summaryBelow="0" summaryRight="0"/>
  </sheetPr>
  <dimension ref="A2:Z87"/>
  <sheetViews>
    <sheetView showGridLines="0" defaultGridColor="0" colorId="8" zoomScale="80" workbookViewId="0">
      <pane xSplit="3" ySplit="10" topLeftCell="D11" activePane="bottomRight" state="frozen"/>
      <selection activeCell="D78" sqref="D78"/>
      <selection pane="topRight" activeCell="D78" sqref="D78"/>
      <selection pane="bottomLeft" activeCell="D78" sqref="D78"/>
      <selection pane="bottomRight" activeCell="D78" sqref="D78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3" t="s">
        <v>276</v>
      </c>
    </row>
    <row r="3" spans="1:26" ht="15" customHeight="1" x14ac:dyDescent="0.3">
      <c r="D3" s="53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3" t="str">
        <f>CONCATENATE("Period ",RIGHT(202212,2),", ",2022)</f>
        <v>Period 12,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5"/>
      <c r="D5" s="60">
        <v>44742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5"/>
      <c r="B6" s="47"/>
      <c r="C6" s="47"/>
      <c r="D6" s="25" t="s">
        <v>313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4"/>
    </row>
    <row r="8" spans="1:26" ht="15" customHeight="1" x14ac:dyDescent="0.3">
      <c r="B8" s="54"/>
    </row>
    <row r="9" spans="1:26" ht="15" customHeight="1" x14ac:dyDescent="0.3">
      <c r="B9" s="12"/>
      <c r="C9" s="12"/>
      <c r="D9" s="16" t="s">
        <v>279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280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ht="15" customHeight="1" x14ac:dyDescent="0.3">
      <c r="A10" s="13"/>
      <c r="B10" s="52"/>
      <c r="C10" s="13"/>
      <c r="D10" s="40" t="s">
        <v>281</v>
      </c>
      <c r="E10" s="32"/>
      <c r="F10" s="39" t="s">
        <v>282</v>
      </c>
      <c r="G10" s="32"/>
      <c r="H10" s="45" t="s">
        <v>283</v>
      </c>
      <c r="I10" s="32"/>
      <c r="J10" s="42" t="s">
        <v>284</v>
      </c>
      <c r="K10" s="13"/>
      <c r="L10" s="40" t="s">
        <v>285</v>
      </c>
      <c r="M10" s="13"/>
      <c r="N10" s="39" t="s">
        <v>286</v>
      </c>
      <c r="O10" s="13"/>
      <c r="P10" s="55" t="s">
        <v>281</v>
      </c>
      <c r="Q10" s="32"/>
      <c r="R10" s="39" t="s">
        <v>282</v>
      </c>
      <c r="S10" s="32"/>
      <c r="T10" s="45" t="s">
        <v>283</v>
      </c>
      <c r="U10" s="32"/>
      <c r="V10" s="42" t="s">
        <v>284</v>
      </c>
      <c r="W10" s="13"/>
      <c r="X10" s="40" t="s">
        <v>285</v>
      </c>
      <c r="Y10" s="13"/>
      <c r="Z10" s="39" t="s">
        <v>286</v>
      </c>
    </row>
    <row r="11" spans="1:26" ht="16.5" customHeight="1" x14ac:dyDescent="0.3">
      <c r="A11" s="12"/>
      <c r="B11" s="58"/>
      <c r="C11" s="12"/>
      <c r="D11" s="12"/>
      <c r="E11" s="12"/>
      <c r="F11" s="10"/>
      <c r="G11" s="12"/>
      <c r="H11" s="12"/>
      <c r="I11" s="12"/>
      <c r="J11" s="43"/>
      <c r="K11" s="12"/>
      <c r="L11" s="12"/>
      <c r="M11" s="12"/>
      <c r="N11" s="10"/>
      <c r="P11" s="12"/>
      <c r="Q11" s="12"/>
      <c r="R11" s="10"/>
      <c r="S11" s="12"/>
      <c r="T11" s="12"/>
      <c r="U11" s="12"/>
      <c r="V11" s="43"/>
      <c r="W11" s="12"/>
      <c r="X11" s="12"/>
      <c r="Y11" s="12"/>
      <c r="Z11" s="10"/>
    </row>
    <row r="12" spans="1:26" s="63" customFormat="1" ht="15" customHeight="1" collapsed="1" x14ac:dyDescent="0.3">
      <c r="A12" s="13"/>
      <c r="B12" s="28" t="s">
        <v>287</v>
      </c>
      <c r="C12" s="13"/>
      <c r="D12" s="8">
        <f>SUM(OSRRefD13x_0)</f>
        <v>24847</v>
      </c>
      <c r="E12" s="8"/>
      <c r="F12" s="14"/>
      <c r="G12" s="8"/>
      <c r="H12" s="8">
        <f>SUM(OSRRefH13x_0)</f>
        <v>39764</v>
      </c>
      <c r="I12" s="8"/>
      <c r="J12" s="14"/>
      <c r="K12" s="8"/>
      <c r="L12" s="8">
        <f>+D12-H12</f>
        <v>-14917</v>
      </c>
      <c r="M12" s="8"/>
      <c r="N12" s="14">
        <f>IF(H12=0,0,L12/H12)</f>
        <v>-0.37513831606478221</v>
      </c>
      <c r="O12" s="13"/>
      <c r="P12" s="8">
        <f>SUM(OSRRefP13x_0)</f>
        <v>462697</v>
      </c>
      <c r="Q12" s="8"/>
      <c r="R12" s="14"/>
      <c r="S12" s="8"/>
      <c r="T12" s="8">
        <f>SUM(OSRRefT13x_0)</f>
        <v>599052</v>
      </c>
      <c r="U12" s="8"/>
      <c r="V12" s="14"/>
      <c r="W12" s="8"/>
      <c r="X12" s="8">
        <f>+P12-T12</f>
        <v>-136355</v>
      </c>
      <c r="Y12" s="8"/>
      <c r="Z12" s="14">
        <f>IF(T12=0,0,X12/T12)</f>
        <v>-0.22761796972549964</v>
      </c>
    </row>
    <row r="13" spans="1:26" s="70" customFormat="1" ht="15" hidden="1" customHeight="1" outlineLevel="1" x14ac:dyDescent="0.3">
      <c r="A13" s="48"/>
      <c r="B13" s="9" t="str">
        <f>CONCATENATE("          ","4100"," - ","NON-TAXABLE SALES")</f>
        <v xml:space="preserve">          4100 - NON-TAXABLE SALES</v>
      </c>
      <c r="C13" s="9"/>
      <c r="D13" s="3">
        <f>--24847</f>
        <v>24847</v>
      </c>
      <c r="E13" s="3"/>
      <c r="F13" s="26"/>
      <c r="G13" s="3"/>
      <c r="H13" s="3">
        <v>39764</v>
      </c>
      <c r="I13" s="3"/>
      <c r="J13" s="26"/>
      <c r="K13" s="3"/>
      <c r="L13" s="3">
        <f>+D13-H13</f>
        <v>-14917</v>
      </c>
      <c r="M13" s="3"/>
      <c r="N13" s="26">
        <f>IF(H13=0,0,L13/H13)</f>
        <v>-0.37513831606478221</v>
      </c>
      <c r="O13" s="9"/>
      <c r="P13" s="3">
        <f>--462697</f>
        <v>462697</v>
      </c>
      <c r="Q13" s="3"/>
      <c r="R13" s="26"/>
      <c r="S13" s="3"/>
      <c r="T13" s="3">
        <v>599052</v>
      </c>
      <c r="U13" s="3"/>
      <c r="V13" s="26"/>
      <c r="W13" s="3"/>
      <c r="X13" s="3">
        <f>+P13-T13</f>
        <v>-136355</v>
      </c>
      <c r="Y13" s="3"/>
      <c r="Z13" s="26">
        <f>IF(T13=0,0,X13/T13)</f>
        <v>-0.22761796972549964</v>
      </c>
    </row>
    <row r="14" spans="1:26" ht="15" customHeight="1" x14ac:dyDescent="0.3">
      <c r="A14" s="12"/>
      <c r="B14" s="13"/>
      <c r="C14" s="12"/>
      <c r="D14" s="4"/>
      <c r="E14" s="4"/>
      <c r="F14" s="10"/>
      <c r="G14" s="4"/>
      <c r="H14" s="4"/>
      <c r="I14" s="4"/>
      <c r="J14" s="10"/>
      <c r="K14" s="4"/>
      <c r="L14" s="4"/>
      <c r="M14" s="4"/>
      <c r="N14" s="10"/>
      <c r="P14" s="4"/>
      <c r="Q14" s="4"/>
      <c r="R14" s="10"/>
      <c r="S14" s="4"/>
      <c r="T14" s="4"/>
      <c r="U14" s="4"/>
      <c r="V14" s="10"/>
      <c r="W14" s="4"/>
      <c r="X14" s="4"/>
      <c r="Y14" s="4"/>
      <c r="Z14" s="10"/>
    </row>
    <row r="15" spans="1:26" s="63" customFormat="1" ht="15" customHeight="1" x14ac:dyDescent="0.3">
      <c r="A15" s="13"/>
      <c r="B15" s="28" t="s">
        <v>288</v>
      </c>
      <c r="C15" s="13"/>
      <c r="D15" s="8">
        <f>SUM(0)</f>
        <v>0</v>
      </c>
      <c r="E15" s="8"/>
      <c r="F15" s="14">
        <f>IF(D$12=0,0,D15/D$12)</f>
        <v>0</v>
      </c>
      <c r="G15" s="8"/>
      <c r="H15" s="8">
        <f>SUM(0)</f>
        <v>0</v>
      </c>
      <c r="I15" s="8"/>
      <c r="J15" s="14">
        <f>IF(H$12=0,0,H15/H$12)</f>
        <v>0</v>
      </c>
      <c r="K15" s="8"/>
      <c r="L15" s="8">
        <f>+D15-H15</f>
        <v>0</v>
      </c>
      <c r="M15" s="8"/>
      <c r="N15" s="14">
        <f>IF(H15=0,0,L15/H15)</f>
        <v>0</v>
      </c>
      <c r="O15" s="13"/>
      <c r="P15" s="8">
        <f>SUM(0)</f>
        <v>0</v>
      </c>
      <c r="Q15" s="8"/>
      <c r="R15" s="14">
        <f>IF(P$12=0,0,P15/P$12)</f>
        <v>0</v>
      </c>
      <c r="S15" s="8"/>
      <c r="T15" s="8">
        <f>SUM(0)</f>
        <v>0</v>
      </c>
      <c r="U15" s="8"/>
      <c r="V15" s="14">
        <f>IF(T$12=0,0,T15/T$12)</f>
        <v>0</v>
      </c>
      <c r="W15" s="8"/>
      <c r="X15" s="8">
        <f>+P15-T15</f>
        <v>0</v>
      </c>
      <c r="Y15" s="8"/>
      <c r="Z15" s="14">
        <f>IF(T15=0,0,X15/T15)</f>
        <v>0</v>
      </c>
    </row>
    <row r="16" spans="1:26" ht="15" customHeight="1" x14ac:dyDescent="0.3">
      <c r="A16" s="12"/>
      <c r="B16" s="13"/>
      <c r="C16" s="13"/>
      <c r="D16" s="4"/>
      <c r="E16" s="4"/>
      <c r="F16" s="10"/>
      <c r="G16" s="4"/>
      <c r="H16" s="4"/>
      <c r="I16" s="4"/>
      <c r="J16" s="10"/>
      <c r="K16" s="4"/>
      <c r="L16" s="4"/>
      <c r="M16" s="4"/>
      <c r="N16" s="10"/>
      <c r="O16" s="13"/>
      <c r="P16" s="4"/>
      <c r="Q16" s="4"/>
      <c r="R16" s="10"/>
      <c r="S16" s="4"/>
      <c r="T16" s="4"/>
      <c r="U16" s="4"/>
      <c r="V16" s="10"/>
      <c r="W16" s="4"/>
      <c r="X16" s="4"/>
      <c r="Y16" s="4"/>
      <c r="Z16" s="10"/>
    </row>
    <row r="17" spans="1:26" s="63" customFormat="1" ht="15" customHeight="1" x14ac:dyDescent="0.3">
      <c r="A17" s="13"/>
      <c r="B17" s="27" t="s">
        <v>289</v>
      </c>
      <c r="C17" s="27"/>
      <c r="D17" s="23">
        <f>D12-D15</f>
        <v>24847</v>
      </c>
      <c r="E17" s="15"/>
      <c r="F17" s="22">
        <f>IF(D$12=0,0,D17/D$12)</f>
        <v>1</v>
      </c>
      <c r="G17" s="15"/>
      <c r="H17" s="23">
        <f>H12-H15</f>
        <v>39764</v>
      </c>
      <c r="I17" s="15"/>
      <c r="J17" s="22">
        <f>IF(H$12=0,0,H17/H$12)</f>
        <v>1</v>
      </c>
      <c r="K17" s="17"/>
      <c r="L17" s="23">
        <f>+D17-H17</f>
        <v>-14917</v>
      </c>
      <c r="M17" s="17"/>
      <c r="N17" s="22">
        <f>IF(H17=0,0,L17/H17)</f>
        <v>-0.37513831606478221</v>
      </c>
      <c r="O17" s="28"/>
      <c r="P17" s="23">
        <f>P12-P15</f>
        <v>462697</v>
      </c>
      <c r="Q17" s="15"/>
      <c r="R17" s="22">
        <f>IF(P$12=0,0,P17/P$12)</f>
        <v>1</v>
      </c>
      <c r="S17" s="15"/>
      <c r="T17" s="23">
        <f>T12-T15</f>
        <v>599052</v>
      </c>
      <c r="U17" s="15"/>
      <c r="V17" s="22">
        <f>IF(T$12=0,0,T17/T$12)</f>
        <v>1</v>
      </c>
      <c r="W17" s="17"/>
      <c r="X17" s="23">
        <f>+P17-T17</f>
        <v>-136355</v>
      </c>
      <c r="Y17" s="17"/>
      <c r="Z17" s="22">
        <f>IF(T17=0,0,X17/T17)</f>
        <v>-0.22761796972549964</v>
      </c>
    </row>
    <row r="18" spans="1:26" ht="15" customHeight="1" x14ac:dyDescent="0.3">
      <c r="A18" s="12"/>
      <c r="B18" s="13"/>
      <c r="C18" s="12"/>
      <c r="D18" s="2"/>
      <c r="E18" s="2"/>
      <c r="F18" s="5"/>
      <c r="G18" s="2"/>
      <c r="H18" s="2"/>
      <c r="I18" s="2"/>
      <c r="J18" s="5"/>
      <c r="K18" s="2"/>
      <c r="L18" s="2"/>
      <c r="M18" s="2"/>
      <c r="N18" s="5"/>
      <c r="O18" s="36"/>
      <c r="P18" s="2"/>
      <c r="Q18" s="2"/>
      <c r="R18" s="5"/>
      <c r="S18" s="2"/>
      <c r="T18" s="2"/>
      <c r="U18" s="2"/>
      <c r="V18" s="5"/>
      <c r="W18" s="2"/>
      <c r="X18" s="2"/>
      <c r="Y18" s="2"/>
      <c r="Z18" s="5"/>
    </row>
    <row r="19" spans="1:26" s="63" customFormat="1" ht="15" customHeight="1" x14ac:dyDescent="0.3">
      <c r="A19" s="13"/>
      <c r="B19" s="28" t="s">
        <v>290</v>
      </c>
      <c r="C19" s="13"/>
      <c r="D19" s="24" cm="1">
        <f t="array" ref="D19">SUM(OSRRefD22x_0)</f>
        <v>21260.300000000003</v>
      </c>
      <c r="E19" s="24"/>
      <c r="F19" s="34">
        <f t="shared" ref="F19:F50" si="0">IF(D$12=0,0,D19/D$12)</f>
        <v>0.85564856924377197</v>
      </c>
      <c r="G19" s="24"/>
      <c r="H19" s="24" cm="1">
        <f t="array" ref="H19">SUM(OSRRefH22x_0)</f>
        <v>31815.376569177686</v>
      </c>
      <c r="I19" s="24"/>
      <c r="J19" s="34">
        <f t="shared" ref="J19:J50" si="1">IF(H$12=0,0,H19/H$12)</f>
        <v>0.80010503392962695</v>
      </c>
      <c r="K19" s="8"/>
      <c r="L19" s="24">
        <f t="shared" ref="L19:L50" si="2">+D19-H19</f>
        <v>-10555.076569177683</v>
      </c>
      <c r="M19" s="8"/>
      <c r="N19" s="34">
        <f t="shared" ref="N19:N50" si="3">IF(H19=0,0,L19/H19)</f>
        <v>-0.33176022751851697</v>
      </c>
      <c r="O19" s="13"/>
      <c r="P19" s="24" cm="1">
        <f t="array" ref="P19">SUM(OSRRefP22x_0)</f>
        <v>426425.32999999996</v>
      </c>
      <c r="Q19" s="24"/>
      <c r="R19" s="34">
        <f t="shared" ref="R19:R50" si="4">IF(P$12=0,0,P19/P$12)</f>
        <v>0.92160815825475406</v>
      </c>
      <c r="S19" s="24"/>
      <c r="T19" s="24" cm="1">
        <f t="array" ref="T19">SUM(OSRRefT22x_0)</f>
        <v>560341.84563431004</v>
      </c>
      <c r="U19" s="24"/>
      <c r="V19" s="34">
        <f t="shared" ref="V19:V50" si="5">IF(T$12=0,0,T19/T$12)</f>
        <v>0.93538097800242725</v>
      </c>
      <c r="W19" s="8"/>
      <c r="X19" s="24">
        <f t="shared" ref="X19:X50" si="6">+P19-T19</f>
        <v>-133916.51563431008</v>
      </c>
      <c r="Y19" s="8"/>
      <c r="Z19" s="34">
        <f t="shared" ref="Z19:Z50" si="7">IF(T19=0,0,X19/T19)</f>
        <v>-0.23899074587712765</v>
      </c>
    </row>
    <row r="20" spans="1:26" s="69" customFormat="1" ht="15" customHeight="1" outlineLevel="1" collapsed="1" x14ac:dyDescent="0.3">
      <c r="A20" s="20"/>
      <c r="B20" s="11" t="str">
        <f>CONCATENATE("     ","*Benefits                                         ")</f>
        <v xml:space="preserve">     *Benefits                                         </v>
      </c>
      <c r="C20" s="11"/>
      <c r="D20" s="2">
        <f>SUM(OSRRefD22_0x_0)</f>
        <v>5665.8600000000006</v>
      </c>
      <c r="E20" s="2"/>
      <c r="F20" s="5">
        <f t="shared" si="0"/>
        <v>0.22802994325270659</v>
      </c>
      <c r="G20" s="2"/>
      <c r="H20" s="2">
        <f>SUM(OSRRefH22_0x_0)</f>
        <v>3801.3383268699977</v>
      </c>
      <c r="I20" s="2"/>
      <c r="J20" s="5">
        <f t="shared" si="1"/>
        <v>9.5597483323357754E-2</v>
      </c>
      <c r="K20" s="2"/>
      <c r="L20" s="2">
        <f t="shared" si="2"/>
        <v>1864.5216731300029</v>
      </c>
      <c r="M20" s="2"/>
      <c r="N20" s="5">
        <f t="shared" si="3"/>
        <v>0.49049085159048195</v>
      </c>
      <c r="O20" s="11"/>
      <c r="P20" s="2">
        <f>SUM(OSRRefP22_0x_0)</f>
        <v>52505.51</v>
      </c>
      <c r="Q20" s="2"/>
      <c r="R20" s="5">
        <f t="shared" si="4"/>
        <v>0.11347709191976607</v>
      </c>
      <c r="S20" s="2"/>
      <c r="T20" s="2">
        <f>SUM(OSRRefT22_0x_0)</f>
        <v>44740.348484310009</v>
      </c>
      <c r="U20" s="2"/>
      <c r="V20" s="5">
        <f t="shared" si="5"/>
        <v>7.4685250169117215E-2</v>
      </c>
      <c r="W20" s="2"/>
      <c r="X20" s="2">
        <f t="shared" si="6"/>
        <v>7765.1615156899934</v>
      </c>
      <c r="Y20" s="2"/>
      <c r="Z20" s="5">
        <f t="shared" si="7"/>
        <v>0.17356059527370821</v>
      </c>
    </row>
    <row r="21" spans="1:26" s="70" customFormat="1" ht="15" hidden="1" customHeight="1" outlineLevel="2" x14ac:dyDescent="0.3">
      <c r="A21" s="21"/>
      <c r="B21" s="9" t="str">
        <f>CONCATENATE("          ","6111"," - ","F.I.C.A.")</f>
        <v xml:space="preserve">          6111 - F.I.C.A.</v>
      </c>
      <c r="C21" s="9"/>
      <c r="D21" s="6">
        <v>1334</v>
      </c>
      <c r="E21" s="3"/>
      <c r="F21" s="7">
        <f t="shared" si="0"/>
        <v>5.3688574073328769E-2</v>
      </c>
      <c r="G21" s="3"/>
      <c r="H21" s="6">
        <v>1273.80062387769</v>
      </c>
      <c r="I21" s="3"/>
      <c r="J21" s="7">
        <f t="shared" si="1"/>
        <v>3.2034016293071371E-2</v>
      </c>
      <c r="K21" s="3"/>
      <c r="L21" s="6">
        <f t="shared" si="2"/>
        <v>60.199376122310014</v>
      </c>
      <c r="M21" s="3"/>
      <c r="N21" s="7">
        <f t="shared" si="3"/>
        <v>4.7259653507667261E-2</v>
      </c>
      <c r="O21" s="9"/>
      <c r="P21" s="6">
        <v>12970.86</v>
      </c>
      <c r="Q21" s="3"/>
      <c r="R21" s="7">
        <f t="shared" si="4"/>
        <v>2.8033162090958016E-2</v>
      </c>
      <c r="S21" s="3"/>
      <c r="T21" s="6">
        <v>11300.99354541</v>
      </c>
      <c r="U21" s="3"/>
      <c r="V21" s="7">
        <f t="shared" si="5"/>
        <v>1.8864795619428696E-2</v>
      </c>
      <c r="W21" s="3"/>
      <c r="X21" s="6">
        <f t="shared" si="6"/>
        <v>1669.866454590001</v>
      </c>
      <c r="Y21" s="3"/>
      <c r="Z21" s="7">
        <f t="shared" si="7"/>
        <v>0.14776280049007129</v>
      </c>
    </row>
    <row r="22" spans="1:26" s="70" customFormat="1" ht="15" hidden="1" customHeight="1" outlineLevel="2" x14ac:dyDescent="0.3">
      <c r="A22" s="21"/>
      <c r="B22" s="9" t="str">
        <f>CONCATENATE("          ","6112"," - ","COMPENSATION INSURANCE")</f>
        <v xml:space="preserve">          6112 - COMPENSATION INSURANCE</v>
      </c>
      <c r="C22" s="9"/>
      <c r="D22" s="6"/>
      <c r="E22" s="3"/>
      <c r="F22" s="7">
        <f t="shared" si="0"/>
        <v>0</v>
      </c>
      <c r="G22" s="3"/>
      <c r="H22" s="6">
        <v>259.65359640000003</v>
      </c>
      <c r="I22" s="3"/>
      <c r="J22" s="7">
        <f t="shared" si="1"/>
        <v>6.5298661201086414E-3</v>
      </c>
      <c r="K22" s="3"/>
      <c r="L22" s="6">
        <f t="shared" si="2"/>
        <v>-259.65359640000003</v>
      </c>
      <c r="M22" s="3"/>
      <c r="N22" s="7">
        <f t="shared" si="3"/>
        <v>-1</v>
      </c>
      <c r="O22" s="9"/>
      <c r="P22" s="6">
        <v>2029.38</v>
      </c>
      <c r="Q22" s="3"/>
      <c r="R22" s="7">
        <f t="shared" si="4"/>
        <v>4.3859804580535424E-3</v>
      </c>
      <c r="S22" s="3"/>
      <c r="T22" s="6">
        <v>3900.0311532000001</v>
      </c>
      <c r="U22" s="3"/>
      <c r="V22" s="7">
        <f t="shared" si="5"/>
        <v>6.5103382564451837E-3</v>
      </c>
      <c r="W22" s="3"/>
      <c r="X22" s="6">
        <f t="shared" si="6"/>
        <v>-1870.6511532</v>
      </c>
      <c r="Y22" s="3"/>
      <c r="Z22" s="7">
        <f t="shared" si="7"/>
        <v>-0.47965031039947437</v>
      </c>
    </row>
    <row r="23" spans="1:26" s="70" customFormat="1" ht="15" hidden="1" customHeight="1" outlineLevel="2" x14ac:dyDescent="0.3">
      <c r="A23" s="21"/>
      <c r="B23" s="9" t="str">
        <f>CONCATENATE("          ","6113"," - ","GROUP INSURANCE")</f>
        <v xml:space="preserve">          6113 - GROUP INSURANCE</v>
      </c>
      <c r="C23" s="9"/>
      <c r="D23" s="6">
        <v>2351.8000000000002</v>
      </c>
      <c r="E23" s="3"/>
      <c r="F23" s="7">
        <f t="shared" si="0"/>
        <v>9.4651265746367771E-2</v>
      </c>
      <c r="G23" s="3"/>
      <c r="H23" s="6">
        <v>1022.5</v>
      </c>
      <c r="I23" s="3"/>
      <c r="J23" s="7">
        <f t="shared" si="1"/>
        <v>2.5714213861784529E-2</v>
      </c>
      <c r="K23" s="3"/>
      <c r="L23" s="6">
        <f t="shared" si="2"/>
        <v>1329.3000000000002</v>
      </c>
      <c r="M23" s="3"/>
      <c r="N23" s="7">
        <f t="shared" si="3"/>
        <v>1.3000488997555013</v>
      </c>
      <c r="O23" s="9"/>
      <c r="P23" s="6">
        <v>13527.92</v>
      </c>
      <c r="Q23" s="3"/>
      <c r="R23" s="7">
        <f t="shared" si="4"/>
        <v>2.9237103331121662E-2</v>
      </c>
      <c r="S23" s="3"/>
      <c r="T23" s="6">
        <v>12270</v>
      </c>
      <c r="U23" s="3"/>
      <c r="V23" s="7">
        <f t="shared" si="5"/>
        <v>2.0482362132168828E-2</v>
      </c>
      <c r="W23" s="3"/>
      <c r="X23" s="6">
        <f t="shared" si="6"/>
        <v>1257.92</v>
      </c>
      <c r="Y23" s="3"/>
      <c r="Z23" s="7">
        <f t="shared" si="7"/>
        <v>0.102519967400163</v>
      </c>
    </row>
    <row r="24" spans="1:26" s="70" customFormat="1" ht="15" hidden="1" customHeight="1" outlineLevel="2" x14ac:dyDescent="0.3">
      <c r="A24" s="21"/>
      <c r="B24" s="9" t="str">
        <f>CONCATENATE("          ","6114"," - ","STATE UNEMPLOYMENT INSURANCE")</f>
        <v xml:space="preserve">          6114 - STATE UNEMPLOYMENT INSURANCE</v>
      </c>
      <c r="C24" s="9"/>
      <c r="D24" s="6"/>
      <c r="E24" s="3"/>
      <c r="F24" s="7">
        <f t="shared" si="0"/>
        <v>0</v>
      </c>
      <c r="G24" s="3"/>
      <c r="H24" s="6">
        <v>34.953368746153799</v>
      </c>
      <c r="I24" s="3"/>
      <c r="J24" s="7">
        <f t="shared" si="1"/>
        <v>8.7902043924539277E-4</v>
      </c>
      <c r="K24" s="3"/>
      <c r="L24" s="6">
        <f t="shared" si="2"/>
        <v>-34.953368746153799</v>
      </c>
      <c r="M24" s="3"/>
      <c r="N24" s="7">
        <f t="shared" si="3"/>
        <v>-1</v>
      </c>
      <c r="O24" s="9"/>
      <c r="P24" s="6">
        <v>401.17</v>
      </c>
      <c r="Q24" s="3"/>
      <c r="R24" s="7">
        <f t="shared" si="4"/>
        <v>8.6702528868784544E-4</v>
      </c>
      <c r="S24" s="3"/>
      <c r="T24" s="6">
        <v>525.00419369999997</v>
      </c>
      <c r="U24" s="3"/>
      <c r="V24" s="7">
        <f t="shared" si="5"/>
        <v>8.7639168836762084E-4</v>
      </c>
      <c r="W24" s="3"/>
      <c r="X24" s="6">
        <f t="shared" si="6"/>
        <v>-123.83419369999996</v>
      </c>
      <c r="Y24" s="3"/>
      <c r="Z24" s="7">
        <f t="shared" si="7"/>
        <v>-0.23587277051497571</v>
      </c>
    </row>
    <row r="25" spans="1:26" s="70" customFormat="1" ht="15" hidden="1" customHeight="1" outlineLevel="2" x14ac:dyDescent="0.3">
      <c r="A25" s="21"/>
      <c r="B25" s="9" t="str">
        <f>CONCATENATE("          ","6115"," - ","P.E.R.S.")</f>
        <v xml:space="preserve">          6115 - P.E.R.S.</v>
      </c>
      <c r="C25" s="9"/>
      <c r="D25" s="6">
        <v>516.92999999999995</v>
      </c>
      <c r="E25" s="3"/>
      <c r="F25" s="7">
        <f t="shared" si="0"/>
        <v>2.0804523684951903E-2</v>
      </c>
      <c r="G25" s="3"/>
      <c r="H25" s="6">
        <v>576.92767246153903</v>
      </c>
      <c r="I25" s="3"/>
      <c r="J25" s="7">
        <f t="shared" si="1"/>
        <v>1.4508793694335052E-2</v>
      </c>
      <c r="K25" s="3"/>
      <c r="L25" s="6">
        <f t="shared" si="2"/>
        <v>-59.997672461539082</v>
      </c>
      <c r="M25" s="3"/>
      <c r="N25" s="7">
        <f t="shared" si="3"/>
        <v>-0.10399513721633596</v>
      </c>
      <c r="O25" s="9"/>
      <c r="P25" s="6">
        <v>7717.2</v>
      </c>
      <c r="Q25" s="3"/>
      <c r="R25" s="7">
        <f t="shared" si="4"/>
        <v>1.6678733598877882E-2</v>
      </c>
      <c r="S25" s="3"/>
      <c r="T25" s="6">
        <v>7500.0597420000104</v>
      </c>
      <c r="U25" s="3"/>
      <c r="V25" s="7">
        <f t="shared" si="5"/>
        <v>1.25198809819515E-2</v>
      </c>
      <c r="W25" s="3"/>
      <c r="X25" s="6">
        <f t="shared" si="6"/>
        <v>217.14025799998944</v>
      </c>
      <c r="Y25" s="3"/>
      <c r="Z25" s="7">
        <f t="shared" si="7"/>
        <v>2.8951803781510351E-2</v>
      </c>
    </row>
    <row r="26" spans="1:26" s="70" customFormat="1" ht="15" hidden="1" customHeight="1" outlineLevel="2" x14ac:dyDescent="0.3">
      <c r="A26" s="21"/>
      <c r="B26" s="9" t="str">
        <f>CONCATENATE("          ","6116"," - ","EDUCATIONAL BENEFITS")</f>
        <v xml:space="preserve">          6116 - EDUCATIONAL BENEFITS</v>
      </c>
      <c r="C26" s="9"/>
      <c r="D26" s="6"/>
      <c r="E26" s="3"/>
      <c r="F26" s="7">
        <f t="shared" si="0"/>
        <v>0</v>
      </c>
      <c r="G26" s="3"/>
      <c r="H26" s="6">
        <v>0</v>
      </c>
      <c r="I26" s="3"/>
      <c r="J26" s="7">
        <f t="shared" si="1"/>
        <v>0</v>
      </c>
      <c r="K26" s="3"/>
      <c r="L26" s="6">
        <f t="shared" si="2"/>
        <v>0</v>
      </c>
      <c r="M26" s="3"/>
      <c r="N26" s="7">
        <f t="shared" si="3"/>
        <v>0</v>
      </c>
      <c r="O26" s="9"/>
      <c r="P26" s="6"/>
      <c r="Q26" s="3"/>
      <c r="R26" s="7">
        <f t="shared" si="4"/>
        <v>0</v>
      </c>
      <c r="S26" s="3"/>
      <c r="T26" s="6">
        <v>0</v>
      </c>
      <c r="U26" s="3"/>
      <c r="V26" s="7">
        <f t="shared" si="5"/>
        <v>0</v>
      </c>
      <c r="W26" s="3"/>
      <c r="X26" s="6">
        <f t="shared" si="6"/>
        <v>0</v>
      </c>
      <c r="Y26" s="3"/>
      <c r="Z26" s="7">
        <f t="shared" si="7"/>
        <v>0</v>
      </c>
    </row>
    <row r="27" spans="1:26" s="70" customFormat="1" ht="15" hidden="1" customHeight="1" outlineLevel="2" x14ac:dyDescent="0.3">
      <c r="A27" s="21"/>
      <c r="B27" s="9" t="str">
        <f>CONCATENATE("          ","6117"," - ","RETIREMENT STAFF HOURLY")</f>
        <v xml:space="preserve">          6117 - RETIREMENT STAFF HOURLY</v>
      </c>
      <c r="C27" s="9"/>
      <c r="D27" s="6">
        <v>120</v>
      </c>
      <c r="E27" s="3"/>
      <c r="F27" s="7">
        <f t="shared" si="0"/>
        <v>4.8295568881555114E-3</v>
      </c>
      <c r="G27" s="3"/>
      <c r="H27" s="6"/>
      <c r="I27" s="3"/>
      <c r="J27" s="7">
        <f t="shared" si="1"/>
        <v>0</v>
      </c>
      <c r="K27" s="3"/>
      <c r="L27" s="6">
        <f t="shared" si="2"/>
        <v>120</v>
      </c>
      <c r="M27" s="3"/>
      <c r="N27" s="7">
        <f t="shared" si="3"/>
        <v>0</v>
      </c>
      <c r="O27" s="9"/>
      <c r="P27" s="6">
        <v>515.15</v>
      </c>
      <c r="Q27" s="3"/>
      <c r="R27" s="7">
        <f t="shared" si="4"/>
        <v>1.1133636051238716E-3</v>
      </c>
      <c r="S27" s="3"/>
      <c r="T27" s="6"/>
      <c r="U27" s="3"/>
      <c r="V27" s="7">
        <f t="shared" si="5"/>
        <v>0</v>
      </c>
      <c r="W27" s="3"/>
      <c r="X27" s="6">
        <f t="shared" si="6"/>
        <v>515.15</v>
      </c>
      <c r="Y27" s="3"/>
      <c r="Z27" s="7">
        <f t="shared" si="7"/>
        <v>0</v>
      </c>
    </row>
    <row r="28" spans="1:26" s="70" customFormat="1" ht="15" hidden="1" customHeight="1" outlineLevel="2" x14ac:dyDescent="0.3">
      <c r="A28" s="21"/>
      <c r="B28" s="9" t="str">
        <f>CONCATENATE("          ","6118"," - ","VACATION")</f>
        <v xml:space="preserve">          6118 - VACATION</v>
      </c>
      <c r="C28" s="9"/>
      <c r="D28" s="6">
        <v>640.03</v>
      </c>
      <c r="E28" s="3"/>
      <c r="F28" s="7">
        <f t="shared" si="0"/>
        <v>2.5758844126051433E-2</v>
      </c>
      <c r="G28" s="3"/>
      <c r="H28" s="6">
        <v>201.25383923076899</v>
      </c>
      <c r="I28" s="3"/>
      <c r="J28" s="7">
        <f t="shared" si="1"/>
        <v>5.0612071026750072E-3</v>
      </c>
      <c r="K28" s="3"/>
      <c r="L28" s="6">
        <f t="shared" si="2"/>
        <v>438.77616076923096</v>
      </c>
      <c r="M28" s="3"/>
      <c r="N28" s="7">
        <f t="shared" si="3"/>
        <v>2.1802126232538872</v>
      </c>
      <c r="O28" s="9"/>
      <c r="P28" s="6">
        <v>8075.08</v>
      </c>
      <c r="Q28" s="3"/>
      <c r="R28" s="7">
        <f t="shared" si="4"/>
        <v>1.7452198739131657E-2</v>
      </c>
      <c r="S28" s="3"/>
      <c r="T28" s="6">
        <v>2616.2999100000002</v>
      </c>
      <c r="U28" s="3"/>
      <c r="V28" s="7">
        <f t="shared" si="5"/>
        <v>4.3674003425412155E-3</v>
      </c>
      <c r="W28" s="3"/>
      <c r="X28" s="6">
        <f t="shared" si="6"/>
        <v>5458.7800900000002</v>
      </c>
      <c r="Y28" s="3"/>
      <c r="Z28" s="7">
        <f t="shared" si="7"/>
        <v>2.0864504367926227</v>
      </c>
    </row>
    <row r="29" spans="1:26" s="70" customFormat="1" ht="15" hidden="1" customHeight="1" outlineLevel="2" x14ac:dyDescent="0.3">
      <c r="A29" s="21"/>
      <c r="B29" s="9" t="str">
        <f>CONCATENATE("          ","6119"," - ","SICK LEAVE")</f>
        <v xml:space="preserve">          6119 - SICK LEAVE</v>
      </c>
      <c r="C29" s="9"/>
      <c r="D29" s="6">
        <v>443.63</v>
      </c>
      <c r="E29" s="3"/>
      <c r="F29" s="7">
        <f t="shared" si="0"/>
        <v>1.7854469352436914E-2</v>
      </c>
      <c r="G29" s="3"/>
      <c r="H29" s="6">
        <v>432.249226153846</v>
      </c>
      <c r="I29" s="3"/>
      <c r="J29" s="7">
        <f t="shared" si="1"/>
        <v>1.0870365812137763E-2</v>
      </c>
      <c r="K29" s="3"/>
      <c r="L29" s="6">
        <f t="shared" si="2"/>
        <v>11.380773846154</v>
      </c>
      <c r="M29" s="3"/>
      <c r="N29" s="7">
        <f t="shared" si="3"/>
        <v>2.6329194264661005E-2</v>
      </c>
      <c r="O29" s="9"/>
      <c r="P29" s="6">
        <v>5974.64</v>
      </c>
      <c r="Q29" s="3"/>
      <c r="R29" s="7">
        <f t="shared" si="4"/>
        <v>1.2912640453687835E-2</v>
      </c>
      <c r="S29" s="3"/>
      <c r="T29" s="6">
        <v>6627.9599399999997</v>
      </c>
      <c r="U29" s="3"/>
      <c r="V29" s="7">
        <f t="shared" si="5"/>
        <v>1.1064081148214179E-2</v>
      </c>
      <c r="W29" s="3"/>
      <c r="X29" s="6">
        <f t="shared" si="6"/>
        <v>-653.31993999999941</v>
      </c>
      <c r="Y29" s="3"/>
      <c r="Z29" s="7">
        <f t="shared" si="7"/>
        <v>-9.8570290996659135E-2</v>
      </c>
    </row>
    <row r="30" spans="1:26" s="70" customFormat="1" ht="15" hidden="1" customHeight="1" outlineLevel="2" x14ac:dyDescent="0.3">
      <c r="A30" s="21"/>
      <c r="B30" s="9" t="str">
        <f>CONCATENATE("          ","6156"," - ","EMPLOYEE MEALS")</f>
        <v xml:space="preserve">          6156 - EMPLOYEE MEALS</v>
      </c>
      <c r="C30" s="9"/>
      <c r="D30" s="6">
        <v>259.47000000000003</v>
      </c>
      <c r="E30" s="3"/>
      <c r="F30" s="7">
        <f t="shared" si="0"/>
        <v>1.0442709381414256E-2</v>
      </c>
      <c r="G30" s="3"/>
      <c r="H30" s="6"/>
      <c r="I30" s="3"/>
      <c r="J30" s="7">
        <f t="shared" si="1"/>
        <v>0</v>
      </c>
      <c r="K30" s="3"/>
      <c r="L30" s="6">
        <f t="shared" si="2"/>
        <v>259.47000000000003</v>
      </c>
      <c r="M30" s="3"/>
      <c r="N30" s="7">
        <f t="shared" si="3"/>
        <v>0</v>
      </c>
      <c r="O30" s="9"/>
      <c r="P30" s="6">
        <v>1294.1099999999999</v>
      </c>
      <c r="Q30" s="3"/>
      <c r="R30" s="7">
        <f t="shared" si="4"/>
        <v>2.7968843541237567E-3</v>
      </c>
      <c r="S30" s="3"/>
      <c r="T30" s="6"/>
      <c r="U30" s="3"/>
      <c r="V30" s="7">
        <f t="shared" si="5"/>
        <v>0</v>
      </c>
      <c r="W30" s="3"/>
      <c r="X30" s="6">
        <f t="shared" si="6"/>
        <v>1294.1099999999999</v>
      </c>
      <c r="Y30" s="3"/>
      <c r="Z30" s="7">
        <f t="shared" si="7"/>
        <v>0</v>
      </c>
    </row>
    <row r="31" spans="1:26" s="69" customFormat="1" ht="15" customHeight="1" outlineLevel="1" collapsed="1" x14ac:dyDescent="0.3">
      <c r="A31" s="20"/>
      <c r="B31" s="11" t="str">
        <f>CONCATENATE("     ","*Payroll                                          ")</f>
        <v xml:space="preserve">     *Payroll                                          </v>
      </c>
      <c r="C31" s="11"/>
      <c r="D31" s="2">
        <f>SUM(OSRRefD22_1x_0)</f>
        <v>13021.23</v>
      </c>
      <c r="E31" s="2"/>
      <c r="F31" s="5">
        <f t="shared" si="0"/>
        <v>0.52405642532297658</v>
      </c>
      <c r="G31" s="2"/>
      <c r="H31" s="2">
        <f>SUM(OSRRefH22_1x_0)</f>
        <v>16309.03824230769</v>
      </c>
      <c r="I31" s="2"/>
      <c r="J31" s="5">
        <f t="shared" si="1"/>
        <v>0.41014581637430064</v>
      </c>
      <c r="K31" s="2"/>
      <c r="L31" s="2">
        <f t="shared" si="2"/>
        <v>-3287.8082423076903</v>
      </c>
      <c r="M31" s="2"/>
      <c r="N31" s="5">
        <f t="shared" si="3"/>
        <v>-0.20159424445879975</v>
      </c>
      <c r="O31" s="11"/>
      <c r="P31" s="2">
        <f>SUM(OSRRefP22_1x_0)</f>
        <v>176605.34</v>
      </c>
      <c r="Q31" s="2"/>
      <c r="R31" s="5">
        <f t="shared" si="4"/>
        <v>0.38168680583621678</v>
      </c>
      <c r="S31" s="2"/>
      <c r="T31" s="2">
        <f>SUM(OSRRefT22_1x_0)</f>
        <v>245641.49715000001</v>
      </c>
      <c r="U31" s="2"/>
      <c r="V31" s="5">
        <f t="shared" si="5"/>
        <v>0.41005037484225076</v>
      </c>
      <c r="W31" s="2"/>
      <c r="X31" s="2">
        <f t="shared" si="6"/>
        <v>-69036.157150000014</v>
      </c>
      <c r="Y31" s="2"/>
      <c r="Z31" s="5">
        <f t="shared" si="7"/>
        <v>-0.28104435916152781</v>
      </c>
    </row>
    <row r="32" spans="1:26" s="70" customFormat="1" ht="15" hidden="1" customHeight="1" outlineLevel="2" x14ac:dyDescent="0.3">
      <c r="A32" s="21"/>
      <c r="B32" s="9" t="str">
        <f>CONCATENATE("          ","6001"," - ","ADMINISTRATIVE SALARIES")</f>
        <v xml:space="preserve">          6001 - ADMINISTRATIVE SALARIES</v>
      </c>
      <c r="C32" s="9"/>
      <c r="D32" s="6">
        <v>1397.47</v>
      </c>
      <c r="E32" s="3"/>
      <c r="F32" s="7">
        <f t="shared" si="0"/>
        <v>5.6243007204089028E-2</v>
      </c>
      <c r="G32" s="3"/>
      <c r="H32" s="6">
        <v>4139.8076923076896</v>
      </c>
      <c r="I32" s="3"/>
      <c r="J32" s="7">
        <f t="shared" si="1"/>
        <v>0.10410943799184412</v>
      </c>
      <c r="K32" s="3"/>
      <c r="L32" s="6">
        <f t="shared" si="2"/>
        <v>-2742.3376923076894</v>
      </c>
      <c r="M32" s="3"/>
      <c r="N32" s="7">
        <f t="shared" si="3"/>
        <v>-0.66243117944906371</v>
      </c>
      <c r="O32" s="9"/>
      <c r="P32" s="6">
        <v>52790.66</v>
      </c>
      <c r="Q32" s="3"/>
      <c r="R32" s="7">
        <f t="shared" si="4"/>
        <v>0.11409336995917416</v>
      </c>
      <c r="S32" s="3"/>
      <c r="T32" s="6">
        <v>53817.5</v>
      </c>
      <c r="U32" s="3"/>
      <c r="V32" s="7">
        <f t="shared" si="5"/>
        <v>8.9837777021026549E-2</v>
      </c>
      <c r="W32" s="3"/>
      <c r="X32" s="6">
        <f t="shared" si="6"/>
        <v>-1026.8399999999965</v>
      </c>
      <c r="Y32" s="3"/>
      <c r="Z32" s="7">
        <f t="shared" si="7"/>
        <v>-1.9080039020764557E-2</v>
      </c>
    </row>
    <row r="33" spans="1:26" s="70" customFormat="1" ht="15" hidden="1" customHeight="1" outlineLevel="2" x14ac:dyDescent="0.3">
      <c r="A33" s="21"/>
      <c r="B33" s="9" t="str">
        <f>CONCATENATE("          ","6002"," - ","STAFF SALARIES")</f>
        <v xml:space="preserve">          6002 - STAFF SALARIES</v>
      </c>
      <c r="C33" s="9"/>
      <c r="D33" s="6">
        <v>1550.4</v>
      </c>
      <c r="E33" s="3"/>
      <c r="F33" s="7">
        <f t="shared" si="0"/>
        <v>6.2397874994969217E-2</v>
      </c>
      <c r="G33" s="3"/>
      <c r="H33" s="6">
        <v>2233.2305500000002</v>
      </c>
      <c r="I33" s="3"/>
      <c r="J33" s="7">
        <f t="shared" si="1"/>
        <v>5.616212025953124E-2</v>
      </c>
      <c r="K33" s="3"/>
      <c r="L33" s="6">
        <f t="shared" si="2"/>
        <v>-682.83055000000013</v>
      </c>
      <c r="M33" s="3"/>
      <c r="N33" s="7">
        <f t="shared" si="3"/>
        <v>-0.30575909415174357</v>
      </c>
      <c r="O33" s="9"/>
      <c r="P33" s="6">
        <v>21806.97</v>
      </c>
      <c r="Q33" s="3"/>
      <c r="R33" s="7">
        <f t="shared" si="4"/>
        <v>4.7130130517379624E-2</v>
      </c>
      <c r="S33" s="3"/>
      <c r="T33" s="6">
        <v>29031.997149999999</v>
      </c>
      <c r="U33" s="3"/>
      <c r="V33" s="7">
        <f t="shared" si="5"/>
        <v>4.8463233826111923E-2</v>
      </c>
      <c r="W33" s="3"/>
      <c r="X33" s="6">
        <f t="shared" si="6"/>
        <v>-7225.0271499999981</v>
      </c>
      <c r="Y33" s="3"/>
      <c r="Z33" s="7">
        <f t="shared" si="7"/>
        <v>-0.24886428283491335</v>
      </c>
    </row>
    <row r="34" spans="1:26" s="70" customFormat="1" ht="15" hidden="1" customHeight="1" outlineLevel="2" x14ac:dyDescent="0.3">
      <c r="A34" s="21"/>
      <c r="B34" s="9" t="str">
        <f>CONCATENATE("          ","6003"," - ","STAFF HOURLY-9 MONTH")</f>
        <v xml:space="preserve">          6003 - STAFF HOURLY-9 MONTH</v>
      </c>
      <c r="C34" s="9"/>
      <c r="D34" s="6"/>
      <c r="E34" s="3"/>
      <c r="F34" s="7">
        <f t="shared" si="0"/>
        <v>0</v>
      </c>
      <c r="G34" s="3"/>
      <c r="H34" s="6">
        <v>0</v>
      </c>
      <c r="I34" s="3"/>
      <c r="J34" s="7">
        <f t="shared" si="1"/>
        <v>0</v>
      </c>
      <c r="K34" s="3"/>
      <c r="L34" s="6">
        <f t="shared" si="2"/>
        <v>0</v>
      </c>
      <c r="M34" s="3"/>
      <c r="N34" s="7">
        <f t="shared" si="3"/>
        <v>0</v>
      </c>
      <c r="O34" s="9"/>
      <c r="P34" s="6"/>
      <c r="Q34" s="3"/>
      <c r="R34" s="7">
        <f t="shared" si="4"/>
        <v>0</v>
      </c>
      <c r="S34" s="3"/>
      <c r="T34" s="6">
        <v>0</v>
      </c>
      <c r="U34" s="3"/>
      <c r="V34" s="7">
        <f t="shared" si="5"/>
        <v>0</v>
      </c>
      <c r="W34" s="3"/>
      <c r="X34" s="6">
        <f t="shared" si="6"/>
        <v>0</v>
      </c>
      <c r="Y34" s="3"/>
      <c r="Z34" s="7">
        <f t="shared" si="7"/>
        <v>0</v>
      </c>
    </row>
    <row r="35" spans="1:26" s="70" customFormat="1" ht="15" hidden="1" customHeight="1" outlineLevel="2" x14ac:dyDescent="0.3">
      <c r="A35" s="21"/>
      <c r="B35" s="9" t="str">
        <f>CONCATENATE("          ","6004"," - ","STAFF HOURLY")</f>
        <v xml:space="preserve">          6004 - STAFF HOURLY</v>
      </c>
      <c r="C35" s="9"/>
      <c r="D35" s="6">
        <v>3312.2</v>
      </c>
      <c r="E35" s="3"/>
      <c r="F35" s="7">
        <f t="shared" si="0"/>
        <v>0.13330381937457236</v>
      </c>
      <c r="G35" s="3"/>
      <c r="H35" s="6">
        <v>2088</v>
      </c>
      <c r="I35" s="3"/>
      <c r="J35" s="7">
        <f t="shared" si="1"/>
        <v>5.250980786641183E-2</v>
      </c>
      <c r="K35" s="3"/>
      <c r="L35" s="6">
        <f t="shared" si="2"/>
        <v>1224.1999999999998</v>
      </c>
      <c r="M35" s="3"/>
      <c r="N35" s="7">
        <f t="shared" si="3"/>
        <v>0.58630268199233704</v>
      </c>
      <c r="O35" s="9"/>
      <c r="P35" s="6">
        <v>20014.52</v>
      </c>
      <c r="Q35" s="3"/>
      <c r="R35" s="7">
        <f t="shared" si="4"/>
        <v>4.3256213029261054E-2</v>
      </c>
      <c r="S35" s="3"/>
      <c r="T35" s="6">
        <v>26622</v>
      </c>
      <c r="U35" s="3"/>
      <c r="V35" s="7">
        <f t="shared" si="5"/>
        <v>4.4440215540554079E-2</v>
      </c>
      <c r="W35" s="3"/>
      <c r="X35" s="6">
        <f t="shared" si="6"/>
        <v>-6607.48</v>
      </c>
      <c r="Y35" s="3"/>
      <c r="Z35" s="7">
        <f t="shared" si="7"/>
        <v>-0.24819622868304408</v>
      </c>
    </row>
    <row r="36" spans="1:26" s="70" customFormat="1" ht="15" hidden="1" customHeight="1" outlineLevel="2" x14ac:dyDescent="0.3">
      <c r="A36" s="21"/>
      <c r="B36" s="9" t="str">
        <f>CONCATENATE("          ","6005"," - ","TEMPORARY WAGES-HOURLY")</f>
        <v xml:space="preserve">          6005 - TEMPORARY WAGES-HOURLY</v>
      </c>
      <c r="C36" s="9"/>
      <c r="D36" s="6">
        <v>3131.91</v>
      </c>
      <c r="E36" s="3"/>
      <c r="F36" s="7">
        <f t="shared" si="0"/>
        <v>0.12604781261319273</v>
      </c>
      <c r="G36" s="3"/>
      <c r="H36" s="6">
        <v>0</v>
      </c>
      <c r="I36" s="3"/>
      <c r="J36" s="7">
        <f t="shared" si="1"/>
        <v>0</v>
      </c>
      <c r="K36" s="3"/>
      <c r="L36" s="6">
        <f t="shared" si="2"/>
        <v>3131.91</v>
      </c>
      <c r="M36" s="3"/>
      <c r="N36" s="7">
        <f t="shared" si="3"/>
        <v>0</v>
      </c>
      <c r="O36" s="9"/>
      <c r="P36" s="6">
        <v>60021.41</v>
      </c>
      <c r="Q36" s="3"/>
      <c r="R36" s="7">
        <f t="shared" si="4"/>
        <v>0.12972076758656315</v>
      </c>
      <c r="S36" s="3"/>
      <c r="T36" s="6">
        <v>0</v>
      </c>
      <c r="U36" s="3"/>
      <c r="V36" s="7">
        <f t="shared" si="5"/>
        <v>0</v>
      </c>
      <c r="W36" s="3"/>
      <c r="X36" s="6">
        <f t="shared" si="6"/>
        <v>60021.41</v>
      </c>
      <c r="Y36" s="3"/>
      <c r="Z36" s="7">
        <f t="shared" si="7"/>
        <v>0</v>
      </c>
    </row>
    <row r="37" spans="1:26" s="70" customFormat="1" ht="15" hidden="1" customHeight="1" outlineLevel="2" x14ac:dyDescent="0.3">
      <c r="A37" s="21"/>
      <c r="B37" s="9" t="str">
        <f>CONCATENATE("          ","6006"," - ","TEMPORARY PART TIME")</f>
        <v xml:space="preserve">          6006 - TEMPORARY PART TIME</v>
      </c>
      <c r="C37" s="9"/>
      <c r="D37" s="6"/>
      <c r="E37" s="3"/>
      <c r="F37" s="7">
        <f t="shared" si="0"/>
        <v>0</v>
      </c>
      <c r="G37" s="3"/>
      <c r="H37" s="6">
        <v>0</v>
      </c>
      <c r="I37" s="3"/>
      <c r="J37" s="7">
        <f t="shared" si="1"/>
        <v>0</v>
      </c>
      <c r="K37" s="3"/>
      <c r="L37" s="6">
        <f t="shared" si="2"/>
        <v>0</v>
      </c>
      <c r="M37" s="3"/>
      <c r="N37" s="7">
        <f t="shared" si="3"/>
        <v>0</v>
      </c>
      <c r="O37" s="9"/>
      <c r="P37" s="6"/>
      <c r="Q37" s="3"/>
      <c r="R37" s="7">
        <f t="shared" si="4"/>
        <v>0</v>
      </c>
      <c r="S37" s="3"/>
      <c r="T37" s="6">
        <v>0</v>
      </c>
      <c r="U37" s="3"/>
      <c r="V37" s="7">
        <f t="shared" si="5"/>
        <v>0</v>
      </c>
      <c r="W37" s="3"/>
      <c r="X37" s="6">
        <f t="shared" si="6"/>
        <v>0</v>
      </c>
      <c r="Y37" s="3"/>
      <c r="Z37" s="7">
        <f t="shared" si="7"/>
        <v>0</v>
      </c>
    </row>
    <row r="38" spans="1:26" s="70" customFormat="1" ht="15" hidden="1" customHeight="1" outlineLevel="2" x14ac:dyDescent="0.3">
      <c r="A38" s="21"/>
      <c r="B38" s="9" t="str">
        <f>CONCATENATE("          ","6007"," - ","STUDENT HOURLY")</f>
        <v xml:space="preserve">          6007 - STUDENT HOURLY</v>
      </c>
      <c r="C38" s="9"/>
      <c r="D38" s="6">
        <v>3629.25</v>
      </c>
      <c r="E38" s="3"/>
      <c r="F38" s="7">
        <f t="shared" si="0"/>
        <v>0.14606391113615325</v>
      </c>
      <c r="G38" s="3"/>
      <c r="H38" s="6">
        <v>7848</v>
      </c>
      <c r="I38" s="3"/>
      <c r="J38" s="7">
        <f t="shared" si="1"/>
        <v>0.19736445025651342</v>
      </c>
      <c r="K38" s="3"/>
      <c r="L38" s="6">
        <f t="shared" si="2"/>
        <v>-4218.75</v>
      </c>
      <c r="M38" s="3"/>
      <c r="N38" s="7">
        <f t="shared" si="3"/>
        <v>-0.53755733944954132</v>
      </c>
      <c r="O38" s="9"/>
      <c r="P38" s="6">
        <v>21807.56</v>
      </c>
      <c r="Q38" s="3"/>
      <c r="R38" s="7">
        <f t="shared" si="4"/>
        <v>4.7131405649917767E-2</v>
      </c>
      <c r="S38" s="3"/>
      <c r="T38" s="6">
        <v>33835.5</v>
      </c>
      <c r="U38" s="3"/>
      <c r="V38" s="7">
        <f t="shared" si="5"/>
        <v>5.6481741151018609E-2</v>
      </c>
      <c r="W38" s="3"/>
      <c r="X38" s="6">
        <f t="shared" si="6"/>
        <v>-12027.939999999999</v>
      </c>
      <c r="Y38" s="3"/>
      <c r="Z38" s="7">
        <f t="shared" si="7"/>
        <v>-0.35548285085191583</v>
      </c>
    </row>
    <row r="39" spans="1:26" s="70" customFormat="1" ht="15" hidden="1" customHeight="1" outlineLevel="2" x14ac:dyDescent="0.3">
      <c r="A39" s="21"/>
      <c r="B39" s="9" t="str">
        <f>CONCATENATE("          ","6008"," - ","STUDENT HOURLY-FICA EXEMPT")</f>
        <v xml:space="preserve">          6008 - STUDENT HOURLY-FICA EXEMPT</v>
      </c>
      <c r="C39" s="9"/>
      <c r="D39" s="6"/>
      <c r="E39" s="3"/>
      <c r="F39" s="7">
        <f t="shared" si="0"/>
        <v>0</v>
      </c>
      <c r="G39" s="3"/>
      <c r="H39" s="6">
        <v>0</v>
      </c>
      <c r="I39" s="3"/>
      <c r="J39" s="7">
        <f t="shared" si="1"/>
        <v>0</v>
      </c>
      <c r="K39" s="3"/>
      <c r="L39" s="6">
        <f t="shared" si="2"/>
        <v>0</v>
      </c>
      <c r="M39" s="3"/>
      <c r="N39" s="7">
        <f t="shared" si="3"/>
        <v>0</v>
      </c>
      <c r="O39" s="9"/>
      <c r="P39" s="6">
        <v>164.22</v>
      </c>
      <c r="Q39" s="3"/>
      <c r="R39" s="7">
        <f t="shared" si="4"/>
        <v>3.5491909392107576E-4</v>
      </c>
      <c r="S39" s="3"/>
      <c r="T39" s="6">
        <v>102334.5</v>
      </c>
      <c r="U39" s="3"/>
      <c r="V39" s="7">
        <f t="shared" si="5"/>
        <v>0.1708274073035396</v>
      </c>
      <c r="W39" s="3"/>
      <c r="X39" s="6">
        <f t="shared" si="6"/>
        <v>-102170.28</v>
      </c>
      <c r="Y39" s="3"/>
      <c r="Z39" s="7">
        <f t="shared" si="7"/>
        <v>-0.99839526259472611</v>
      </c>
    </row>
    <row r="40" spans="1:26" s="70" customFormat="1" ht="15" hidden="1" customHeight="1" outlineLevel="2" x14ac:dyDescent="0.3">
      <c r="A40" s="21"/>
      <c r="B40" s="9" t="str">
        <f>CONCATENATE("          ","6009"," - ","TEMPORARY-SEASONAL")</f>
        <v xml:space="preserve">          6009 - TEMPORARY-SEASONAL</v>
      </c>
      <c r="C40" s="9"/>
      <c r="D40" s="6"/>
      <c r="E40" s="3"/>
      <c r="F40" s="7">
        <f t="shared" si="0"/>
        <v>0</v>
      </c>
      <c r="G40" s="3"/>
      <c r="H40" s="6">
        <v>0</v>
      </c>
      <c r="I40" s="3"/>
      <c r="J40" s="7">
        <f t="shared" si="1"/>
        <v>0</v>
      </c>
      <c r="K40" s="3"/>
      <c r="L40" s="6">
        <f t="shared" si="2"/>
        <v>0</v>
      </c>
      <c r="M40" s="3"/>
      <c r="N40" s="7">
        <f t="shared" si="3"/>
        <v>0</v>
      </c>
      <c r="O40" s="9"/>
      <c r="P40" s="6"/>
      <c r="Q40" s="3"/>
      <c r="R40" s="7">
        <f t="shared" si="4"/>
        <v>0</v>
      </c>
      <c r="S40" s="3"/>
      <c r="T40" s="6">
        <v>0</v>
      </c>
      <c r="U40" s="3"/>
      <c r="V40" s="7">
        <f t="shared" si="5"/>
        <v>0</v>
      </c>
      <c r="W40" s="3"/>
      <c r="X40" s="6">
        <f t="shared" si="6"/>
        <v>0</v>
      </c>
      <c r="Y40" s="3"/>
      <c r="Z40" s="7">
        <f t="shared" si="7"/>
        <v>0</v>
      </c>
    </row>
    <row r="41" spans="1:26" s="70" customFormat="1" ht="15" hidden="1" customHeight="1" outlineLevel="2" x14ac:dyDescent="0.3">
      <c r="A41" s="21"/>
      <c r="B41" s="9" t="str">
        <f>CONCATENATE("          ","6010"," - ","GRATUITY")</f>
        <v xml:space="preserve">          6010 - GRATUITY</v>
      </c>
      <c r="C41" s="9"/>
      <c r="D41" s="6"/>
      <c r="E41" s="3"/>
      <c r="F41" s="7">
        <f t="shared" si="0"/>
        <v>0</v>
      </c>
      <c r="G41" s="3"/>
      <c r="H41" s="6">
        <v>0</v>
      </c>
      <c r="I41" s="3"/>
      <c r="J41" s="7">
        <f t="shared" si="1"/>
        <v>0</v>
      </c>
      <c r="K41" s="3"/>
      <c r="L41" s="6">
        <f t="shared" si="2"/>
        <v>0</v>
      </c>
      <c r="M41" s="3"/>
      <c r="N41" s="7">
        <f t="shared" si="3"/>
        <v>0</v>
      </c>
      <c r="O41" s="9"/>
      <c r="P41" s="6"/>
      <c r="Q41" s="3"/>
      <c r="R41" s="7">
        <f t="shared" si="4"/>
        <v>0</v>
      </c>
      <c r="S41" s="3"/>
      <c r="T41" s="6">
        <v>0</v>
      </c>
      <c r="U41" s="3"/>
      <c r="V41" s="7">
        <f t="shared" si="5"/>
        <v>0</v>
      </c>
      <c r="W41" s="3"/>
      <c r="X41" s="6">
        <f t="shared" si="6"/>
        <v>0</v>
      </c>
      <c r="Y41" s="3"/>
      <c r="Z41" s="7">
        <f t="shared" si="7"/>
        <v>0</v>
      </c>
    </row>
    <row r="42" spans="1:26" s="69" customFormat="1" ht="15" customHeight="1" outlineLevel="1" collapsed="1" x14ac:dyDescent="0.3">
      <c r="A42" s="20"/>
      <c r="B42" s="11" t="str">
        <f>CONCATENATE("     ","Advertising/Promo                                 ")</f>
        <v xml:space="preserve">     Advertising/Promo                                 </v>
      </c>
      <c r="C42" s="11"/>
      <c r="D42" s="2">
        <f>SUM(OSRRefD22_2x_0)</f>
        <v>132.31</v>
      </c>
      <c r="E42" s="2"/>
      <c r="F42" s="5">
        <f t="shared" si="0"/>
        <v>5.3249889322654646E-3</v>
      </c>
      <c r="G42" s="2"/>
      <c r="H42" s="2">
        <f>SUM(OSRRefH22_2x_0)</f>
        <v>100</v>
      </c>
      <c r="I42" s="2"/>
      <c r="J42" s="5">
        <f t="shared" si="1"/>
        <v>2.5148375414948193E-3</v>
      </c>
      <c r="K42" s="2"/>
      <c r="L42" s="2">
        <f t="shared" si="2"/>
        <v>32.31</v>
      </c>
      <c r="M42" s="2"/>
      <c r="N42" s="5">
        <f t="shared" si="3"/>
        <v>0.3231</v>
      </c>
      <c r="O42" s="11"/>
      <c r="P42" s="2">
        <f>SUM(OSRRefP22_2x_0)</f>
        <v>383.49</v>
      </c>
      <c r="Q42" s="2"/>
      <c r="R42" s="5">
        <f t="shared" si="4"/>
        <v>8.2881453737543146E-4</v>
      </c>
      <c r="S42" s="2"/>
      <c r="T42" s="2">
        <f>SUM(OSRRefT22_2x_0)</f>
        <v>1200</v>
      </c>
      <c r="U42" s="2"/>
      <c r="V42" s="5">
        <f t="shared" si="5"/>
        <v>2.0031650007011079E-3</v>
      </c>
      <c r="W42" s="2"/>
      <c r="X42" s="2">
        <f t="shared" si="6"/>
        <v>-816.51</v>
      </c>
      <c r="Y42" s="2"/>
      <c r="Z42" s="5">
        <f t="shared" si="7"/>
        <v>-0.68042499999999995</v>
      </c>
    </row>
    <row r="43" spans="1:26" s="70" customFormat="1" ht="15" hidden="1" customHeight="1" outlineLevel="2" x14ac:dyDescent="0.3">
      <c r="A43" s="21"/>
      <c r="B43" s="9" t="str">
        <f>CONCATENATE("          ","6362"," - ","ADVERTISING EXPENSE")</f>
        <v xml:space="preserve">          6362 - ADVERTISING EXPENSE</v>
      </c>
      <c r="C43" s="9"/>
      <c r="D43" s="6">
        <v>132.31</v>
      </c>
      <c r="E43" s="3"/>
      <c r="F43" s="7">
        <f t="shared" si="0"/>
        <v>5.3249889322654646E-3</v>
      </c>
      <c r="G43" s="3"/>
      <c r="H43" s="6">
        <v>100</v>
      </c>
      <c r="I43" s="3"/>
      <c r="J43" s="7">
        <f t="shared" si="1"/>
        <v>2.5148375414948193E-3</v>
      </c>
      <c r="K43" s="3"/>
      <c r="L43" s="6">
        <f t="shared" si="2"/>
        <v>32.31</v>
      </c>
      <c r="M43" s="3"/>
      <c r="N43" s="7">
        <f t="shared" si="3"/>
        <v>0.3231</v>
      </c>
      <c r="O43" s="9"/>
      <c r="P43" s="6">
        <v>383.49</v>
      </c>
      <c r="Q43" s="3"/>
      <c r="R43" s="7">
        <f t="shared" si="4"/>
        <v>8.2881453737543146E-4</v>
      </c>
      <c r="S43" s="3"/>
      <c r="T43" s="6">
        <v>1200</v>
      </c>
      <c r="U43" s="3"/>
      <c r="V43" s="7">
        <f t="shared" si="5"/>
        <v>2.0031650007011079E-3</v>
      </c>
      <c r="W43" s="3"/>
      <c r="X43" s="6">
        <f t="shared" si="6"/>
        <v>-816.51</v>
      </c>
      <c r="Y43" s="3"/>
      <c r="Z43" s="7">
        <f t="shared" si="7"/>
        <v>-0.68042499999999995</v>
      </c>
    </row>
    <row r="44" spans="1:26" s="69" customFormat="1" ht="15" customHeight="1" outlineLevel="1" collapsed="1" x14ac:dyDescent="0.3">
      <c r="A44" s="20"/>
      <c r="B44" s="11" t="str">
        <f>CONCATENATE("     ","Bank/card Fees                                    ")</f>
        <v xml:space="preserve">     Bank/card Fees                                    </v>
      </c>
      <c r="C44" s="11"/>
      <c r="D44" s="2">
        <f>SUM(OSRRefD22_3x_0)</f>
        <v>39.29</v>
      </c>
      <c r="E44" s="2"/>
      <c r="F44" s="5">
        <f t="shared" si="0"/>
        <v>1.5812774177969171E-3</v>
      </c>
      <c r="G44" s="2"/>
      <c r="H44" s="2">
        <f>SUM(OSRRefH22_3x_0)</f>
        <v>1250</v>
      </c>
      <c r="I44" s="2"/>
      <c r="J44" s="5">
        <f t="shared" si="1"/>
        <v>3.1435469268685241E-2</v>
      </c>
      <c r="K44" s="2"/>
      <c r="L44" s="2">
        <f t="shared" si="2"/>
        <v>-1210.71</v>
      </c>
      <c r="M44" s="2"/>
      <c r="N44" s="5">
        <f t="shared" si="3"/>
        <v>-0.96856799999999998</v>
      </c>
      <c r="O44" s="11"/>
      <c r="P44" s="2">
        <f>SUM(OSRRefP22_3x_0)</f>
        <v>4388.66</v>
      </c>
      <c r="Q44" s="2"/>
      <c r="R44" s="5">
        <f t="shared" si="4"/>
        <v>9.484954516670736E-3</v>
      </c>
      <c r="S44" s="2"/>
      <c r="T44" s="2">
        <f>SUM(OSRRefT22_3x_0)</f>
        <v>15000</v>
      </c>
      <c r="U44" s="2"/>
      <c r="V44" s="5">
        <f t="shared" si="5"/>
        <v>2.5039562508763848E-2</v>
      </c>
      <c r="W44" s="2"/>
      <c r="X44" s="2">
        <f t="shared" si="6"/>
        <v>-10611.34</v>
      </c>
      <c r="Y44" s="2"/>
      <c r="Z44" s="5">
        <f t="shared" si="7"/>
        <v>-0.70742266666666664</v>
      </c>
    </row>
    <row r="45" spans="1:26" s="70" customFormat="1" ht="15" hidden="1" customHeight="1" outlineLevel="2" x14ac:dyDescent="0.3">
      <c r="A45" s="21"/>
      <c r="B45" s="9" t="str">
        <f>CONCATENATE("          ","6381"," - ","BANK/CREDIT CARD FEES")</f>
        <v xml:space="preserve">          6381 - BANK/CREDIT CARD FEES</v>
      </c>
      <c r="C45" s="9"/>
      <c r="D45" s="6">
        <v>39.29</v>
      </c>
      <c r="E45" s="3"/>
      <c r="F45" s="7">
        <f t="shared" si="0"/>
        <v>1.5812774177969171E-3</v>
      </c>
      <c r="G45" s="3"/>
      <c r="H45" s="6">
        <v>1250</v>
      </c>
      <c r="I45" s="3"/>
      <c r="J45" s="7">
        <f t="shared" si="1"/>
        <v>3.1435469268685241E-2</v>
      </c>
      <c r="K45" s="3"/>
      <c r="L45" s="6">
        <f t="shared" si="2"/>
        <v>-1210.71</v>
      </c>
      <c r="M45" s="3"/>
      <c r="N45" s="7">
        <f t="shared" si="3"/>
        <v>-0.96856799999999998</v>
      </c>
      <c r="O45" s="9"/>
      <c r="P45" s="6">
        <v>4388.66</v>
      </c>
      <c r="Q45" s="3"/>
      <c r="R45" s="7">
        <f t="shared" si="4"/>
        <v>9.484954516670736E-3</v>
      </c>
      <c r="S45" s="3"/>
      <c r="T45" s="6">
        <v>15000</v>
      </c>
      <c r="U45" s="3"/>
      <c r="V45" s="7">
        <f t="shared" si="5"/>
        <v>2.5039562508763848E-2</v>
      </c>
      <c r="W45" s="3"/>
      <c r="X45" s="6">
        <f t="shared" si="6"/>
        <v>-10611.34</v>
      </c>
      <c r="Y45" s="3"/>
      <c r="Z45" s="7">
        <f t="shared" si="7"/>
        <v>-0.70742266666666664</v>
      </c>
    </row>
    <row r="46" spans="1:26" s="69" customFormat="1" ht="15" customHeight="1" outlineLevel="1" collapsed="1" x14ac:dyDescent="0.3">
      <c r="A46" s="20"/>
      <c r="B46" s="11" t="str">
        <f>CONCATENATE("     ","Employees' Appreciation                           ")</f>
        <v xml:space="preserve">     Employees' Appreciation                           </v>
      </c>
      <c r="C46" s="11"/>
      <c r="D46" s="2">
        <f>SUM(OSRRefD22_4x_0)</f>
        <v>0</v>
      </c>
      <c r="E46" s="2"/>
      <c r="F46" s="5">
        <f t="shared" si="0"/>
        <v>0</v>
      </c>
      <c r="G46" s="2"/>
      <c r="H46" s="2">
        <f>SUM(OSRRefH22_4x_0)</f>
        <v>20</v>
      </c>
      <c r="I46" s="2"/>
      <c r="J46" s="5">
        <f t="shared" si="1"/>
        <v>5.029675082989639E-4</v>
      </c>
      <c r="K46" s="2"/>
      <c r="L46" s="2">
        <f t="shared" si="2"/>
        <v>-20</v>
      </c>
      <c r="M46" s="2"/>
      <c r="N46" s="5">
        <f t="shared" si="3"/>
        <v>-1</v>
      </c>
      <c r="O46" s="11"/>
      <c r="P46" s="2">
        <f>SUM(OSRRefP22_4x_0)</f>
        <v>0</v>
      </c>
      <c r="Q46" s="2"/>
      <c r="R46" s="5">
        <f t="shared" si="4"/>
        <v>0</v>
      </c>
      <c r="S46" s="2"/>
      <c r="T46" s="2">
        <f>SUM(OSRRefT22_4x_0)</f>
        <v>240</v>
      </c>
      <c r="U46" s="2"/>
      <c r="V46" s="5">
        <f t="shared" si="5"/>
        <v>4.0063300014022156E-4</v>
      </c>
      <c r="W46" s="2"/>
      <c r="X46" s="2">
        <f t="shared" si="6"/>
        <v>-240</v>
      </c>
      <c r="Y46" s="2"/>
      <c r="Z46" s="5">
        <f t="shared" si="7"/>
        <v>-1</v>
      </c>
    </row>
    <row r="47" spans="1:26" s="70" customFormat="1" ht="15" hidden="1" customHeight="1" outlineLevel="2" x14ac:dyDescent="0.3">
      <c r="A47" s="21"/>
      <c r="B47" s="9" t="str">
        <f>CONCATENATE("          ","6277"," - ","EMPLOYEE APPRECIATION")</f>
        <v xml:space="preserve">          6277 - EMPLOYEE APPRECIATION</v>
      </c>
      <c r="C47" s="9"/>
      <c r="D47" s="6"/>
      <c r="E47" s="3"/>
      <c r="F47" s="7">
        <f t="shared" si="0"/>
        <v>0</v>
      </c>
      <c r="G47" s="3"/>
      <c r="H47" s="6">
        <v>20</v>
      </c>
      <c r="I47" s="3"/>
      <c r="J47" s="7">
        <f t="shared" si="1"/>
        <v>5.029675082989639E-4</v>
      </c>
      <c r="K47" s="3"/>
      <c r="L47" s="6">
        <f t="shared" si="2"/>
        <v>-20</v>
      </c>
      <c r="M47" s="3"/>
      <c r="N47" s="7">
        <f t="shared" si="3"/>
        <v>-1</v>
      </c>
      <c r="O47" s="9"/>
      <c r="P47" s="6"/>
      <c r="Q47" s="3"/>
      <c r="R47" s="7">
        <f t="shared" si="4"/>
        <v>0</v>
      </c>
      <c r="S47" s="3"/>
      <c r="T47" s="6">
        <v>240</v>
      </c>
      <c r="U47" s="3"/>
      <c r="V47" s="7">
        <f t="shared" si="5"/>
        <v>4.0063300014022156E-4</v>
      </c>
      <c r="W47" s="3"/>
      <c r="X47" s="6">
        <f t="shared" si="6"/>
        <v>-240</v>
      </c>
      <c r="Y47" s="3"/>
      <c r="Z47" s="7">
        <f t="shared" si="7"/>
        <v>-1</v>
      </c>
    </row>
    <row r="48" spans="1:26" s="69" customFormat="1" ht="15" customHeight="1" outlineLevel="1" collapsed="1" x14ac:dyDescent="0.3">
      <c r="A48" s="20"/>
      <c r="B48" s="11" t="str">
        <f>CONCATENATE("     ","Freight out/Postage                               ")</f>
        <v xml:space="preserve">     Freight out/Postage                               </v>
      </c>
      <c r="C48" s="11"/>
      <c r="D48" s="2">
        <f>SUM(OSRRefD22_5x_0)</f>
        <v>0</v>
      </c>
      <c r="E48" s="2"/>
      <c r="F48" s="5">
        <f t="shared" si="0"/>
        <v>0</v>
      </c>
      <c r="G48" s="2"/>
      <c r="H48" s="2">
        <f>SUM(OSRRefH22_5x_0)</f>
        <v>10</v>
      </c>
      <c r="I48" s="2"/>
      <c r="J48" s="5">
        <f t="shared" si="1"/>
        <v>2.5148375414948195E-4</v>
      </c>
      <c r="K48" s="2"/>
      <c r="L48" s="2">
        <f t="shared" si="2"/>
        <v>-10</v>
      </c>
      <c r="M48" s="2"/>
      <c r="N48" s="5">
        <f t="shared" si="3"/>
        <v>-1</v>
      </c>
      <c r="O48" s="11"/>
      <c r="P48" s="2">
        <f>SUM(OSRRefP22_5x_0)</f>
        <v>0.62</v>
      </c>
      <c r="Q48" s="2"/>
      <c r="R48" s="5">
        <f t="shared" si="4"/>
        <v>1.3399697858425708E-6</v>
      </c>
      <c r="S48" s="2"/>
      <c r="T48" s="2">
        <f>SUM(OSRRefT22_5x_0)</f>
        <v>120</v>
      </c>
      <c r="U48" s="2"/>
      <c r="V48" s="5">
        <f t="shared" si="5"/>
        <v>2.0031650007011078E-4</v>
      </c>
      <c r="W48" s="2"/>
      <c r="X48" s="2">
        <f t="shared" si="6"/>
        <v>-119.38</v>
      </c>
      <c r="Y48" s="2"/>
      <c r="Z48" s="5">
        <f t="shared" si="7"/>
        <v>-0.99483333333333335</v>
      </c>
    </row>
    <row r="49" spans="1:26" s="70" customFormat="1" ht="15" hidden="1" customHeight="1" outlineLevel="2" x14ac:dyDescent="0.3">
      <c r="A49" s="21"/>
      <c r="B49" s="9" t="str">
        <f>CONCATENATE("          ","6305"," - ","FREIGHT OUT")</f>
        <v xml:space="preserve">          6305 - FREIGHT OUT</v>
      </c>
      <c r="C49" s="9"/>
      <c r="D49" s="6"/>
      <c r="E49" s="3"/>
      <c r="F49" s="7">
        <f t="shared" si="0"/>
        <v>0</v>
      </c>
      <c r="G49" s="3"/>
      <c r="H49" s="6"/>
      <c r="I49" s="3"/>
      <c r="J49" s="7">
        <f t="shared" si="1"/>
        <v>0</v>
      </c>
      <c r="K49" s="3"/>
      <c r="L49" s="6">
        <f t="shared" si="2"/>
        <v>0</v>
      </c>
      <c r="M49" s="3"/>
      <c r="N49" s="7">
        <f t="shared" si="3"/>
        <v>0</v>
      </c>
      <c r="O49" s="9"/>
      <c r="P49" s="6">
        <v>0.62</v>
      </c>
      <c r="Q49" s="3"/>
      <c r="R49" s="7">
        <f t="shared" si="4"/>
        <v>1.3399697858425708E-6</v>
      </c>
      <c r="S49" s="3"/>
      <c r="T49" s="6"/>
      <c r="U49" s="3"/>
      <c r="V49" s="7">
        <f t="shared" si="5"/>
        <v>0</v>
      </c>
      <c r="W49" s="3"/>
      <c r="X49" s="6">
        <f t="shared" si="6"/>
        <v>0.62</v>
      </c>
      <c r="Y49" s="3"/>
      <c r="Z49" s="7">
        <f t="shared" si="7"/>
        <v>0</v>
      </c>
    </row>
    <row r="50" spans="1:26" s="70" customFormat="1" ht="15" hidden="1" customHeight="1" outlineLevel="2" x14ac:dyDescent="0.3">
      <c r="A50" s="21"/>
      <c r="B50" s="9" t="str">
        <f>CONCATENATE("          ","6307"," - ","POSTAGE")</f>
        <v xml:space="preserve">          6307 - POSTAGE</v>
      </c>
      <c r="C50" s="9"/>
      <c r="D50" s="6"/>
      <c r="E50" s="3"/>
      <c r="F50" s="7">
        <f t="shared" si="0"/>
        <v>0</v>
      </c>
      <c r="G50" s="3"/>
      <c r="H50" s="6">
        <v>10</v>
      </c>
      <c r="I50" s="3"/>
      <c r="J50" s="7">
        <f t="shared" si="1"/>
        <v>2.5148375414948195E-4</v>
      </c>
      <c r="K50" s="3"/>
      <c r="L50" s="6">
        <f t="shared" si="2"/>
        <v>-10</v>
      </c>
      <c r="M50" s="3"/>
      <c r="N50" s="7">
        <f t="shared" si="3"/>
        <v>-1</v>
      </c>
      <c r="O50" s="9"/>
      <c r="P50" s="6"/>
      <c r="Q50" s="3"/>
      <c r="R50" s="7">
        <f t="shared" si="4"/>
        <v>0</v>
      </c>
      <c r="S50" s="3"/>
      <c r="T50" s="6">
        <v>120</v>
      </c>
      <c r="U50" s="3"/>
      <c r="V50" s="7">
        <f t="shared" si="5"/>
        <v>2.0031650007011078E-4</v>
      </c>
      <c r="W50" s="3"/>
      <c r="X50" s="6">
        <f t="shared" si="6"/>
        <v>-120</v>
      </c>
      <c r="Y50" s="3"/>
      <c r="Z50" s="7">
        <f t="shared" si="7"/>
        <v>-1</v>
      </c>
    </row>
    <row r="51" spans="1:26" s="69" customFormat="1" ht="15" customHeight="1" outlineLevel="1" collapsed="1" x14ac:dyDescent="0.3">
      <c r="A51" s="20"/>
      <c r="B51" s="11" t="str">
        <f>CONCATENATE("     ","General                                           ")</f>
        <v xml:space="preserve">     General                                           </v>
      </c>
      <c r="C51" s="11"/>
      <c r="D51" s="2">
        <f>SUM(OSRRefD22_6x_0)</f>
        <v>0</v>
      </c>
      <c r="E51" s="2"/>
      <c r="F51" s="5">
        <f t="shared" ref="F51:F70" si="8">IF(D$12=0,0,D51/D$12)</f>
        <v>0</v>
      </c>
      <c r="G51" s="2"/>
      <c r="H51" s="2">
        <f>SUM(OSRRefH22_6x_0)</f>
        <v>50</v>
      </c>
      <c r="I51" s="2"/>
      <c r="J51" s="5">
        <f t="shared" ref="J51:J70" si="9">IF(H$12=0,0,H51/H$12)</f>
        <v>1.2574187707474096E-3</v>
      </c>
      <c r="K51" s="2"/>
      <c r="L51" s="2">
        <f t="shared" ref="L51:L70" si="10">+D51-H51</f>
        <v>-50</v>
      </c>
      <c r="M51" s="2"/>
      <c r="N51" s="5">
        <f t="shared" ref="N51:N70" si="11">IF(H51=0,0,L51/H51)</f>
        <v>-1</v>
      </c>
      <c r="O51" s="11"/>
      <c r="P51" s="2">
        <f>SUM(OSRRefP22_6x_0)</f>
        <v>0</v>
      </c>
      <c r="Q51" s="2"/>
      <c r="R51" s="5">
        <f t="shared" ref="R51:R70" si="12">IF(P$12=0,0,P51/P$12)</f>
        <v>0</v>
      </c>
      <c r="S51" s="2"/>
      <c r="T51" s="2">
        <f>SUM(OSRRefT22_6x_0)</f>
        <v>600</v>
      </c>
      <c r="U51" s="2"/>
      <c r="V51" s="5">
        <f t="shared" ref="V51:V70" si="13">IF(T$12=0,0,T51/T$12)</f>
        <v>1.001582500350554E-3</v>
      </c>
      <c r="W51" s="2"/>
      <c r="X51" s="2">
        <f t="shared" ref="X51:X70" si="14">+P51-T51</f>
        <v>-600</v>
      </c>
      <c r="Y51" s="2"/>
      <c r="Z51" s="5">
        <f t="shared" ref="Z51:Z70" si="15">IF(T51=0,0,X51/T51)</f>
        <v>-1</v>
      </c>
    </row>
    <row r="52" spans="1:26" s="70" customFormat="1" ht="15" hidden="1" customHeight="1" outlineLevel="2" x14ac:dyDescent="0.3">
      <c r="A52" s="21"/>
      <c r="B52" s="9" t="str">
        <f>CONCATENATE("          ","6279"," - ","GENERAL EXPENSE")</f>
        <v xml:space="preserve">          6279 - GENERAL EXPENSE</v>
      </c>
      <c r="C52" s="9"/>
      <c r="D52" s="6"/>
      <c r="E52" s="3"/>
      <c r="F52" s="7">
        <f t="shared" si="8"/>
        <v>0</v>
      </c>
      <c r="G52" s="3"/>
      <c r="H52" s="6">
        <v>50</v>
      </c>
      <c r="I52" s="3"/>
      <c r="J52" s="7">
        <f t="shared" si="9"/>
        <v>1.2574187707474096E-3</v>
      </c>
      <c r="K52" s="3"/>
      <c r="L52" s="6">
        <f t="shared" si="10"/>
        <v>-50</v>
      </c>
      <c r="M52" s="3"/>
      <c r="N52" s="7">
        <f t="shared" si="11"/>
        <v>-1</v>
      </c>
      <c r="O52" s="9"/>
      <c r="P52" s="6"/>
      <c r="Q52" s="3"/>
      <c r="R52" s="7">
        <f t="shared" si="12"/>
        <v>0</v>
      </c>
      <c r="S52" s="3"/>
      <c r="T52" s="6">
        <v>600</v>
      </c>
      <c r="U52" s="3"/>
      <c r="V52" s="7">
        <f t="shared" si="13"/>
        <v>1.001582500350554E-3</v>
      </c>
      <c r="W52" s="3"/>
      <c r="X52" s="6">
        <f t="shared" si="14"/>
        <v>-600</v>
      </c>
      <c r="Y52" s="3"/>
      <c r="Z52" s="7">
        <f t="shared" si="15"/>
        <v>-1</v>
      </c>
    </row>
    <row r="53" spans="1:26" s="69" customFormat="1" ht="15" customHeight="1" outlineLevel="1" collapsed="1" x14ac:dyDescent="0.3">
      <c r="A53" s="20"/>
      <c r="B53" s="11" t="str">
        <f>CONCATENATE("     ","Insurance                                         ")</f>
        <v xml:space="preserve">     Insurance                                         </v>
      </c>
      <c r="C53" s="11"/>
      <c r="D53" s="2">
        <f>SUM(OSRRefD22_7x_0)</f>
        <v>-12.25</v>
      </c>
      <c r="E53" s="2"/>
      <c r="F53" s="5">
        <f t="shared" si="8"/>
        <v>-4.9301726566587515E-4</v>
      </c>
      <c r="G53" s="2"/>
      <c r="H53" s="2">
        <f>SUM(OSRRefH22_7x_0)</f>
        <v>40</v>
      </c>
      <c r="I53" s="2"/>
      <c r="J53" s="5">
        <f t="shared" si="9"/>
        <v>1.0059350165979278E-3</v>
      </c>
      <c r="K53" s="2"/>
      <c r="L53" s="2">
        <f t="shared" si="10"/>
        <v>-52.25</v>
      </c>
      <c r="M53" s="2"/>
      <c r="N53" s="5">
        <f t="shared" si="11"/>
        <v>-1.3062499999999999</v>
      </c>
      <c r="O53" s="11"/>
      <c r="P53" s="2">
        <f>SUM(OSRRefP22_7x_0)</f>
        <v>421.48</v>
      </c>
      <c r="Q53" s="2"/>
      <c r="R53" s="5">
        <f t="shared" si="12"/>
        <v>9.1092010538213993E-4</v>
      </c>
      <c r="S53" s="2"/>
      <c r="T53" s="2">
        <f>SUM(OSRRefT22_7x_0)</f>
        <v>480</v>
      </c>
      <c r="U53" s="2"/>
      <c r="V53" s="5">
        <f t="shared" si="13"/>
        <v>8.0126600028044312E-4</v>
      </c>
      <c r="W53" s="2"/>
      <c r="X53" s="2">
        <f t="shared" si="14"/>
        <v>-58.519999999999982</v>
      </c>
      <c r="Y53" s="2"/>
      <c r="Z53" s="5">
        <f t="shared" si="15"/>
        <v>-0.12191666666666663</v>
      </c>
    </row>
    <row r="54" spans="1:26" s="70" customFormat="1" ht="15" hidden="1" customHeight="1" outlineLevel="2" x14ac:dyDescent="0.3">
      <c r="A54" s="21"/>
      <c r="B54" s="9" t="str">
        <f>CONCATENATE("          ","6314"," - ","LIABILITY INSURANCE")</f>
        <v xml:space="preserve">          6314 - LIABILITY INSURANCE</v>
      </c>
      <c r="C54" s="9"/>
      <c r="D54" s="6">
        <v>-12.25</v>
      </c>
      <c r="E54" s="3"/>
      <c r="F54" s="7">
        <f t="shared" si="8"/>
        <v>-4.9301726566587515E-4</v>
      </c>
      <c r="G54" s="3"/>
      <c r="H54" s="6">
        <v>40</v>
      </c>
      <c r="I54" s="3"/>
      <c r="J54" s="7">
        <f t="shared" si="9"/>
        <v>1.0059350165979278E-3</v>
      </c>
      <c r="K54" s="3"/>
      <c r="L54" s="6">
        <f t="shared" si="10"/>
        <v>-52.25</v>
      </c>
      <c r="M54" s="3"/>
      <c r="N54" s="7">
        <f t="shared" si="11"/>
        <v>-1.3062499999999999</v>
      </c>
      <c r="O54" s="9"/>
      <c r="P54" s="6">
        <v>421.48</v>
      </c>
      <c r="Q54" s="3"/>
      <c r="R54" s="7">
        <f t="shared" si="12"/>
        <v>9.1092010538213993E-4</v>
      </c>
      <c r="S54" s="3"/>
      <c r="T54" s="6">
        <v>480</v>
      </c>
      <c r="U54" s="3"/>
      <c r="V54" s="7">
        <f t="shared" si="13"/>
        <v>8.0126600028044312E-4</v>
      </c>
      <c r="W54" s="3"/>
      <c r="X54" s="6">
        <f t="shared" si="14"/>
        <v>-58.519999999999982</v>
      </c>
      <c r="Y54" s="3"/>
      <c r="Z54" s="7">
        <f t="shared" si="15"/>
        <v>-0.12191666666666663</v>
      </c>
    </row>
    <row r="55" spans="1:26" s="69" customFormat="1" ht="15" customHeight="1" outlineLevel="1" collapsed="1" x14ac:dyDescent="0.3">
      <c r="A55" s="20"/>
      <c r="B55" s="11" t="str">
        <f>CONCATENATE("     ","Rent                                              ")</f>
        <v xml:space="preserve">     Rent                                              </v>
      </c>
      <c r="C55" s="11"/>
      <c r="D55" s="2">
        <f>SUM(OSRRefD22_8x_0)</f>
        <v>0</v>
      </c>
      <c r="E55" s="2"/>
      <c r="F55" s="5">
        <f t="shared" si="8"/>
        <v>0</v>
      </c>
      <c r="G55" s="2"/>
      <c r="H55" s="2">
        <f>SUM(OSRRefH22_8x_0)</f>
        <v>800</v>
      </c>
      <c r="I55" s="2"/>
      <c r="J55" s="5">
        <f t="shared" si="9"/>
        <v>2.0118700331958554E-2</v>
      </c>
      <c r="K55" s="2"/>
      <c r="L55" s="2">
        <f t="shared" si="10"/>
        <v>-800</v>
      </c>
      <c r="M55" s="2"/>
      <c r="N55" s="5">
        <f t="shared" si="11"/>
        <v>-1</v>
      </c>
      <c r="O55" s="11"/>
      <c r="P55" s="2">
        <f>SUM(OSRRefP22_8x_0)</f>
        <v>8800</v>
      </c>
      <c r="Q55" s="2"/>
      <c r="R55" s="5">
        <f t="shared" si="12"/>
        <v>1.901892599260423E-2</v>
      </c>
      <c r="S55" s="2"/>
      <c r="T55" s="2">
        <f>SUM(OSRRefT22_8x_0)</f>
        <v>9600</v>
      </c>
      <c r="U55" s="2"/>
      <c r="V55" s="5">
        <f t="shared" si="13"/>
        <v>1.6025320005608863E-2</v>
      </c>
      <c r="W55" s="2"/>
      <c r="X55" s="2">
        <f t="shared" si="14"/>
        <v>-800</v>
      </c>
      <c r="Y55" s="2"/>
      <c r="Z55" s="5">
        <f t="shared" si="15"/>
        <v>-8.3333333333333329E-2</v>
      </c>
    </row>
    <row r="56" spans="1:26" s="70" customFormat="1" ht="15" hidden="1" customHeight="1" outlineLevel="2" x14ac:dyDescent="0.3">
      <c r="A56" s="21"/>
      <c r="B56" s="9" t="str">
        <f>CONCATENATE("          ","6273"," - ","RENT")</f>
        <v xml:space="preserve">          6273 - RENT</v>
      </c>
      <c r="C56" s="9"/>
      <c r="D56" s="6">
        <v>0</v>
      </c>
      <c r="E56" s="3"/>
      <c r="F56" s="7">
        <f t="shared" si="8"/>
        <v>0</v>
      </c>
      <c r="G56" s="3"/>
      <c r="H56" s="6">
        <v>800</v>
      </c>
      <c r="I56" s="3"/>
      <c r="J56" s="7">
        <f t="shared" si="9"/>
        <v>2.0118700331958554E-2</v>
      </c>
      <c r="K56" s="3"/>
      <c r="L56" s="6">
        <f t="shared" si="10"/>
        <v>-800</v>
      </c>
      <c r="M56" s="3"/>
      <c r="N56" s="7">
        <f t="shared" si="11"/>
        <v>-1</v>
      </c>
      <c r="O56" s="9"/>
      <c r="P56" s="6">
        <v>8800</v>
      </c>
      <c r="Q56" s="3"/>
      <c r="R56" s="7">
        <f t="shared" si="12"/>
        <v>1.901892599260423E-2</v>
      </c>
      <c r="S56" s="3"/>
      <c r="T56" s="6">
        <v>9600</v>
      </c>
      <c r="U56" s="3"/>
      <c r="V56" s="7">
        <f t="shared" si="13"/>
        <v>1.6025320005608863E-2</v>
      </c>
      <c r="W56" s="3"/>
      <c r="X56" s="6">
        <f t="shared" si="14"/>
        <v>-800</v>
      </c>
      <c r="Y56" s="3"/>
      <c r="Z56" s="7">
        <f t="shared" si="15"/>
        <v>-8.3333333333333329E-2</v>
      </c>
    </row>
    <row r="57" spans="1:26" s="69" customFormat="1" ht="15" customHeight="1" outlineLevel="1" collapsed="1" x14ac:dyDescent="0.3">
      <c r="A57" s="20"/>
      <c r="B57" s="11" t="str">
        <f>CONCATENATE("     ","Repair and Maintenance                            ")</f>
        <v xml:space="preserve">     Repair and Maintenance                            </v>
      </c>
      <c r="C57" s="11"/>
      <c r="D57" s="2">
        <f>SUM(OSRRefD22_9x_0)</f>
        <v>0</v>
      </c>
      <c r="E57" s="2"/>
      <c r="F57" s="5">
        <f t="shared" si="8"/>
        <v>0</v>
      </c>
      <c r="G57" s="2"/>
      <c r="H57" s="2">
        <f>SUM(OSRRefH22_9x_0)</f>
        <v>3200</v>
      </c>
      <c r="I57" s="2"/>
      <c r="J57" s="5">
        <f t="shared" si="9"/>
        <v>8.0474801327834217E-2</v>
      </c>
      <c r="K57" s="2"/>
      <c r="L57" s="2">
        <f t="shared" si="10"/>
        <v>-3200</v>
      </c>
      <c r="M57" s="2"/>
      <c r="N57" s="5">
        <f t="shared" si="11"/>
        <v>-1</v>
      </c>
      <c r="O57" s="11"/>
      <c r="P57" s="2">
        <f>SUM(OSRRefP22_9x_0)</f>
        <v>131139.97</v>
      </c>
      <c r="Q57" s="2"/>
      <c r="R57" s="5">
        <f t="shared" si="12"/>
        <v>0.28342515728435674</v>
      </c>
      <c r="S57" s="2"/>
      <c r="T57" s="2">
        <f>SUM(OSRRefT22_9x_0)</f>
        <v>163400</v>
      </c>
      <c r="U57" s="2"/>
      <c r="V57" s="5">
        <f t="shared" si="13"/>
        <v>0.27276430092880083</v>
      </c>
      <c r="W57" s="2"/>
      <c r="X57" s="2">
        <f t="shared" si="14"/>
        <v>-32260.03</v>
      </c>
      <c r="Y57" s="2"/>
      <c r="Z57" s="5">
        <f t="shared" si="15"/>
        <v>-0.19742980416156669</v>
      </c>
    </row>
    <row r="58" spans="1:26" s="70" customFormat="1" ht="15" hidden="1" customHeight="1" outlineLevel="2" x14ac:dyDescent="0.3">
      <c r="A58" s="21"/>
      <c r="B58" s="9" t="str">
        <f>CONCATENATE("          ","6371"," - ","COMPUTER SOFTWARE MAINTENANCE")</f>
        <v xml:space="preserve">          6371 - COMPUTER SOFTWARE MAINTENANCE</v>
      </c>
      <c r="C58" s="9"/>
      <c r="D58" s="6"/>
      <c r="E58" s="3"/>
      <c r="F58" s="7">
        <f t="shared" si="8"/>
        <v>0</v>
      </c>
      <c r="G58" s="3"/>
      <c r="H58" s="6"/>
      <c r="I58" s="3"/>
      <c r="J58" s="7">
        <f t="shared" si="9"/>
        <v>0</v>
      </c>
      <c r="K58" s="3"/>
      <c r="L58" s="6">
        <f t="shared" si="10"/>
        <v>0</v>
      </c>
      <c r="M58" s="3"/>
      <c r="N58" s="7">
        <f t="shared" si="11"/>
        <v>0</v>
      </c>
      <c r="O58" s="9"/>
      <c r="P58" s="6">
        <v>7583.7</v>
      </c>
      <c r="Q58" s="3"/>
      <c r="R58" s="7">
        <f t="shared" si="12"/>
        <v>1.6390207846603718E-2</v>
      </c>
      <c r="S58" s="3"/>
      <c r="T58" s="6">
        <v>125000</v>
      </c>
      <c r="U58" s="3"/>
      <c r="V58" s="7">
        <f t="shared" si="13"/>
        <v>0.2086630209063654</v>
      </c>
      <c r="W58" s="3"/>
      <c r="X58" s="6">
        <f t="shared" si="14"/>
        <v>-117416.3</v>
      </c>
      <c r="Y58" s="3"/>
      <c r="Z58" s="7">
        <f t="shared" si="15"/>
        <v>-0.93933040000000001</v>
      </c>
    </row>
    <row r="59" spans="1:26" s="70" customFormat="1" ht="15" hidden="1" customHeight="1" outlineLevel="2" x14ac:dyDescent="0.3">
      <c r="A59" s="21"/>
      <c r="B59" s="9" t="str">
        <f>CONCATENATE("          ","6372"," - ","COMPUTER HARDWARE MAINTENANCE")</f>
        <v xml:space="preserve">          6372 - COMPUTER HARDWARE MAINTENANCE</v>
      </c>
      <c r="C59" s="9"/>
      <c r="D59" s="6"/>
      <c r="E59" s="3"/>
      <c r="F59" s="7">
        <f t="shared" si="8"/>
        <v>0</v>
      </c>
      <c r="G59" s="3"/>
      <c r="H59" s="6">
        <v>3200</v>
      </c>
      <c r="I59" s="3"/>
      <c r="J59" s="7">
        <f t="shared" si="9"/>
        <v>8.0474801327834217E-2</v>
      </c>
      <c r="K59" s="3"/>
      <c r="L59" s="6">
        <f t="shared" si="10"/>
        <v>-3200</v>
      </c>
      <c r="M59" s="3"/>
      <c r="N59" s="7">
        <f t="shared" si="11"/>
        <v>-1</v>
      </c>
      <c r="O59" s="9"/>
      <c r="P59" s="6">
        <v>1555.65</v>
      </c>
      <c r="Q59" s="3"/>
      <c r="R59" s="7">
        <f t="shared" si="12"/>
        <v>3.3621354795903154E-3</v>
      </c>
      <c r="S59" s="3"/>
      <c r="T59" s="6">
        <v>38400</v>
      </c>
      <c r="U59" s="3"/>
      <c r="V59" s="7">
        <f t="shared" si="13"/>
        <v>6.4101280022435453E-2</v>
      </c>
      <c r="W59" s="3"/>
      <c r="X59" s="6">
        <f t="shared" si="14"/>
        <v>-36844.35</v>
      </c>
      <c r="Y59" s="3"/>
      <c r="Z59" s="7">
        <f t="shared" si="15"/>
        <v>-0.95948828124999996</v>
      </c>
    </row>
    <row r="60" spans="1:26" s="70" customFormat="1" ht="15" hidden="1" customHeight="1" outlineLevel="2" x14ac:dyDescent="0.3">
      <c r="A60" s="21"/>
      <c r="B60" s="9" t="str">
        <f>CONCATENATE("          ","6373"," - ","MAINTENANCE CONTRACTS")</f>
        <v xml:space="preserve">          6373 - MAINTENANCE CONTRACTS</v>
      </c>
      <c r="C60" s="9"/>
      <c r="D60" s="6"/>
      <c r="E60" s="3"/>
      <c r="F60" s="7">
        <f t="shared" si="8"/>
        <v>0</v>
      </c>
      <c r="G60" s="3"/>
      <c r="H60" s="6"/>
      <c r="I60" s="3"/>
      <c r="J60" s="7">
        <f t="shared" si="9"/>
        <v>0</v>
      </c>
      <c r="K60" s="3"/>
      <c r="L60" s="6">
        <f t="shared" si="10"/>
        <v>0</v>
      </c>
      <c r="M60" s="3"/>
      <c r="N60" s="7">
        <f t="shared" si="11"/>
        <v>0</v>
      </c>
      <c r="O60" s="9"/>
      <c r="P60" s="6">
        <v>122000.62</v>
      </c>
      <c r="Q60" s="3"/>
      <c r="R60" s="7">
        <f t="shared" si="12"/>
        <v>0.26367281395816267</v>
      </c>
      <c r="S60" s="3"/>
      <c r="T60" s="6"/>
      <c r="U60" s="3"/>
      <c r="V60" s="7">
        <f t="shared" si="13"/>
        <v>0</v>
      </c>
      <c r="W60" s="3"/>
      <c r="X60" s="6">
        <f t="shared" si="14"/>
        <v>122000.62</v>
      </c>
      <c r="Y60" s="3"/>
      <c r="Z60" s="7">
        <f t="shared" si="15"/>
        <v>0</v>
      </c>
    </row>
    <row r="61" spans="1:26" s="69" customFormat="1" ht="15" customHeight="1" outlineLevel="1" collapsed="1" x14ac:dyDescent="0.3">
      <c r="A61" s="20"/>
      <c r="B61" s="11" t="str">
        <f>CONCATENATE("     ","Subscriptions &amp; Dues                              ")</f>
        <v xml:space="preserve">     Subscriptions &amp; Dues                              </v>
      </c>
      <c r="C61" s="11"/>
      <c r="D61" s="2">
        <f>SUM(OSRRefD22_10x_0)</f>
        <v>0</v>
      </c>
      <c r="E61" s="2"/>
      <c r="F61" s="5">
        <f t="shared" si="8"/>
        <v>0</v>
      </c>
      <c r="G61" s="2"/>
      <c r="H61" s="2">
        <f>SUM(OSRRefH22_10x_0)</f>
        <v>85</v>
      </c>
      <c r="I61" s="2"/>
      <c r="J61" s="5">
        <f t="shared" si="9"/>
        <v>2.1376119102705965E-3</v>
      </c>
      <c r="K61" s="2"/>
      <c r="L61" s="2">
        <f t="shared" si="10"/>
        <v>-85</v>
      </c>
      <c r="M61" s="2"/>
      <c r="N61" s="5">
        <f t="shared" si="11"/>
        <v>-1</v>
      </c>
      <c r="O61" s="11"/>
      <c r="P61" s="2">
        <f>SUM(OSRRefP22_10x_0)</f>
        <v>935</v>
      </c>
      <c r="Q61" s="2"/>
      <c r="R61" s="5">
        <f t="shared" si="12"/>
        <v>2.0207608867141994E-3</v>
      </c>
      <c r="S61" s="2"/>
      <c r="T61" s="2">
        <f>SUM(OSRRefT22_10x_0)</f>
        <v>1020</v>
      </c>
      <c r="U61" s="2"/>
      <c r="V61" s="5">
        <f t="shared" si="13"/>
        <v>1.7026902505959415E-3</v>
      </c>
      <c r="W61" s="2"/>
      <c r="X61" s="2">
        <f t="shared" si="14"/>
        <v>-85</v>
      </c>
      <c r="Y61" s="2"/>
      <c r="Z61" s="5">
        <f t="shared" si="15"/>
        <v>-8.3333333333333329E-2</v>
      </c>
    </row>
    <row r="62" spans="1:26" s="70" customFormat="1" ht="15" hidden="1" customHeight="1" outlineLevel="2" x14ac:dyDescent="0.3">
      <c r="A62" s="21"/>
      <c r="B62" s="9" t="str">
        <f>CONCATENATE("          ","6258"," - ","MEMBERSHIP DUES")</f>
        <v xml:space="preserve">          6258 - MEMBERSHIP DUES</v>
      </c>
      <c r="C62" s="9"/>
      <c r="D62" s="6"/>
      <c r="E62" s="3"/>
      <c r="F62" s="7">
        <f t="shared" si="8"/>
        <v>0</v>
      </c>
      <c r="G62" s="3"/>
      <c r="H62" s="6">
        <v>85</v>
      </c>
      <c r="I62" s="3"/>
      <c r="J62" s="7">
        <f t="shared" si="9"/>
        <v>2.1376119102705965E-3</v>
      </c>
      <c r="K62" s="3"/>
      <c r="L62" s="6">
        <f t="shared" si="10"/>
        <v>-85</v>
      </c>
      <c r="M62" s="3"/>
      <c r="N62" s="7">
        <f t="shared" si="11"/>
        <v>-1</v>
      </c>
      <c r="O62" s="9"/>
      <c r="P62" s="6">
        <v>935</v>
      </c>
      <c r="Q62" s="3"/>
      <c r="R62" s="7">
        <f t="shared" si="12"/>
        <v>2.0207608867141994E-3</v>
      </c>
      <c r="S62" s="3"/>
      <c r="T62" s="6">
        <v>1020</v>
      </c>
      <c r="U62" s="3"/>
      <c r="V62" s="7">
        <f t="shared" si="13"/>
        <v>1.7026902505959415E-3</v>
      </c>
      <c r="W62" s="3"/>
      <c r="X62" s="6">
        <f t="shared" si="14"/>
        <v>-85</v>
      </c>
      <c r="Y62" s="3"/>
      <c r="Z62" s="7">
        <f t="shared" si="15"/>
        <v>-8.3333333333333329E-2</v>
      </c>
    </row>
    <row r="63" spans="1:26" s="69" customFormat="1" ht="15" customHeight="1" outlineLevel="1" collapsed="1" x14ac:dyDescent="0.3">
      <c r="A63" s="20"/>
      <c r="B63" s="11" t="str">
        <f>CONCATENATE("     ","Supplies                                          ")</f>
        <v xml:space="preserve">     Supplies                                          </v>
      </c>
      <c r="C63" s="11"/>
      <c r="D63" s="2">
        <f>SUM(OSRRefD22_11x_0)</f>
        <v>2371.86</v>
      </c>
      <c r="E63" s="2"/>
      <c r="F63" s="5">
        <f t="shared" si="8"/>
        <v>9.5458606672837773E-2</v>
      </c>
      <c r="G63" s="2"/>
      <c r="H63" s="2">
        <f>SUM(OSRRefH22_11x_0)</f>
        <v>5800</v>
      </c>
      <c r="I63" s="2"/>
      <c r="J63" s="5">
        <f t="shared" si="9"/>
        <v>0.14586057740669953</v>
      </c>
      <c r="K63" s="2"/>
      <c r="L63" s="2">
        <f t="shared" si="10"/>
        <v>-3428.14</v>
      </c>
      <c r="M63" s="2"/>
      <c r="N63" s="5">
        <f t="shared" si="11"/>
        <v>-0.5910586206896552</v>
      </c>
      <c r="O63" s="11"/>
      <c r="P63" s="2">
        <f>SUM(OSRRefP22_11x_0)</f>
        <v>48738.77</v>
      </c>
      <c r="Q63" s="2"/>
      <c r="R63" s="5">
        <f t="shared" si="12"/>
        <v>0.10533625677279082</v>
      </c>
      <c r="S63" s="2"/>
      <c r="T63" s="2">
        <f>SUM(OSRRefT22_11x_0)</f>
        <v>69600</v>
      </c>
      <c r="U63" s="2"/>
      <c r="V63" s="5">
        <f t="shared" si="13"/>
        <v>0.11618357004066425</v>
      </c>
      <c r="W63" s="2"/>
      <c r="X63" s="2">
        <f t="shared" si="14"/>
        <v>-20861.230000000003</v>
      </c>
      <c r="Y63" s="2"/>
      <c r="Z63" s="5">
        <f t="shared" si="15"/>
        <v>-0.29973031609195405</v>
      </c>
    </row>
    <row r="64" spans="1:26" s="70" customFormat="1" ht="15" hidden="1" customHeight="1" outlineLevel="2" x14ac:dyDescent="0.3">
      <c r="A64" s="21"/>
      <c r="B64" s="9" t="str">
        <f>CONCATENATE("          ","6234"," - ","EXPENDABLE SUPPLIES &amp; EQUIPMEN")</f>
        <v xml:space="preserve">          6234 - EXPENDABLE SUPPLIES &amp; EQUIPMEN</v>
      </c>
      <c r="C64" s="9"/>
      <c r="D64" s="6"/>
      <c r="E64" s="3"/>
      <c r="F64" s="7">
        <f t="shared" si="8"/>
        <v>0</v>
      </c>
      <c r="G64" s="3"/>
      <c r="H64" s="6">
        <v>5800</v>
      </c>
      <c r="I64" s="3"/>
      <c r="J64" s="7">
        <f t="shared" si="9"/>
        <v>0.14586057740669953</v>
      </c>
      <c r="K64" s="3"/>
      <c r="L64" s="6">
        <f t="shared" si="10"/>
        <v>-5800</v>
      </c>
      <c r="M64" s="3"/>
      <c r="N64" s="7">
        <f t="shared" si="11"/>
        <v>-1</v>
      </c>
      <c r="O64" s="9"/>
      <c r="P64" s="6"/>
      <c r="Q64" s="3"/>
      <c r="R64" s="7">
        <f t="shared" si="12"/>
        <v>0</v>
      </c>
      <c r="S64" s="3"/>
      <c r="T64" s="6">
        <v>69600</v>
      </c>
      <c r="U64" s="3"/>
      <c r="V64" s="7">
        <f t="shared" si="13"/>
        <v>0.11618357004066425</v>
      </c>
      <c r="W64" s="3"/>
      <c r="X64" s="6">
        <f t="shared" si="14"/>
        <v>-69600</v>
      </c>
      <c r="Y64" s="3"/>
      <c r="Z64" s="7">
        <f t="shared" si="15"/>
        <v>-1</v>
      </c>
    </row>
    <row r="65" spans="1:26" s="70" customFormat="1" ht="15" hidden="1" customHeight="1" outlineLevel="2" x14ac:dyDescent="0.3">
      <c r="A65" s="21"/>
      <c r="B65" s="9" t="str">
        <f>CONCATENATE("          ","6241"," - ","OFFICE EXPENSE")</f>
        <v xml:space="preserve">          6241 - OFFICE EXPENSE</v>
      </c>
      <c r="C65" s="9"/>
      <c r="D65" s="6">
        <v>2371.86</v>
      </c>
      <c r="E65" s="3"/>
      <c r="F65" s="7">
        <f t="shared" si="8"/>
        <v>9.5458606672837773E-2</v>
      </c>
      <c r="G65" s="3"/>
      <c r="H65" s="6"/>
      <c r="I65" s="3"/>
      <c r="J65" s="7">
        <f t="shared" si="9"/>
        <v>0</v>
      </c>
      <c r="K65" s="3"/>
      <c r="L65" s="6">
        <f t="shared" si="10"/>
        <v>2371.86</v>
      </c>
      <c r="M65" s="3"/>
      <c r="N65" s="7">
        <f t="shared" si="11"/>
        <v>0</v>
      </c>
      <c r="O65" s="9"/>
      <c r="P65" s="6">
        <v>48713.42</v>
      </c>
      <c r="Q65" s="3"/>
      <c r="R65" s="7">
        <f t="shared" si="12"/>
        <v>0.10528146929848259</v>
      </c>
      <c r="S65" s="3"/>
      <c r="T65" s="6"/>
      <c r="U65" s="3"/>
      <c r="V65" s="7">
        <f t="shared" si="13"/>
        <v>0</v>
      </c>
      <c r="W65" s="3"/>
      <c r="X65" s="6">
        <f t="shared" si="14"/>
        <v>48713.42</v>
      </c>
      <c r="Y65" s="3"/>
      <c r="Z65" s="7">
        <f t="shared" si="15"/>
        <v>0</v>
      </c>
    </row>
    <row r="66" spans="1:26" s="70" customFormat="1" ht="15" hidden="1" customHeight="1" outlineLevel="2" x14ac:dyDescent="0.3">
      <c r="A66" s="21"/>
      <c r="B66" s="9" t="str">
        <f>CONCATENATE("          ","6247"," - ","STORE SUPPLIES")</f>
        <v xml:space="preserve">          6247 - STORE SUPPLIES</v>
      </c>
      <c r="C66" s="9"/>
      <c r="D66" s="6"/>
      <c r="E66" s="3"/>
      <c r="F66" s="7">
        <f t="shared" si="8"/>
        <v>0</v>
      </c>
      <c r="G66" s="3"/>
      <c r="H66" s="6"/>
      <c r="I66" s="3"/>
      <c r="J66" s="7">
        <f t="shared" si="9"/>
        <v>0</v>
      </c>
      <c r="K66" s="3"/>
      <c r="L66" s="6">
        <f t="shared" si="10"/>
        <v>0</v>
      </c>
      <c r="M66" s="3"/>
      <c r="N66" s="7">
        <f t="shared" si="11"/>
        <v>0</v>
      </c>
      <c r="O66" s="9"/>
      <c r="P66" s="6">
        <v>25.35</v>
      </c>
      <c r="Q66" s="3"/>
      <c r="R66" s="7">
        <f t="shared" si="12"/>
        <v>5.4787474308240601E-5</v>
      </c>
      <c r="S66" s="3"/>
      <c r="T66" s="6"/>
      <c r="U66" s="3"/>
      <c r="V66" s="7">
        <f t="shared" si="13"/>
        <v>0</v>
      </c>
      <c r="W66" s="3"/>
      <c r="X66" s="6">
        <f t="shared" si="14"/>
        <v>25.35</v>
      </c>
      <c r="Y66" s="3"/>
      <c r="Z66" s="7">
        <f t="shared" si="15"/>
        <v>0</v>
      </c>
    </row>
    <row r="67" spans="1:26" s="69" customFormat="1" ht="15" customHeight="1" outlineLevel="1" collapsed="1" x14ac:dyDescent="0.3">
      <c r="A67" s="20"/>
      <c r="B67" s="11" t="str">
        <f>CONCATENATE("     ","Telephone/Data Lines                              ")</f>
        <v xml:space="preserve">     Telephone/Data Lines                              </v>
      </c>
      <c r="C67" s="11"/>
      <c r="D67" s="2">
        <f>SUM(OSRRefD22_12x_0)</f>
        <v>42</v>
      </c>
      <c r="E67" s="2"/>
      <c r="F67" s="5">
        <f t="shared" si="8"/>
        <v>1.6903449108544291E-3</v>
      </c>
      <c r="G67" s="2"/>
      <c r="H67" s="2">
        <f>SUM(OSRRefH22_12x_0)</f>
        <v>350</v>
      </c>
      <c r="I67" s="2"/>
      <c r="J67" s="5">
        <f t="shared" si="9"/>
        <v>8.8019313952318688E-3</v>
      </c>
      <c r="K67" s="2"/>
      <c r="L67" s="2">
        <f t="shared" si="10"/>
        <v>-308</v>
      </c>
      <c r="M67" s="2"/>
      <c r="N67" s="5">
        <f t="shared" si="11"/>
        <v>-0.88</v>
      </c>
      <c r="O67" s="11"/>
      <c r="P67" s="2">
        <f>SUM(OSRRefP22_12x_0)</f>
        <v>506.49</v>
      </c>
      <c r="Q67" s="2"/>
      <c r="R67" s="5">
        <f t="shared" si="12"/>
        <v>1.0946472529538771E-3</v>
      </c>
      <c r="S67" s="2"/>
      <c r="T67" s="2">
        <f>SUM(OSRRefT22_12x_0)</f>
        <v>4200</v>
      </c>
      <c r="U67" s="2"/>
      <c r="V67" s="5">
        <f t="shared" si="13"/>
        <v>7.0110775024538772E-3</v>
      </c>
      <c r="W67" s="2"/>
      <c r="X67" s="2">
        <f t="shared" si="14"/>
        <v>-3693.51</v>
      </c>
      <c r="Y67" s="2"/>
      <c r="Z67" s="5">
        <f t="shared" si="15"/>
        <v>-0.87940714285714294</v>
      </c>
    </row>
    <row r="68" spans="1:26" s="70" customFormat="1" ht="15" hidden="1" customHeight="1" outlineLevel="2" x14ac:dyDescent="0.3">
      <c r="A68" s="21"/>
      <c r="B68" s="9" t="str">
        <f>CONCATENATE("          ","6309"," - ","TELEPHONE")</f>
        <v xml:space="preserve">          6309 - TELEPHONE</v>
      </c>
      <c r="C68" s="9"/>
      <c r="D68" s="6">
        <v>42</v>
      </c>
      <c r="E68" s="3"/>
      <c r="F68" s="7">
        <f t="shared" si="8"/>
        <v>1.6903449108544291E-3</v>
      </c>
      <c r="G68" s="3"/>
      <c r="H68" s="6">
        <v>350</v>
      </c>
      <c r="I68" s="3"/>
      <c r="J68" s="7">
        <f t="shared" si="9"/>
        <v>8.8019313952318688E-3</v>
      </c>
      <c r="K68" s="3"/>
      <c r="L68" s="6">
        <f t="shared" si="10"/>
        <v>-308</v>
      </c>
      <c r="M68" s="3"/>
      <c r="N68" s="7">
        <f t="shared" si="11"/>
        <v>-0.88</v>
      </c>
      <c r="O68" s="9"/>
      <c r="P68" s="6">
        <v>506.49</v>
      </c>
      <c r="Q68" s="3"/>
      <c r="R68" s="7">
        <f t="shared" si="12"/>
        <v>1.0946472529538771E-3</v>
      </c>
      <c r="S68" s="3"/>
      <c r="T68" s="6">
        <v>4200</v>
      </c>
      <c r="U68" s="3"/>
      <c r="V68" s="7">
        <f t="shared" si="13"/>
        <v>7.0110775024538772E-3</v>
      </c>
      <c r="W68" s="3"/>
      <c r="X68" s="6">
        <f t="shared" si="14"/>
        <v>-3693.51</v>
      </c>
      <c r="Y68" s="3"/>
      <c r="Z68" s="7">
        <f t="shared" si="15"/>
        <v>-0.87940714285714294</v>
      </c>
    </row>
    <row r="69" spans="1:26" s="69" customFormat="1" ht="15" customHeight="1" outlineLevel="1" collapsed="1" x14ac:dyDescent="0.3">
      <c r="A69" s="20"/>
      <c r="B69" s="11" t="str">
        <f>CONCATENATE("     ","Training                                          ")</f>
        <v xml:space="preserve">     Training                                          </v>
      </c>
      <c r="C69" s="11"/>
      <c r="D69" s="2">
        <f>SUM(OSRRefD22_13x_0)</f>
        <v>0</v>
      </c>
      <c r="E69" s="2"/>
      <c r="F69" s="5">
        <f t="shared" si="8"/>
        <v>0</v>
      </c>
      <c r="G69" s="2"/>
      <c r="H69" s="2">
        <f>SUM(OSRRefH22_13x_0)</f>
        <v>0</v>
      </c>
      <c r="I69" s="2"/>
      <c r="J69" s="5">
        <f t="shared" si="9"/>
        <v>0</v>
      </c>
      <c r="K69" s="2"/>
      <c r="L69" s="2">
        <f t="shared" si="10"/>
        <v>0</v>
      </c>
      <c r="M69" s="2"/>
      <c r="N69" s="5">
        <f t="shared" si="11"/>
        <v>0</v>
      </c>
      <c r="O69" s="11"/>
      <c r="P69" s="2">
        <f>SUM(OSRRefP22_13x_0)</f>
        <v>2000</v>
      </c>
      <c r="Q69" s="2"/>
      <c r="R69" s="5">
        <f t="shared" si="12"/>
        <v>4.3224831801373254E-3</v>
      </c>
      <c r="S69" s="2"/>
      <c r="T69" s="2">
        <f>SUM(OSRRefT22_13x_0)</f>
        <v>4500</v>
      </c>
      <c r="U69" s="2"/>
      <c r="V69" s="5">
        <f t="shared" si="13"/>
        <v>7.511868752629154E-3</v>
      </c>
      <c r="W69" s="2"/>
      <c r="X69" s="2">
        <f t="shared" si="14"/>
        <v>-2500</v>
      </c>
      <c r="Y69" s="2"/>
      <c r="Z69" s="5">
        <f t="shared" si="15"/>
        <v>-0.55555555555555558</v>
      </c>
    </row>
    <row r="70" spans="1:26" s="70" customFormat="1" ht="15" hidden="1" customHeight="1" outlineLevel="2" x14ac:dyDescent="0.3">
      <c r="A70" s="21"/>
      <c r="B70" s="9" t="str">
        <f>CONCATENATE("          ","6376"," - ","TRAINING")</f>
        <v xml:space="preserve">          6376 - TRAINING</v>
      </c>
      <c r="C70" s="9"/>
      <c r="D70" s="6"/>
      <c r="E70" s="3"/>
      <c r="F70" s="7">
        <f t="shared" si="8"/>
        <v>0</v>
      </c>
      <c r="G70" s="3"/>
      <c r="H70" s="6"/>
      <c r="I70" s="3"/>
      <c r="J70" s="7">
        <f t="shared" si="9"/>
        <v>0</v>
      </c>
      <c r="K70" s="3"/>
      <c r="L70" s="6">
        <f t="shared" si="10"/>
        <v>0</v>
      </c>
      <c r="M70" s="3"/>
      <c r="N70" s="7">
        <f t="shared" si="11"/>
        <v>0</v>
      </c>
      <c r="O70" s="9"/>
      <c r="P70" s="6">
        <v>2000</v>
      </c>
      <c r="Q70" s="3"/>
      <c r="R70" s="7">
        <f t="shared" si="12"/>
        <v>4.3224831801373254E-3</v>
      </c>
      <c r="S70" s="3"/>
      <c r="T70" s="6">
        <v>4500</v>
      </c>
      <c r="U70" s="3"/>
      <c r="V70" s="7">
        <f t="shared" si="13"/>
        <v>7.511868752629154E-3</v>
      </c>
      <c r="W70" s="3"/>
      <c r="X70" s="6">
        <f t="shared" si="14"/>
        <v>-2500</v>
      </c>
      <c r="Y70" s="3"/>
      <c r="Z70" s="7">
        <f t="shared" si="15"/>
        <v>-0.55555555555555558</v>
      </c>
    </row>
    <row r="71" spans="1:26" s="65" customFormat="1" ht="15" customHeight="1" x14ac:dyDescent="0.3">
      <c r="A71" s="36"/>
      <c r="B71" s="36"/>
      <c r="C71" s="36"/>
      <c r="D71" s="2"/>
      <c r="E71" s="2"/>
      <c r="F71" s="5"/>
      <c r="G71" s="2"/>
      <c r="H71" s="2"/>
      <c r="I71" s="2"/>
      <c r="J71" s="5"/>
      <c r="K71" s="2"/>
      <c r="L71" s="2"/>
      <c r="M71" s="2"/>
      <c r="N71" s="5"/>
      <c r="O71" s="36"/>
      <c r="P71" s="2"/>
      <c r="Q71" s="2"/>
      <c r="R71" s="5"/>
      <c r="S71" s="2"/>
      <c r="T71" s="2"/>
      <c r="U71" s="2"/>
      <c r="V71" s="5"/>
      <c r="W71" s="2"/>
      <c r="X71" s="2"/>
      <c r="Y71" s="2"/>
      <c r="Z71" s="5"/>
    </row>
    <row r="72" spans="1:26" s="63" customFormat="1" ht="15" customHeight="1" collapsed="1" x14ac:dyDescent="0.3">
      <c r="A72" s="13"/>
      <c r="B72" s="28" t="s">
        <v>291</v>
      </c>
      <c r="C72" s="13"/>
      <c r="D72" s="8">
        <f>SUM(OSRRefD25x_0)</f>
        <v>384.94</v>
      </c>
      <c r="E72" s="8"/>
      <c r="F72" s="14">
        <f>IF(D$12=0,0,D72/D$12)</f>
        <v>1.5492413571054856E-2</v>
      </c>
      <c r="G72" s="8"/>
      <c r="H72" s="8">
        <f>SUM(OSRRefH25x_0)</f>
        <v>2400</v>
      </c>
      <c r="I72" s="8"/>
      <c r="J72" s="14">
        <f>IF(H$12=0,0,H72/H$12)</f>
        <v>6.0356100995875669E-2</v>
      </c>
      <c r="K72" s="8"/>
      <c r="L72" s="8">
        <f>+D72-H72</f>
        <v>-2015.06</v>
      </c>
      <c r="M72" s="8"/>
      <c r="N72" s="14">
        <f>IF(H72=0,0,L72/H72)</f>
        <v>-0.83960833333333329</v>
      </c>
      <c r="O72" s="13"/>
      <c r="P72" s="8">
        <f>SUM(OSRRefP25x_0)</f>
        <v>12953.58</v>
      </c>
      <c r="Q72" s="8"/>
      <c r="R72" s="14">
        <f>IF(P$12=0,0,P72/P$12)</f>
        <v>2.7995815836281628E-2</v>
      </c>
      <c r="S72" s="8"/>
      <c r="T72" s="8">
        <f>SUM(OSRRefT25x_0)</f>
        <v>28800</v>
      </c>
      <c r="U72" s="8"/>
      <c r="V72" s="14">
        <f>IF(T$12=0,0,T72/T$12)</f>
        <v>4.8075960016826583E-2</v>
      </c>
      <c r="W72" s="8"/>
      <c r="X72" s="8">
        <f>+P72-T72</f>
        <v>-15846.42</v>
      </c>
      <c r="Y72" s="8"/>
      <c r="Z72" s="14">
        <f>IF(T72=0,0,X72/T72)</f>
        <v>-0.55022291666666667</v>
      </c>
    </row>
    <row r="73" spans="1:26" s="70" customFormat="1" ht="15" hidden="1" customHeight="1" outlineLevel="1" x14ac:dyDescent="0.3">
      <c r="A73" s="48"/>
      <c r="B73" s="9" t="str">
        <f>CONCATENATE("          ","9150"," - ","MISC. INCOME")</f>
        <v xml:space="preserve">          9150 - MISC. INCOME</v>
      </c>
      <c r="C73" s="9"/>
      <c r="D73" s="3">
        <f>--384.94</f>
        <v>384.94</v>
      </c>
      <c r="E73" s="3"/>
      <c r="F73" s="26">
        <f>IF(D$12=0,0,D73/D$12)</f>
        <v>1.5492413571054856E-2</v>
      </c>
      <c r="G73" s="3"/>
      <c r="H73" s="3">
        <v>2400</v>
      </c>
      <c r="I73" s="3"/>
      <c r="J73" s="26">
        <f>IF(H$12=0,0,H73/H$12)</f>
        <v>6.0356100995875669E-2</v>
      </c>
      <c r="K73" s="3"/>
      <c r="L73" s="3">
        <f>+D73-H73</f>
        <v>-2015.06</v>
      </c>
      <c r="M73" s="3"/>
      <c r="N73" s="26">
        <f>IF(H73=0,0,L73/H73)</f>
        <v>-0.83960833333333329</v>
      </c>
      <c r="O73" s="9"/>
      <c r="P73" s="3">
        <f>--12953.58</f>
        <v>12953.58</v>
      </c>
      <c r="Q73" s="3"/>
      <c r="R73" s="26">
        <f>IF(P$12=0,0,P73/P$12)</f>
        <v>2.7995815836281628E-2</v>
      </c>
      <c r="S73" s="3"/>
      <c r="T73" s="3">
        <v>28800</v>
      </c>
      <c r="U73" s="3"/>
      <c r="V73" s="26">
        <f>IF(T$12=0,0,T73/T$12)</f>
        <v>4.8075960016826583E-2</v>
      </c>
      <c r="W73" s="3"/>
      <c r="X73" s="3">
        <f>+P73-T73</f>
        <v>-15846.42</v>
      </c>
      <c r="Y73" s="3"/>
      <c r="Z73" s="26">
        <f>IF(T73=0,0,X73/T73)</f>
        <v>-0.55022291666666667</v>
      </c>
    </row>
    <row r="74" spans="1:26" ht="15" customHeight="1" x14ac:dyDescent="0.3">
      <c r="A74" s="12"/>
      <c r="B74" s="13"/>
      <c r="C74" s="13"/>
      <c r="D74" s="4"/>
      <c r="E74" s="4"/>
      <c r="F74" s="10"/>
      <c r="G74" s="4"/>
      <c r="H74" s="4"/>
      <c r="I74" s="4"/>
      <c r="J74" s="10"/>
      <c r="K74" s="4"/>
      <c r="L74" s="4"/>
      <c r="M74" s="4"/>
      <c r="N74" s="10"/>
      <c r="O74" s="13"/>
      <c r="P74" s="4"/>
      <c r="Q74" s="4"/>
      <c r="R74" s="10"/>
      <c r="S74" s="4"/>
      <c r="T74" s="4"/>
      <c r="U74" s="4"/>
      <c r="V74" s="10"/>
      <c r="W74" s="4"/>
      <c r="X74" s="4"/>
      <c r="Y74" s="4"/>
      <c r="Z74" s="10"/>
    </row>
    <row r="75" spans="1:26" s="63" customFormat="1" ht="15" customHeight="1" x14ac:dyDescent="0.3">
      <c r="A75" s="13"/>
      <c r="B75" s="27" t="s">
        <v>292</v>
      </c>
      <c r="C75" s="27"/>
      <c r="D75" s="23">
        <f>+D17-D19+D72</f>
        <v>3971.6399999999971</v>
      </c>
      <c r="E75" s="15"/>
      <c r="F75" s="22">
        <f>IF(D$12=0,0,D75/D$12)</f>
        <v>0.15984384432728285</v>
      </c>
      <c r="G75" s="15"/>
      <c r="H75" s="23">
        <f>+H17-H19+H72</f>
        <v>10348.623430822314</v>
      </c>
      <c r="I75" s="15"/>
      <c r="J75" s="22">
        <f>IF(H$12=0,0,H75/H$12)</f>
        <v>0.26025106706624873</v>
      </c>
      <c r="K75" s="17"/>
      <c r="L75" s="23">
        <f>+D75-H75</f>
        <v>-6376.9834308223162</v>
      </c>
      <c r="M75" s="17"/>
      <c r="N75" s="22">
        <f>IF(H75=0,0,L75/H75)</f>
        <v>-0.61621562263335672</v>
      </c>
      <c r="O75" s="28"/>
      <c r="P75" s="23">
        <f>+P17-P19+P72</f>
        <v>49225.250000000044</v>
      </c>
      <c r="Q75" s="15"/>
      <c r="R75" s="22">
        <f>IF(P$12=0,0,P75/P$12)</f>
        <v>0.10638765758152753</v>
      </c>
      <c r="S75" s="15"/>
      <c r="T75" s="23">
        <f>+T17-T19+T72</f>
        <v>67510.154365689959</v>
      </c>
      <c r="U75" s="15"/>
      <c r="V75" s="22">
        <f>IF(T$12=0,0,T75/T$12)</f>
        <v>0.11269498201439936</v>
      </c>
      <c r="W75" s="17"/>
      <c r="X75" s="23">
        <f>+P75-T75</f>
        <v>-18284.904365689916</v>
      </c>
      <c r="Y75" s="17"/>
      <c r="Z75" s="22">
        <f>IF(T75=0,0,X75/T75)</f>
        <v>-0.27084672724408221</v>
      </c>
    </row>
    <row r="76" spans="1:26" ht="15" customHeight="1" x14ac:dyDescent="0.3">
      <c r="A76" s="12"/>
      <c r="B76" s="13"/>
      <c r="C76" s="12"/>
      <c r="D76" s="4"/>
      <c r="E76" s="4"/>
      <c r="F76" s="10"/>
      <c r="G76" s="4"/>
      <c r="H76" s="4"/>
      <c r="I76" s="4"/>
      <c r="J76" s="10"/>
      <c r="K76" s="4"/>
      <c r="L76" s="4"/>
      <c r="M76" s="4"/>
      <c r="N76" s="10"/>
      <c r="P76" s="4"/>
      <c r="Q76" s="4"/>
      <c r="R76" s="10"/>
      <c r="S76" s="4"/>
      <c r="T76" s="4"/>
      <c r="U76" s="4"/>
      <c r="V76" s="10"/>
      <c r="W76" s="4"/>
      <c r="X76" s="4"/>
      <c r="Y76" s="4"/>
      <c r="Z76" s="10"/>
    </row>
    <row r="77" spans="1:26" s="63" customFormat="1" ht="15" customHeight="1" x14ac:dyDescent="0.3">
      <c r="A77" s="49"/>
      <c r="B77" s="13" t="s">
        <v>293</v>
      </c>
      <c r="C77" s="13"/>
      <c r="D77" s="8">
        <v>-102569.19</v>
      </c>
      <c r="E77" s="8"/>
      <c r="F77" s="14">
        <f>IF(D$12=0,0,D77/D$12)</f>
        <v>-4.1280311506419283</v>
      </c>
      <c r="G77" s="8"/>
      <c r="H77" s="8">
        <v>-1401</v>
      </c>
      <c r="I77" s="8"/>
      <c r="J77" s="14">
        <f>IF(H$12=0,0,H77/H$12)</f>
        <v>-3.523287395634242E-2</v>
      </c>
      <c r="K77" s="8"/>
      <c r="L77" s="8">
        <f>+D77-H77</f>
        <v>-101168.19</v>
      </c>
      <c r="M77" s="8"/>
      <c r="N77" s="14">
        <f>IF(H77=0,0,L77/H77)</f>
        <v>72.211413276231269</v>
      </c>
      <c r="O77" s="13"/>
      <c r="P77" s="8">
        <v>-53343.75</v>
      </c>
      <c r="Q77" s="8"/>
      <c r="R77" s="14">
        <f>IF(P$12=0,0,P77/P$12)</f>
        <v>-0.11528873107022522</v>
      </c>
      <c r="S77" s="8"/>
      <c r="T77" s="8">
        <v>67930</v>
      </c>
      <c r="U77" s="8"/>
      <c r="V77" s="14">
        <f>IF(T$12=0,0,T77/T$12)</f>
        <v>0.1133958320813552</v>
      </c>
      <c r="W77" s="8"/>
      <c r="X77" s="8">
        <f>+P77-T77</f>
        <v>-121273.75</v>
      </c>
      <c r="Y77" s="8"/>
      <c r="Z77" s="14">
        <f>IF(T77=0,0,X77/T77)</f>
        <v>-1.7852752833799499</v>
      </c>
    </row>
    <row r="78" spans="1:26" ht="15" customHeight="1" x14ac:dyDescent="0.3">
      <c r="A78" s="12"/>
      <c r="B78" s="13"/>
      <c r="C78" s="13"/>
      <c r="D78" s="4"/>
      <c r="E78" s="4"/>
      <c r="F78" s="10"/>
      <c r="G78" s="4"/>
      <c r="H78" s="4"/>
      <c r="I78" s="4"/>
      <c r="J78" s="10"/>
      <c r="K78" s="4"/>
      <c r="L78" s="4"/>
      <c r="M78" s="4"/>
      <c r="N78" s="10"/>
      <c r="O78" s="13"/>
      <c r="P78" s="4"/>
      <c r="Q78" s="4"/>
      <c r="R78" s="10"/>
      <c r="S78" s="4"/>
      <c r="T78" s="4"/>
      <c r="U78" s="4"/>
      <c r="V78" s="10"/>
      <c r="W78" s="4"/>
      <c r="X78" s="4"/>
      <c r="Y78" s="4"/>
      <c r="Z78" s="10"/>
    </row>
    <row r="79" spans="1:26" s="63" customFormat="1" ht="15" customHeight="1" x14ac:dyDescent="0.3">
      <c r="A79" s="13"/>
      <c r="B79" s="27" t="s">
        <v>294</v>
      </c>
      <c r="C79" s="27"/>
      <c r="D79" s="30">
        <f>+D75-D77</f>
        <v>106540.83</v>
      </c>
      <c r="E79" s="15"/>
      <c r="F79" s="35">
        <f>IF(D$12=0,0,D79/D$12)</f>
        <v>4.2878749949692114</v>
      </c>
      <c r="G79" s="15"/>
      <c r="H79" s="30">
        <f>+H75-H77</f>
        <v>11749.623430822314</v>
      </c>
      <c r="I79" s="15"/>
      <c r="J79" s="35">
        <f>IF(H$12=0,0,H79/H$12)</f>
        <v>0.29548394102259112</v>
      </c>
      <c r="K79" s="17"/>
      <c r="L79" s="30">
        <f>D79-H79</f>
        <v>94791.206569177681</v>
      </c>
      <c r="M79" s="17"/>
      <c r="N79" s="35">
        <f>IF(H79=0,0,L79/H79)</f>
        <v>8.0675952831403706</v>
      </c>
      <c r="O79" s="28"/>
      <c r="P79" s="30">
        <f>+P75-P77</f>
        <v>102569.00000000004</v>
      </c>
      <c r="Q79" s="15"/>
      <c r="R79" s="35">
        <f>IF(P$12=0,0,P79/P$12)</f>
        <v>0.22167638865175276</v>
      </c>
      <c r="S79" s="15"/>
      <c r="T79" s="30">
        <f>+T75-T77</f>
        <v>-419.84563431004062</v>
      </c>
      <c r="U79" s="15"/>
      <c r="V79" s="35">
        <f>IF(T$12=0,0,T79/T$12)</f>
        <v>-7.00850066955858E-4</v>
      </c>
      <c r="W79" s="17"/>
      <c r="X79" s="30">
        <f>P79-T79</f>
        <v>102988.84563431008</v>
      </c>
      <c r="Y79" s="17"/>
      <c r="Z79" s="35">
        <f>IF(T79=0,0,X79/T79)</f>
        <v>-245.30169476111925</v>
      </c>
    </row>
    <row r="80" spans="1:26" ht="15" customHeight="1" x14ac:dyDescent="0.3">
      <c r="A80" s="12"/>
      <c r="B80" s="12"/>
      <c r="C80" s="12"/>
      <c r="D80" s="4"/>
      <c r="E80" s="4"/>
      <c r="F80" s="10"/>
      <c r="G80" s="4"/>
      <c r="H80" s="4"/>
      <c r="I80" s="4"/>
      <c r="J80" s="10"/>
      <c r="K80" s="4"/>
      <c r="L80" s="4"/>
      <c r="M80" s="4"/>
      <c r="N80" s="10"/>
      <c r="P80" s="4"/>
      <c r="Q80" s="4"/>
      <c r="R80" s="10"/>
      <c r="S80" s="4"/>
      <c r="T80" s="4"/>
      <c r="U80" s="4"/>
      <c r="V80" s="10"/>
      <c r="W80" s="4"/>
      <c r="X80" s="4"/>
      <c r="Y80" s="4"/>
      <c r="Z80" s="10"/>
    </row>
    <row r="81" spans="1:26" ht="15" customHeight="1" x14ac:dyDescent="0.3">
      <c r="A81" s="12"/>
      <c r="B81" s="12"/>
      <c r="C81" s="12"/>
      <c r="D81" s="4"/>
      <c r="E81" s="4"/>
      <c r="F81" s="10"/>
      <c r="G81" s="4"/>
      <c r="H81" s="4"/>
      <c r="I81" s="4"/>
      <c r="J81" s="10"/>
      <c r="K81" s="4"/>
      <c r="L81" s="4"/>
      <c r="M81" s="4"/>
      <c r="N81" s="10"/>
      <c r="P81" s="4"/>
      <c r="Q81" s="4"/>
      <c r="R81" s="10"/>
      <c r="S81" s="4"/>
      <c r="T81" s="4"/>
      <c r="U81" s="4"/>
      <c r="V81" s="10"/>
      <c r="W81" s="4"/>
      <c r="X81" s="4"/>
      <c r="Y81" s="4"/>
      <c r="Z81" s="10"/>
    </row>
    <row r="82" spans="1:26" s="63" customFormat="1" ht="15" customHeight="1" x14ac:dyDescent="0.3">
      <c r="A82" s="13"/>
      <c r="B82" s="27" t="s">
        <v>297</v>
      </c>
      <c r="C82" s="27"/>
      <c r="D82" s="33">
        <f>SUM(D79:D81)</f>
        <v>106540.83</v>
      </c>
      <c r="E82" s="15"/>
      <c r="F82" s="31">
        <f>IF(D$12=0,0,D82/D$12)</f>
        <v>4.2878749949692114</v>
      </c>
      <c r="G82" s="15"/>
      <c r="H82" s="33">
        <f>SUM(H79:H81)</f>
        <v>11749.623430822314</v>
      </c>
      <c r="I82" s="15"/>
      <c r="J82" s="31">
        <f>IF(H$12=0,0,H82/H$12)</f>
        <v>0.29548394102259112</v>
      </c>
      <c r="K82" s="17"/>
      <c r="L82" s="33">
        <f>+D82-H82</f>
        <v>94791.206569177681</v>
      </c>
      <c r="M82" s="17"/>
      <c r="N82" s="31">
        <f>IF(H82=0,0,L82/H82)</f>
        <v>8.0675952831403706</v>
      </c>
      <c r="O82" s="28"/>
      <c r="P82" s="33">
        <f>SUM(P79:P81)</f>
        <v>102569.00000000004</v>
      </c>
      <c r="Q82" s="15"/>
      <c r="R82" s="31">
        <f>IF(P$12=0,0,P82/P$12)</f>
        <v>0.22167638865175276</v>
      </c>
      <c r="S82" s="15"/>
      <c r="T82" s="33">
        <f>SUM(T79:T81)</f>
        <v>-419.84563431004062</v>
      </c>
      <c r="U82" s="15"/>
      <c r="V82" s="31">
        <f>IF(T$12=0,0,T82/T$12)</f>
        <v>-7.00850066955858E-4</v>
      </c>
      <c r="W82" s="17"/>
      <c r="X82" s="33">
        <f>+P82-T82</f>
        <v>102988.84563431008</v>
      </c>
      <c r="Y82" s="17"/>
      <c r="Z82" s="31">
        <f>IF(T82=0,0,X82/T82)</f>
        <v>-245.30169476111925</v>
      </c>
    </row>
    <row r="83" spans="1:26" ht="15" customHeight="1" x14ac:dyDescent="0.3">
      <c r="A83" s="12"/>
      <c r="C83" s="12"/>
      <c r="D83" s="19"/>
      <c r="E83" s="19"/>
      <c r="G83" s="19"/>
      <c r="H83" s="19"/>
      <c r="I83" s="19"/>
      <c r="J83" s="41"/>
      <c r="K83" s="19"/>
      <c r="L83" s="19"/>
      <c r="M83" s="19"/>
      <c r="P83" s="19"/>
      <c r="Q83" s="19"/>
      <c r="R83" s="41"/>
      <c r="S83" s="19"/>
      <c r="T83" s="19"/>
      <c r="U83" s="19"/>
      <c r="V83" s="41"/>
      <c r="W83" s="19"/>
      <c r="X83" s="19"/>
    </row>
    <row r="84" spans="1:26" ht="15" customHeight="1" x14ac:dyDescent="0.3">
      <c r="A84" s="12"/>
      <c r="B84" s="50">
        <v>44767.799536956016</v>
      </c>
      <c r="D84" s="19"/>
      <c r="E84" s="19"/>
      <c r="G84" s="19"/>
      <c r="H84" s="19"/>
      <c r="I84" s="19"/>
      <c r="J84" s="41"/>
      <c r="K84" s="19"/>
      <c r="L84" s="19"/>
      <c r="M84" s="19"/>
      <c r="P84" s="19"/>
      <c r="Q84" s="19"/>
      <c r="R84" s="41"/>
      <c r="S84" s="19"/>
      <c r="T84" s="19"/>
      <c r="U84" s="19"/>
      <c r="V84" s="41"/>
      <c r="W84" s="19"/>
      <c r="X84" s="19"/>
    </row>
    <row r="85" spans="1:26" ht="15" customHeight="1" x14ac:dyDescent="0.3">
      <c r="A85" s="12"/>
      <c r="B85" s="57" t="s">
        <v>298</v>
      </c>
      <c r="D85" s="19"/>
      <c r="E85" s="19"/>
      <c r="G85" s="19"/>
      <c r="H85" s="19"/>
      <c r="I85" s="19"/>
      <c r="J85" s="41"/>
      <c r="K85" s="19"/>
      <c r="L85" s="19"/>
      <c r="M85" s="19"/>
      <c r="P85" s="19"/>
      <c r="Q85" s="19"/>
      <c r="R85" s="41"/>
      <c r="S85" s="19"/>
      <c r="T85" s="19"/>
      <c r="U85" s="19"/>
      <c r="V85" s="41"/>
      <c r="W85" s="19"/>
      <c r="X85" s="19"/>
    </row>
    <row r="86" spans="1:26" ht="15" customHeight="1" x14ac:dyDescent="0.3">
      <c r="A86" s="12"/>
      <c r="B86" s="51"/>
      <c r="D86" s="19"/>
      <c r="E86" s="19"/>
      <c r="G86" s="19"/>
      <c r="H86" s="19"/>
      <c r="I86" s="19"/>
      <c r="J86" s="41"/>
      <c r="K86" s="19"/>
      <c r="L86" s="19"/>
      <c r="M86" s="19"/>
      <c r="P86" s="19"/>
      <c r="Q86" s="19"/>
      <c r="R86" s="41"/>
      <c r="S86" s="19"/>
      <c r="T86" s="19"/>
      <c r="U86" s="19"/>
      <c r="V86" s="41"/>
      <c r="W86" s="19"/>
      <c r="X86" s="19"/>
    </row>
    <row r="87" spans="1:26" ht="15" customHeight="1" x14ac:dyDescent="0.3">
      <c r="D87" s="19"/>
      <c r="E87" s="19"/>
      <c r="G87" s="19"/>
      <c r="H87" s="19"/>
      <c r="I87" s="19"/>
      <c r="J87" s="41"/>
      <c r="K87" s="19"/>
      <c r="L87" s="19"/>
      <c r="M87" s="19"/>
      <c r="P87" s="19"/>
      <c r="Q87" s="19"/>
      <c r="R87" s="41"/>
      <c r="S87" s="19"/>
      <c r="T87" s="19"/>
      <c r="U87" s="19"/>
      <c r="V87" s="41"/>
      <c r="W87" s="19"/>
      <c r="X87" s="19"/>
    </row>
  </sheetData>
  <pageMargins left="0.25" right="0.25" top="0.75" bottom="0.75" header="0.3" footer="0.3"/>
  <pageSetup scale="55" orientation="landscape" r:id="rId1"/>
  <headerFooter>
    <oddHeader>&amp;RPre-Audit</oddHeader>
    <oddFooter>&amp;L&amp;C&amp;R</oddFooter>
    <evenHeader>&amp;L&amp;C&amp;R</evenHeader>
    <evenFooter>&amp;L&amp;C&amp;R</evenFooter>
  </headerFooter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2DF4AB-67A1-31D7-ABE4-D0434C3039FA}">
  <sheetPr>
    <tabColor rgb="FF92D050"/>
    <outlinePr summaryBelow="0" summaryRight="0"/>
  </sheetPr>
  <dimension ref="A2:Z87"/>
  <sheetViews>
    <sheetView showGridLines="0" defaultGridColor="0" colorId="8" zoomScale="80" workbookViewId="0">
      <pane xSplit="3" ySplit="10" topLeftCell="D20" activePane="bottomRight" state="frozen"/>
      <selection activeCell="D78" sqref="D78"/>
      <selection pane="topRight" activeCell="D78" sqref="D78"/>
      <selection pane="bottomLeft" activeCell="D78" sqref="D78"/>
      <selection pane="bottomRight" activeCell="D78" sqref="D78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3" t="s">
        <v>276</v>
      </c>
    </row>
    <row r="3" spans="1:26" ht="15" customHeight="1" x14ac:dyDescent="0.3">
      <c r="D3" s="53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3" t="str">
        <f>CONCATENATE("Period ",RIGHT(202212,2),", ",2022)</f>
        <v>Period 12,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5"/>
      <c r="D5" s="60">
        <v>44742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5"/>
      <c r="B6" s="47"/>
      <c r="C6" s="47"/>
      <c r="D6" s="25" t="str">
        <f>CONCATENATE("Department ","501"," - ","ID Card Services")</f>
        <v>Department 501 - ID Card Services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4"/>
    </row>
    <row r="8" spans="1:26" ht="15" customHeight="1" x14ac:dyDescent="0.3">
      <c r="B8" s="54"/>
    </row>
    <row r="9" spans="1:26" ht="15" customHeight="1" x14ac:dyDescent="0.3">
      <c r="B9" s="12"/>
      <c r="C9" s="12"/>
      <c r="D9" s="16" t="s">
        <v>279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280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ht="15" customHeight="1" x14ac:dyDescent="0.3">
      <c r="A10" s="13"/>
      <c r="B10" s="52"/>
      <c r="C10" s="13"/>
      <c r="D10" s="40" t="s">
        <v>281</v>
      </c>
      <c r="E10" s="32"/>
      <c r="F10" s="39" t="s">
        <v>282</v>
      </c>
      <c r="G10" s="32"/>
      <c r="H10" s="45" t="s">
        <v>283</v>
      </c>
      <c r="I10" s="32"/>
      <c r="J10" s="42" t="s">
        <v>284</v>
      </c>
      <c r="K10" s="13"/>
      <c r="L10" s="40" t="s">
        <v>285</v>
      </c>
      <c r="M10" s="13"/>
      <c r="N10" s="39" t="s">
        <v>286</v>
      </c>
      <c r="O10" s="13"/>
      <c r="P10" s="55" t="s">
        <v>281</v>
      </c>
      <c r="Q10" s="32"/>
      <c r="R10" s="39" t="s">
        <v>282</v>
      </c>
      <c r="S10" s="32"/>
      <c r="T10" s="45" t="s">
        <v>283</v>
      </c>
      <c r="U10" s="32"/>
      <c r="V10" s="42" t="s">
        <v>284</v>
      </c>
      <c r="W10" s="13"/>
      <c r="X10" s="40" t="s">
        <v>285</v>
      </c>
      <c r="Y10" s="13"/>
      <c r="Z10" s="39" t="s">
        <v>286</v>
      </c>
    </row>
    <row r="11" spans="1:26" ht="16.5" customHeight="1" x14ac:dyDescent="0.3">
      <c r="A11" s="12"/>
      <c r="B11" s="58"/>
      <c r="C11" s="12"/>
      <c r="D11" s="12"/>
      <c r="E11" s="12"/>
      <c r="F11" s="10"/>
      <c r="G11" s="12"/>
      <c r="H11" s="12"/>
      <c r="I11" s="12"/>
      <c r="J11" s="43"/>
      <c r="K11" s="12"/>
      <c r="L11" s="12"/>
      <c r="M11" s="12"/>
      <c r="N11" s="10"/>
      <c r="P11" s="12"/>
      <c r="Q11" s="12"/>
      <c r="R11" s="10"/>
      <c r="S11" s="12"/>
      <c r="T11" s="12"/>
      <c r="U11" s="12"/>
      <c r="V11" s="43"/>
      <c r="W11" s="12"/>
      <c r="X11" s="12"/>
      <c r="Y11" s="12"/>
      <c r="Z11" s="10"/>
    </row>
    <row r="12" spans="1:26" s="63" customFormat="1" ht="15" customHeight="1" collapsed="1" x14ac:dyDescent="0.3">
      <c r="A12" s="13"/>
      <c r="B12" s="28" t="s">
        <v>287</v>
      </c>
      <c r="C12" s="13"/>
      <c r="D12" s="8">
        <f>SUM(OSRRefD13x_0)</f>
        <v>24847</v>
      </c>
      <c r="E12" s="8"/>
      <c r="F12" s="14"/>
      <c r="G12" s="8"/>
      <c r="H12" s="8">
        <f>SUM(OSRRefH13x_0)</f>
        <v>39764</v>
      </c>
      <c r="I12" s="8"/>
      <c r="J12" s="14"/>
      <c r="K12" s="8"/>
      <c r="L12" s="8">
        <f>+D12-H12</f>
        <v>-14917</v>
      </c>
      <c r="M12" s="8"/>
      <c r="N12" s="14">
        <f>IF(H12=0,0,L12/H12)</f>
        <v>-0.37513831606478221</v>
      </c>
      <c r="O12" s="13"/>
      <c r="P12" s="8">
        <f>SUM(OSRRefP13x_0)</f>
        <v>462697</v>
      </c>
      <c r="Q12" s="8"/>
      <c r="R12" s="14"/>
      <c r="S12" s="8"/>
      <c r="T12" s="8">
        <f>SUM(OSRRefT13x_0)</f>
        <v>599052</v>
      </c>
      <c r="U12" s="8"/>
      <c r="V12" s="14"/>
      <c r="W12" s="8"/>
      <c r="X12" s="8">
        <f>+P12-T12</f>
        <v>-136355</v>
      </c>
      <c r="Y12" s="8"/>
      <c r="Z12" s="14">
        <f>IF(T12=0,0,X12/T12)</f>
        <v>-0.22761796972549964</v>
      </c>
    </row>
    <row r="13" spans="1:26" s="70" customFormat="1" ht="15" hidden="1" customHeight="1" outlineLevel="1" x14ac:dyDescent="0.3">
      <c r="A13" s="48"/>
      <c r="B13" s="9" t="str">
        <f>CONCATENATE("          ","4100"," - ","NON-TAXABLE SALES")</f>
        <v xml:space="preserve">          4100 - NON-TAXABLE SALES</v>
      </c>
      <c r="C13" s="9"/>
      <c r="D13" s="3">
        <f>--24847</f>
        <v>24847</v>
      </c>
      <c r="E13" s="3"/>
      <c r="F13" s="26"/>
      <c r="G13" s="3"/>
      <c r="H13" s="3">
        <v>39764</v>
      </c>
      <c r="I13" s="3"/>
      <c r="J13" s="26"/>
      <c r="K13" s="3"/>
      <c r="L13" s="3">
        <f>+D13-H13</f>
        <v>-14917</v>
      </c>
      <c r="M13" s="3"/>
      <c r="N13" s="26">
        <f>IF(H13=0,0,L13/H13)</f>
        <v>-0.37513831606478221</v>
      </c>
      <c r="O13" s="9"/>
      <c r="P13" s="3">
        <f>--462697</f>
        <v>462697</v>
      </c>
      <c r="Q13" s="3"/>
      <c r="R13" s="26"/>
      <c r="S13" s="3"/>
      <c r="T13" s="3">
        <v>599052</v>
      </c>
      <c r="U13" s="3"/>
      <c r="V13" s="26"/>
      <c r="W13" s="3"/>
      <c r="X13" s="3">
        <f>+P13-T13</f>
        <v>-136355</v>
      </c>
      <c r="Y13" s="3"/>
      <c r="Z13" s="26">
        <f>IF(T13=0,0,X13/T13)</f>
        <v>-0.22761796972549964</v>
      </c>
    </row>
    <row r="14" spans="1:26" ht="15" customHeight="1" x14ac:dyDescent="0.3">
      <c r="A14" s="12"/>
      <c r="B14" s="13"/>
      <c r="C14" s="12"/>
      <c r="D14" s="4"/>
      <c r="E14" s="4"/>
      <c r="F14" s="10"/>
      <c r="G14" s="4"/>
      <c r="H14" s="4"/>
      <c r="I14" s="4"/>
      <c r="J14" s="10"/>
      <c r="K14" s="4"/>
      <c r="L14" s="4"/>
      <c r="M14" s="4"/>
      <c r="N14" s="10"/>
      <c r="P14" s="4"/>
      <c r="Q14" s="4"/>
      <c r="R14" s="10"/>
      <c r="S14" s="4"/>
      <c r="T14" s="4"/>
      <c r="U14" s="4"/>
      <c r="V14" s="10"/>
      <c r="W14" s="4"/>
      <c r="X14" s="4"/>
      <c r="Y14" s="4"/>
      <c r="Z14" s="10"/>
    </row>
    <row r="15" spans="1:26" s="63" customFormat="1" ht="15" customHeight="1" x14ac:dyDescent="0.3">
      <c r="A15" s="13"/>
      <c r="B15" s="28" t="s">
        <v>288</v>
      </c>
      <c r="C15" s="13"/>
      <c r="D15" s="8">
        <f>SUM(0)</f>
        <v>0</v>
      </c>
      <c r="E15" s="8"/>
      <c r="F15" s="14">
        <f>IF(D$12=0,0,D15/D$12)</f>
        <v>0</v>
      </c>
      <c r="G15" s="8"/>
      <c r="H15" s="8">
        <f>SUM(0)</f>
        <v>0</v>
      </c>
      <c r="I15" s="8"/>
      <c r="J15" s="14">
        <f>IF(H$12=0,0,H15/H$12)</f>
        <v>0</v>
      </c>
      <c r="K15" s="8"/>
      <c r="L15" s="8">
        <f>+D15-H15</f>
        <v>0</v>
      </c>
      <c r="M15" s="8"/>
      <c r="N15" s="14">
        <f>IF(H15=0,0,L15/H15)</f>
        <v>0</v>
      </c>
      <c r="O15" s="13"/>
      <c r="P15" s="8">
        <f>SUM(0)</f>
        <v>0</v>
      </c>
      <c r="Q15" s="8"/>
      <c r="R15" s="14">
        <f>IF(P$12=0,0,P15/P$12)</f>
        <v>0</v>
      </c>
      <c r="S15" s="8"/>
      <c r="T15" s="8">
        <f>SUM(0)</f>
        <v>0</v>
      </c>
      <c r="U15" s="8"/>
      <c r="V15" s="14">
        <f>IF(T$12=0,0,T15/T$12)</f>
        <v>0</v>
      </c>
      <c r="W15" s="8"/>
      <c r="X15" s="8">
        <f>+P15-T15</f>
        <v>0</v>
      </c>
      <c r="Y15" s="8"/>
      <c r="Z15" s="14">
        <f>IF(T15=0,0,X15/T15)</f>
        <v>0</v>
      </c>
    </row>
    <row r="16" spans="1:26" ht="15" customHeight="1" x14ac:dyDescent="0.3">
      <c r="A16" s="12"/>
      <c r="B16" s="13"/>
      <c r="C16" s="13"/>
      <c r="D16" s="4"/>
      <c r="E16" s="4"/>
      <c r="F16" s="10"/>
      <c r="G16" s="4"/>
      <c r="H16" s="4"/>
      <c r="I16" s="4"/>
      <c r="J16" s="10"/>
      <c r="K16" s="4"/>
      <c r="L16" s="4"/>
      <c r="M16" s="4"/>
      <c r="N16" s="10"/>
      <c r="O16" s="13"/>
      <c r="P16" s="4"/>
      <c r="Q16" s="4"/>
      <c r="R16" s="10"/>
      <c r="S16" s="4"/>
      <c r="T16" s="4"/>
      <c r="U16" s="4"/>
      <c r="V16" s="10"/>
      <c r="W16" s="4"/>
      <c r="X16" s="4"/>
      <c r="Y16" s="4"/>
      <c r="Z16" s="10"/>
    </row>
    <row r="17" spans="1:26" s="63" customFormat="1" ht="15" customHeight="1" x14ac:dyDescent="0.3">
      <c r="A17" s="13"/>
      <c r="B17" s="27" t="s">
        <v>289</v>
      </c>
      <c r="C17" s="27"/>
      <c r="D17" s="23">
        <f>D12-D15</f>
        <v>24847</v>
      </c>
      <c r="E17" s="15"/>
      <c r="F17" s="22">
        <f>IF(D$12=0,0,D17/D$12)</f>
        <v>1</v>
      </c>
      <c r="G17" s="15"/>
      <c r="H17" s="23">
        <f>H12-H15</f>
        <v>39764</v>
      </c>
      <c r="I17" s="15"/>
      <c r="J17" s="22">
        <f>IF(H$12=0,0,H17/H$12)</f>
        <v>1</v>
      </c>
      <c r="K17" s="17"/>
      <c r="L17" s="23">
        <f>+D17-H17</f>
        <v>-14917</v>
      </c>
      <c r="M17" s="17"/>
      <c r="N17" s="22">
        <f>IF(H17=0,0,L17/H17)</f>
        <v>-0.37513831606478221</v>
      </c>
      <c r="O17" s="28"/>
      <c r="P17" s="23">
        <f>P12-P15</f>
        <v>462697</v>
      </c>
      <c r="Q17" s="15"/>
      <c r="R17" s="22">
        <f>IF(P$12=0,0,P17/P$12)</f>
        <v>1</v>
      </c>
      <c r="S17" s="15"/>
      <c r="T17" s="23">
        <f>T12-T15</f>
        <v>599052</v>
      </c>
      <c r="U17" s="15"/>
      <c r="V17" s="22">
        <f>IF(T$12=0,0,T17/T$12)</f>
        <v>1</v>
      </c>
      <c r="W17" s="17"/>
      <c r="X17" s="23">
        <f>+P17-T17</f>
        <v>-136355</v>
      </c>
      <c r="Y17" s="17"/>
      <c r="Z17" s="22">
        <f>IF(T17=0,0,X17/T17)</f>
        <v>-0.22761796972549964</v>
      </c>
    </row>
    <row r="18" spans="1:26" ht="15" customHeight="1" x14ac:dyDescent="0.3">
      <c r="A18" s="12"/>
      <c r="B18" s="13"/>
      <c r="C18" s="12"/>
      <c r="D18" s="2"/>
      <c r="E18" s="2"/>
      <c r="F18" s="5"/>
      <c r="G18" s="2"/>
      <c r="H18" s="2"/>
      <c r="I18" s="2"/>
      <c r="J18" s="5"/>
      <c r="K18" s="2"/>
      <c r="L18" s="2"/>
      <c r="M18" s="2"/>
      <c r="N18" s="5"/>
      <c r="O18" s="36"/>
      <c r="P18" s="2"/>
      <c r="Q18" s="2"/>
      <c r="R18" s="5"/>
      <c r="S18" s="2"/>
      <c r="T18" s="2"/>
      <c r="U18" s="2"/>
      <c r="V18" s="5"/>
      <c r="W18" s="2"/>
      <c r="X18" s="2"/>
      <c r="Y18" s="2"/>
      <c r="Z18" s="5"/>
    </row>
    <row r="19" spans="1:26" s="63" customFormat="1" ht="15" customHeight="1" x14ac:dyDescent="0.3">
      <c r="A19" s="13"/>
      <c r="B19" s="28" t="s">
        <v>290</v>
      </c>
      <c r="C19" s="13"/>
      <c r="D19" s="24" cm="1">
        <f t="array" ref="D19">SUM(OSRRefD22x_0)</f>
        <v>21260.300000000003</v>
      </c>
      <c r="E19" s="24"/>
      <c r="F19" s="34">
        <f t="shared" ref="F19:F50" si="0">IF(D$12=0,0,D19/D$12)</f>
        <v>0.85564856924377197</v>
      </c>
      <c r="G19" s="24"/>
      <c r="H19" s="24" cm="1">
        <f t="array" ref="H19">SUM(OSRRefH22x_0)</f>
        <v>31815.376569177686</v>
      </c>
      <c r="I19" s="24"/>
      <c r="J19" s="34">
        <f t="shared" ref="J19:J50" si="1">IF(H$12=0,0,H19/H$12)</f>
        <v>0.80010503392962695</v>
      </c>
      <c r="K19" s="8"/>
      <c r="L19" s="24">
        <f t="shared" ref="L19:L50" si="2">+D19-H19</f>
        <v>-10555.076569177683</v>
      </c>
      <c r="M19" s="8"/>
      <c r="N19" s="34">
        <f t="shared" ref="N19:N50" si="3">IF(H19=0,0,L19/H19)</f>
        <v>-0.33176022751851697</v>
      </c>
      <c r="O19" s="13"/>
      <c r="P19" s="24" cm="1">
        <f t="array" ref="P19">SUM(OSRRefP22x_0)</f>
        <v>426425.32999999996</v>
      </c>
      <c r="Q19" s="24"/>
      <c r="R19" s="34">
        <f t="shared" ref="R19:R50" si="4">IF(P$12=0,0,P19/P$12)</f>
        <v>0.92160815825475406</v>
      </c>
      <c r="S19" s="24"/>
      <c r="T19" s="24" cm="1">
        <f t="array" ref="T19">SUM(OSRRefT22x_0)</f>
        <v>560341.84563431004</v>
      </c>
      <c r="U19" s="24"/>
      <c r="V19" s="34">
        <f t="shared" ref="V19:V50" si="5">IF(T$12=0,0,T19/T$12)</f>
        <v>0.93538097800242725</v>
      </c>
      <c r="W19" s="8"/>
      <c r="X19" s="24">
        <f t="shared" ref="X19:X50" si="6">+P19-T19</f>
        <v>-133916.51563431008</v>
      </c>
      <c r="Y19" s="8"/>
      <c r="Z19" s="34">
        <f t="shared" ref="Z19:Z50" si="7">IF(T19=0,0,X19/T19)</f>
        <v>-0.23899074587712765</v>
      </c>
    </row>
    <row r="20" spans="1:26" s="69" customFormat="1" ht="15" customHeight="1" outlineLevel="1" collapsed="1" x14ac:dyDescent="0.3">
      <c r="A20" s="20"/>
      <c r="B20" s="11" t="str">
        <f>CONCATENATE("     ","*Benefits                                         ")</f>
        <v xml:space="preserve">     *Benefits                                         </v>
      </c>
      <c r="C20" s="11"/>
      <c r="D20" s="2">
        <f>SUM(OSRRefD22_0x_0)</f>
        <v>5665.8600000000006</v>
      </c>
      <c r="E20" s="2"/>
      <c r="F20" s="5">
        <f t="shared" si="0"/>
        <v>0.22802994325270659</v>
      </c>
      <c r="G20" s="2"/>
      <c r="H20" s="2">
        <f>SUM(OSRRefH22_0x_0)</f>
        <v>3801.3383268699977</v>
      </c>
      <c r="I20" s="2"/>
      <c r="J20" s="5">
        <f t="shared" si="1"/>
        <v>9.5597483323357754E-2</v>
      </c>
      <c r="K20" s="2"/>
      <c r="L20" s="2">
        <f t="shared" si="2"/>
        <v>1864.5216731300029</v>
      </c>
      <c r="M20" s="2"/>
      <c r="N20" s="5">
        <f t="shared" si="3"/>
        <v>0.49049085159048195</v>
      </c>
      <c r="O20" s="11"/>
      <c r="P20" s="2">
        <f>SUM(OSRRefP22_0x_0)</f>
        <v>52505.51</v>
      </c>
      <c r="Q20" s="2"/>
      <c r="R20" s="5">
        <f t="shared" si="4"/>
        <v>0.11347709191976607</v>
      </c>
      <c r="S20" s="2"/>
      <c r="T20" s="2">
        <f>SUM(OSRRefT22_0x_0)</f>
        <v>44740.348484310009</v>
      </c>
      <c r="U20" s="2"/>
      <c r="V20" s="5">
        <f t="shared" si="5"/>
        <v>7.4685250169117215E-2</v>
      </c>
      <c r="W20" s="2"/>
      <c r="X20" s="2">
        <f t="shared" si="6"/>
        <v>7765.1615156899934</v>
      </c>
      <c r="Y20" s="2"/>
      <c r="Z20" s="5">
        <f t="shared" si="7"/>
        <v>0.17356059527370821</v>
      </c>
    </row>
    <row r="21" spans="1:26" s="70" customFormat="1" ht="15" hidden="1" customHeight="1" outlineLevel="2" x14ac:dyDescent="0.3">
      <c r="A21" s="21"/>
      <c r="B21" s="9" t="str">
        <f>CONCATENATE("          ","6111"," - ","F.I.C.A.")</f>
        <v xml:space="preserve">          6111 - F.I.C.A.</v>
      </c>
      <c r="C21" s="9"/>
      <c r="D21" s="6">
        <v>1334</v>
      </c>
      <c r="E21" s="3"/>
      <c r="F21" s="7">
        <f t="shared" si="0"/>
        <v>5.3688574073328769E-2</v>
      </c>
      <c r="G21" s="3"/>
      <c r="H21" s="6">
        <v>1273.80062387769</v>
      </c>
      <c r="I21" s="3"/>
      <c r="J21" s="7">
        <f t="shared" si="1"/>
        <v>3.2034016293071371E-2</v>
      </c>
      <c r="K21" s="3"/>
      <c r="L21" s="6">
        <f t="shared" si="2"/>
        <v>60.199376122310014</v>
      </c>
      <c r="M21" s="3"/>
      <c r="N21" s="7">
        <f t="shared" si="3"/>
        <v>4.7259653507667261E-2</v>
      </c>
      <c r="O21" s="9"/>
      <c r="P21" s="6">
        <v>12970.86</v>
      </c>
      <c r="Q21" s="3"/>
      <c r="R21" s="7">
        <f t="shared" si="4"/>
        <v>2.8033162090958016E-2</v>
      </c>
      <c r="S21" s="3"/>
      <c r="T21" s="6">
        <v>11300.99354541</v>
      </c>
      <c r="U21" s="3"/>
      <c r="V21" s="7">
        <f t="shared" si="5"/>
        <v>1.8864795619428696E-2</v>
      </c>
      <c r="W21" s="3"/>
      <c r="X21" s="6">
        <f t="shared" si="6"/>
        <v>1669.866454590001</v>
      </c>
      <c r="Y21" s="3"/>
      <c r="Z21" s="7">
        <f t="shared" si="7"/>
        <v>0.14776280049007129</v>
      </c>
    </row>
    <row r="22" spans="1:26" s="70" customFormat="1" ht="15" hidden="1" customHeight="1" outlineLevel="2" x14ac:dyDescent="0.3">
      <c r="A22" s="21"/>
      <c r="B22" s="9" t="str">
        <f>CONCATENATE("          ","6112"," - ","COMPENSATION INSURANCE")</f>
        <v xml:space="preserve">          6112 - COMPENSATION INSURANCE</v>
      </c>
      <c r="C22" s="9"/>
      <c r="D22" s="6"/>
      <c r="E22" s="3"/>
      <c r="F22" s="7">
        <f t="shared" si="0"/>
        <v>0</v>
      </c>
      <c r="G22" s="3"/>
      <c r="H22" s="6">
        <v>259.65359640000003</v>
      </c>
      <c r="I22" s="3"/>
      <c r="J22" s="7">
        <f t="shared" si="1"/>
        <v>6.5298661201086414E-3</v>
      </c>
      <c r="K22" s="3"/>
      <c r="L22" s="6">
        <f t="shared" si="2"/>
        <v>-259.65359640000003</v>
      </c>
      <c r="M22" s="3"/>
      <c r="N22" s="7">
        <f t="shared" si="3"/>
        <v>-1</v>
      </c>
      <c r="O22" s="9"/>
      <c r="P22" s="6">
        <v>2029.38</v>
      </c>
      <c r="Q22" s="3"/>
      <c r="R22" s="7">
        <f t="shared" si="4"/>
        <v>4.3859804580535424E-3</v>
      </c>
      <c r="S22" s="3"/>
      <c r="T22" s="6">
        <v>3900.0311532000001</v>
      </c>
      <c r="U22" s="3"/>
      <c r="V22" s="7">
        <f t="shared" si="5"/>
        <v>6.5103382564451837E-3</v>
      </c>
      <c r="W22" s="3"/>
      <c r="X22" s="6">
        <f t="shared" si="6"/>
        <v>-1870.6511532</v>
      </c>
      <c r="Y22" s="3"/>
      <c r="Z22" s="7">
        <f t="shared" si="7"/>
        <v>-0.47965031039947437</v>
      </c>
    </row>
    <row r="23" spans="1:26" s="70" customFormat="1" ht="15" hidden="1" customHeight="1" outlineLevel="2" x14ac:dyDescent="0.3">
      <c r="A23" s="21"/>
      <c r="B23" s="9" t="str">
        <f>CONCATENATE("          ","6113"," - ","GROUP INSURANCE")</f>
        <v xml:space="preserve">          6113 - GROUP INSURANCE</v>
      </c>
      <c r="C23" s="9"/>
      <c r="D23" s="6">
        <v>2351.8000000000002</v>
      </c>
      <c r="E23" s="3"/>
      <c r="F23" s="7">
        <f t="shared" si="0"/>
        <v>9.4651265746367771E-2</v>
      </c>
      <c r="G23" s="3"/>
      <c r="H23" s="6">
        <v>1022.5</v>
      </c>
      <c r="I23" s="3"/>
      <c r="J23" s="7">
        <f t="shared" si="1"/>
        <v>2.5714213861784529E-2</v>
      </c>
      <c r="K23" s="3"/>
      <c r="L23" s="6">
        <f t="shared" si="2"/>
        <v>1329.3000000000002</v>
      </c>
      <c r="M23" s="3"/>
      <c r="N23" s="7">
        <f t="shared" si="3"/>
        <v>1.3000488997555013</v>
      </c>
      <c r="O23" s="9"/>
      <c r="P23" s="6">
        <v>13527.92</v>
      </c>
      <c r="Q23" s="3"/>
      <c r="R23" s="7">
        <f t="shared" si="4"/>
        <v>2.9237103331121662E-2</v>
      </c>
      <c r="S23" s="3"/>
      <c r="T23" s="6">
        <v>12270</v>
      </c>
      <c r="U23" s="3"/>
      <c r="V23" s="7">
        <f t="shared" si="5"/>
        <v>2.0482362132168828E-2</v>
      </c>
      <c r="W23" s="3"/>
      <c r="X23" s="6">
        <f t="shared" si="6"/>
        <v>1257.92</v>
      </c>
      <c r="Y23" s="3"/>
      <c r="Z23" s="7">
        <f t="shared" si="7"/>
        <v>0.102519967400163</v>
      </c>
    </row>
    <row r="24" spans="1:26" s="70" customFormat="1" ht="15" hidden="1" customHeight="1" outlineLevel="2" x14ac:dyDescent="0.3">
      <c r="A24" s="21"/>
      <c r="B24" s="9" t="str">
        <f>CONCATENATE("          ","6114"," - ","STATE UNEMPLOYMENT INSURANCE")</f>
        <v xml:space="preserve">          6114 - STATE UNEMPLOYMENT INSURANCE</v>
      </c>
      <c r="C24" s="9"/>
      <c r="D24" s="6"/>
      <c r="E24" s="3"/>
      <c r="F24" s="7">
        <f t="shared" si="0"/>
        <v>0</v>
      </c>
      <c r="G24" s="3"/>
      <c r="H24" s="6">
        <v>34.953368746153799</v>
      </c>
      <c r="I24" s="3"/>
      <c r="J24" s="7">
        <f t="shared" si="1"/>
        <v>8.7902043924539277E-4</v>
      </c>
      <c r="K24" s="3"/>
      <c r="L24" s="6">
        <f t="shared" si="2"/>
        <v>-34.953368746153799</v>
      </c>
      <c r="M24" s="3"/>
      <c r="N24" s="7">
        <f t="shared" si="3"/>
        <v>-1</v>
      </c>
      <c r="O24" s="9"/>
      <c r="P24" s="6">
        <v>401.17</v>
      </c>
      <c r="Q24" s="3"/>
      <c r="R24" s="7">
        <f t="shared" si="4"/>
        <v>8.6702528868784544E-4</v>
      </c>
      <c r="S24" s="3"/>
      <c r="T24" s="6">
        <v>525.00419369999997</v>
      </c>
      <c r="U24" s="3"/>
      <c r="V24" s="7">
        <f t="shared" si="5"/>
        <v>8.7639168836762084E-4</v>
      </c>
      <c r="W24" s="3"/>
      <c r="X24" s="6">
        <f t="shared" si="6"/>
        <v>-123.83419369999996</v>
      </c>
      <c r="Y24" s="3"/>
      <c r="Z24" s="7">
        <f t="shared" si="7"/>
        <v>-0.23587277051497571</v>
      </c>
    </row>
    <row r="25" spans="1:26" s="70" customFormat="1" ht="15" hidden="1" customHeight="1" outlineLevel="2" x14ac:dyDescent="0.3">
      <c r="A25" s="21"/>
      <c r="B25" s="9" t="str">
        <f>CONCATENATE("          ","6115"," - ","P.E.R.S.")</f>
        <v xml:space="preserve">          6115 - P.E.R.S.</v>
      </c>
      <c r="C25" s="9"/>
      <c r="D25" s="6">
        <v>516.92999999999995</v>
      </c>
      <c r="E25" s="3"/>
      <c r="F25" s="7">
        <f t="shared" si="0"/>
        <v>2.0804523684951903E-2</v>
      </c>
      <c r="G25" s="3"/>
      <c r="H25" s="6">
        <v>576.92767246153903</v>
      </c>
      <c r="I25" s="3"/>
      <c r="J25" s="7">
        <f t="shared" si="1"/>
        <v>1.4508793694335052E-2</v>
      </c>
      <c r="K25" s="3"/>
      <c r="L25" s="6">
        <f t="shared" si="2"/>
        <v>-59.997672461539082</v>
      </c>
      <c r="M25" s="3"/>
      <c r="N25" s="7">
        <f t="shared" si="3"/>
        <v>-0.10399513721633596</v>
      </c>
      <c r="O25" s="9"/>
      <c r="P25" s="6">
        <v>7717.2</v>
      </c>
      <c r="Q25" s="3"/>
      <c r="R25" s="7">
        <f t="shared" si="4"/>
        <v>1.6678733598877882E-2</v>
      </c>
      <c r="S25" s="3"/>
      <c r="T25" s="6">
        <v>7500.0597420000104</v>
      </c>
      <c r="U25" s="3"/>
      <c r="V25" s="7">
        <f t="shared" si="5"/>
        <v>1.25198809819515E-2</v>
      </c>
      <c r="W25" s="3"/>
      <c r="X25" s="6">
        <f t="shared" si="6"/>
        <v>217.14025799998944</v>
      </c>
      <c r="Y25" s="3"/>
      <c r="Z25" s="7">
        <f t="shared" si="7"/>
        <v>2.8951803781510351E-2</v>
      </c>
    </row>
    <row r="26" spans="1:26" s="70" customFormat="1" ht="15" hidden="1" customHeight="1" outlineLevel="2" x14ac:dyDescent="0.3">
      <c r="A26" s="21"/>
      <c r="B26" s="9" t="str">
        <f>CONCATENATE("          ","6116"," - ","EDUCATIONAL BENEFITS")</f>
        <v xml:space="preserve">          6116 - EDUCATIONAL BENEFITS</v>
      </c>
      <c r="C26" s="9"/>
      <c r="D26" s="6"/>
      <c r="E26" s="3"/>
      <c r="F26" s="7">
        <f t="shared" si="0"/>
        <v>0</v>
      </c>
      <c r="G26" s="3"/>
      <c r="H26" s="6">
        <v>0</v>
      </c>
      <c r="I26" s="3"/>
      <c r="J26" s="7">
        <f t="shared" si="1"/>
        <v>0</v>
      </c>
      <c r="K26" s="3"/>
      <c r="L26" s="6">
        <f t="shared" si="2"/>
        <v>0</v>
      </c>
      <c r="M26" s="3"/>
      <c r="N26" s="7">
        <f t="shared" si="3"/>
        <v>0</v>
      </c>
      <c r="O26" s="9"/>
      <c r="P26" s="6"/>
      <c r="Q26" s="3"/>
      <c r="R26" s="7">
        <f t="shared" si="4"/>
        <v>0</v>
      </c>
      <c r="S26" s="3"/>
      <c r="T26" s="6">
        <v>0</v>
      </c>
      <c r="U26" s="3"/>
      <c r="V26" s="7">
        <f t="shared" si="5"/>
        <v>0</v>
      </c>
      <c r="W26" s="3"/>
      <c r="X26" s="6">
        <f t="shared" si="6"/>
        <v>0</v>
      </c>
      <c r="Y26" s="3"/>
      <c r="Z26" s="7">
        <f t="shared" si="7"/>
        <v>0</v>
      </c>
    </row>
    <row r="27" spans="1:26" s="70" customFormat="1" ht="15" hidden="1" customHeight="1" outlineLevel="2" x14ac:dyDescent="0.3">
      <c r="A27" s="21"/>
      <c r="B27" s="9" t="str">
        <f>CONCATENATE("          ","6117"," - ","RETIREMENT STAFF HOURLY")</f>
        <v xml:space="preserve">          6117 - RETIREMENT STAFF HOURLY</v>
      </c>
      <c r="C27" s="9"/>
      <c r="D27" s="6">
        <v>120</v>
      </c>
      <c r="E27" s="3"/>
      <c r="F27" s="7">
        <f t="shared" si="0"/>
        <v>4.8295568881555114E-3</v>
      </c>
      <c r="G27" s="3"/>
      <c r="H27" s="6"/>
      <c r="I27" s="3"/>
      <c r="J27" s="7">
        <f t="shared" si="1"/>
        <v>0</v>
      </c>
      <c r="K27" s="3"/>
      <c r="L27" s="6">
        <f t="shared" si="2"/>
        <v>120</v>
      </c>
      <c r="M27" s="3"/>
      <c r="N27" s="7">
        <f t="shared" si="3"/>
        <v>0</v>
      </c>
      <c r="O27" s="9"/>
      <c r="P27" s="6">
        <v>515.15</v>
      </c>
      <c r="Q27" s="3"/>
      <c r="R27" s="7">
        <f t="shared" si="4"/>
        <v>1.1133636051238716E-3</v>
      </c>
      <c r="S27" s="3"/>
      <c r="T27" s="6"/>
      <c r="U27" s="3"/>
      <c r="V27" s="7">
        <f t="shared" si="5"/>
        <v>0</v>
      </c>
      <c r="W27" s="3"/>
      <c r="X27" s="6">
        <f t="shared" si="6"/>
        <v>515.15</v>
      </c>
      <c r="Y27" s="3"/>
      <c r="Z27" s="7">
        <f t="shared" si="7"/>
        <v>0</v>
      </c>
    </row>
    <row r="28" spans="1:26" s="70" customFormat="1" ht="15" hidden="1" customHeight="1" outlineLevel="2" x14ac:dyDescent="0.3">
      <c r="A28" s="21"/>
      <c r="B28" s="9" t="str">
        <f>CONCATENATE("          ","6118"," - ","VACATION")</f>
        <v xml:space="preserve">          6118 - VACATION</v>
      </c>
      <c r="C28" s="9"/>
      <c r="D28" s="6">
        <v>640.03</v>
      </c>
      <c r="E28" s="3"/>
      <c r="F28" s="7">
        <f t="shared" si="0"/>
        <v>2.5758844126051433E-2</v>
      </c>
      <c r="G28" s="3"/>
      <c r="H28" s="6">
        <v>201.25383923076899</v>
      </c>
      <c r="I28" s="3"/>
      <c r="J28" s="7">
        <f t="shared" si="1"/>
        <v>5.0612071026750072E-3</v>
      </c>
      <c r="K28" s="3"/>
      <c r="L28" s="6">
        <f t="shared" si="2"/>
        <v>438.77616076923096</v>
      </c>
      <c r="M28" s="3"/>
      <c r="N28" s="7">
        <f t="shared" si="3"/>
        <v>2.1802126232538872</v>
      </c>
      <c r="O28" s="9"/>
      <c r="P28" s="6">
        <v>8075.08</v>
      </c>
      <c r="Q28" s="3"/>
      <c r="R28" s="7">
        <f t="shared" si="4"/>
        <v>1.7452198739131657E-2</v>
      </c>
      <c r="S28" s="3"/>
      <c r="T28" s="6">
        <v>2616.2999100000002</v>
      </c>
      <c r="U28" s="3"/>
      <c r="V28" s="7">
        <f t="shared" si="5"/>
        <v>4.3674003425412155E-3</v>
      </c>
      <c r="W28" s="3"/>
      <c r="X28" s="6">
        <f t="shared" si="6"/>
        <v>5458.7800900000002</v>
      </c>
      <c r="Y28" s="3"/>
      <c r="Z28" s="7">
        <f t="shared" si="7"/>
        <v>2.0864504367926227</v>
      </c>
    </row>
    <row r="29" spans="1:26" s="70" customFormat="1" ht="15" hidden="1" customHeight="1" outlineLevel="2" x14ac:dyDescent="0.3">
      <c r="A29" s="21"/>
      <c r="B29" s="9" t="str">
        <f>CONCATENATE("          ","6119"," - ","SICK LEAVE")</f>
        <v xml:space="preserve">          6119 - SICK LEAVE</v>
      </c>
      <c r="C29" s="9"/>
      <c r="D29" s="6">
        <v>443.63</v>
      </c>
      <c r="E29" s="3"/>
      <c r="F29" s="7">
        <f t="shared" si="0"/>
        <v>1.7854469352436914E-2</v>
      </c>
      <c r="G29" s="3"/>
      <c r="H29" s="6">
        <v>432.249226153846</v>
      </c>
      <c r="I29" s="3"/>
      <c r="J29" s="7">
        <f t="shared" si="1"/>
        <v>1.0870365812137763E-2</v>
      </c>
      <c r="K29" s="3"/>
      <c r="L29" s="6">
        <f t="shared" si="2"/>
        <v>11.380773846154</v>
      </c>
      <c r="M29" s="3"/>
      <c r="N29" s="7">
        <f t="shared" si="3"/>
        <v>2.6329194264661005E-2</v>
      </c>
      <c r="O29" s="9"/>
      <c r="P29" s="6">
        <v>5974.64</v>
      </c>
      <c r="Q29" s="3"/>
      <c r="R29" s="7">
        <f t="shared" si="4"/>
        <v>1.2912640453687835E-2</v>
      </c>
      <c r="S29" s="3"/>
      <c r="T29" s="6">
        <v>6627.9599399999997</v>
      </c>
      <c r="U29" s="3"/>
      <c r="V29" s="7">
        <f t="shared" si="5"/>
        <v>1.1064081148214179E-2</v>
      </c>
      <c r="W29" s="3"/>
      <c r="X29" s="6">
        <f t="shared" si="6"/>
        <v>-653.31993999999941</v>
      </c>
      <c r="Y29" s="3"/>
      <c r="Z29" s="7">
        <f t="shared" si="7"/>
        <v>-9.8570290996659135E-2</v>
      </c>
    </row>
    <row r="30" spans="1:26" s="70" customFormat="1" ht="15" hidden="1" customHeight="1" outlineLevel="2" x14ac:dyDescent="0.3">
      <c r="A30" s="21"/>
      <c r="B30" s="9" t="str">
        <f>CONCATENATE("          ","6156"," - ","EMPLOYEE MEALS")</f>
        <v xml:space="preserve">          6156 - EMPLOYEE MEALS</v>
      </c>
      <c r="C30" s="9"/>
      <c r="D30" s="6">
        <v>259.47000000000003</v>
      </c>
      <c r="E30" s="3"/>
      <c r="F30" s="7">
        <f t="shared" si="0"/>
        <v>1.0442709381414256E-2</v>
      </c>
      <c r="G30" s="3"/>
      <c r="H30" s="6"/>
      <c r="I30" s="3"/>
      <c r="J30" s="7">
        <f t="shared" si="1"/>
        <v>0</v>
      </c>
      <c r="K30" s="3"/>
      <c r="L30" s="6">
        <f t="shared" si="2"/>
        <v>259.47000000000003</v>
      </c>
      <c r="M30" s="3"/>
      <c r="N30" s="7">
        <f t="shared" si="3"/>
        <v>0</v>
      </c>
      <c r="O30" s="9"/>
      <c r="P30" s="6">
        <v>1294.1099999999999</v>
      </c>
      <c r="Q30" s="3"/>
      <c r="R30" s="7">
        <f t="shared" si="4"/>
        <v>2.7968843541237567E-3</v>
      </c>
      <c r="S30" s="3"/>
      <c r="T30" s="6"/>
      <c r="U30" s="3"/>
      <c r="V30" s="7">
        <f t="shared" si="5"/>
        <v>0</v>
      </c>
      <c r="W30" s="3"/>
      <c r="X30" s="6">
        <f t="shared" si="6"/>
        <v>1294.1099999999999</v>
      </c>
      <c r="Y30" s="3"/>
      <c r="Z30" s="7">
        <f t="shared" si="7"/>
        <v>0</v>
      </c>
    </row>
    <row r="31" spans="1:26" s="69" customFormat="1" ht="15" customHeight="1" outlineLevel="1" collapsed="1" x14ac:dyDescent="0.3">
      <c r="A31" s="20"/>
      <c r="B31" s="11" t="str">
        <f>CONCATENATE("     ","*Payroll                                          ")</f>
        <v xml:space="preserve">     *Payroll                                          </v>
      </c>
      <c r="C31" s="11"/>
      <c r="D31" s="2">
        <f>SUM(OSRRefD22_1x_0)</f>
        <v>13021.23</v>
      </c>
      <c r="E31" s="2"/>
      <c r="F31" s="5">
        <f t="shared" si="0"/>
        <v>0.52405642532297658</v>
      </c>
      <c r="G31" s="2"/>
      <c r="H31" s="2">
        <f>SUM(OSRRefH22_1x_0)</f>
        <v>16309.03824230769</v>
      </c>
      <c r="I31" s="2"/>
      <c r="J31" s="5">
        <f t="shared" si="1"/>
        <v>0.41014581637430064</v>
      </c>
      <c r="K31" s="2"/>
      <c r="L31" s="2">
        <f t="shared" si="2"/>
        <v>-3287.8082423076903</v>
      </c>
      <c r="M31" s="2"/>
      <c r="N31" s="5">
        <f t="shared" si="3"/>
        <v>-0.20159424445879975</v>
      </c>
      <c r="O31" s="11"/>
      <c r="P31" s="2">
        <f>SUM(OSRRefP22_1x_0)</f>
        <v>176605.34</v>
      </c>
      <c r="Q31" s="2"/>
      <c r="R31" s="5">
        <f t="shared" si="4"/>
        <v>0.38168680583621678</v>
      </c>
      <c r="S31" s="2"/>
      <c r="T31" s="2">
        <f>SUM(OSRRefT22_1x_0)</f>
        <v>245641.49715000001</v>
      </c>
      <c r="U31" s="2"/>
      <c r="V31" s="5">
        <f t="shared" si="5"/>
        <v>0.41005037484225076</v>
      </c>
      <c r="W31" s="2"/>
      <c r="X31" s="2">
        <f t="shared" si="6"/>
        <v>-69036.157150000014</v>
      </c>
      <c r="Y31" s="2"/>
      <c r="Z31" s="5">
        <f t="shared" si="7"/>
        <v>-0.28104435916152781</v>
      </c>
    </row>
    <row r="32" spans="1:26" s="70" customFormat="1" ht="15" hidden="1" customHeight="1" outlineLevel="2" x14ac:dyDescent="0.3">
      <c r="A32" s="21"/>
      <c r="B32" s="9" t="str">
        <f>CONCATENATE("          ","6001"," - ","ADMINISTRATIVE SALARIES")</f>
        <v xml:space="preserve">          6001 - ADMINISTRATIVE SALARIES</v>
      </c>
      <c r="C32" s="9"/>
      <c r="D32" s="6">
        <v>1397.47</v>
      </c>
      <c r="E32" s="3"/>
      <c r="F32" s="7">
        <f t="shared" si="0"/>
        <v>5.6243007204089028E-2</v>
      </c>
      <c r="G32" s="3"/>
      <c r="H32" s="6">
        <v>4139.8076923076896</v>
      </c>
      <c r="I32" s="3"/>
      <c r="J32" s="7">
        <f t="shared" si="1"/>
        <v>0.10410943799184412</v>
      </c>
      <c r="K32" s="3"/>
      <c r="L32" s="6">
        <f t="shared" si="2"/>
        <v>-2742.3376923076894</v>
      </c>
      <c r="M32" s="3"/>
      <c r="N32" s="7">
        <f t="shared" si="3"/>
        <v>-0.66243117944906371</v>
      </c>
      <c r="O32" s="9"/>
      <c r="P32" s="6">
        <v>52790.66</v>
      </c>
      <c r="Q32" s="3"/>
      <c r="R32" s="7">
        <f t="shared" si="4"/>
        <v>0.11409336995917416</v>
      </c>
      <c r="S32" s="3"/>
      <c r="T32" s="6">
        <v>53817.5</v>
      </c>
      <c r="U32" s="3"/>
      <c r="V32" s="7">
        <f t="shared" si="5"/>
        <v>8.9837777021026549E-2</v>
      </c>
      <c r="W32" s="3"/>
      <c r="X32" s="6">
        <f t="shared" si="6"/>
        <v>-1026.8399999999965</v>
      </c>
      <c r="Y32" s="3"/>
      <c r="Z32" s="7">
        <f t="shared" si="7"/>
        <v>-1.9080039020764557E-2</v>
      </c>
    </row>
    <row r="33" spans="1:26" s="70" customFormat="1" ht="15" hidden="1" customHeight="1" outlineLevel="2" x14ac:dyDescent="0.3">
      <c r="A33" s="21"/>
      <c r="B33" s="9" t="str">
        <f>CONCATENATE("          ","6002"," - ","STAFF SALARIES")</f>
        <v xml:space="preserve">          6002 - STAFF SALARIES</v>
      </c>
      <c r="C33" s="9"/>
      <c r="D33" s="6">
        <v>1550.4</v>
      </c>
      <c r="E33" s="3"/>
      <c r="F33" s="7">
        <f t="shared" si="0"/>
        <v>6.2397874994969217E-2</v>
      </c>
      <c r="G33" s="3"/>
      <c r="H33" s="6">
        <v>2233.2305500000002</v>
      </c>
      <c r="I33" s="3"/>
      <c r="J33" s="7">
        <f t="shared" si="1"/>
        <v>5.616212025953124E-2</v>
      </c>
      <c r="K33" s="3"/>
      <c r="L33" s="6">
        <f t="shared" si="2"/>
        <v>-682.83055000000013</v>
      </c>
      <c r="M33" s="3"/>
      <c r="N33" s="7">
        <f t="shared" si="3"/>
        <v>-0.30575909415174357</v>
      </c>
      <c r="O33" s="9"/>
      <c r="P33" s="6">
        <v>21806.97</v>
      </c>
      <c r="Q33" s="3"/>
      <c r="R33" s="7">
        <f t="shared" si="4"/>
        <v>4.7130130517379624E-2</v>
      </c>
      <c r="S33" s="3"/>
      <c r="T33" s="6">
        <v>29031.997149999999</v>
      </c>
      <c r="U33" s="3"/>
      <c r="V33" s="7">
        <f t="shared" si="5"/>
        <v>4.8463233826111923E-2</v>
      </c>
      <c r="W33" s="3"/>
      <c r="X33" s="6">
        <f t="shared" si="6"/>
        <v>-7225.0271499999981</v>
      </c>
      <c r="Y33" s="3"/>
      <c r="Z33" s="7">
        <f t="shared" si="7"/>
        <v>-0.24886428283491335</v>
      </c>
    </row>
    <row r="34" spans="1:26" s="70" customFormat="1" ht="15" hidden="1" customHeight="1" outlineLevel="2" x14ac:dyDescent="0.3">
      <c r="A34" s="21"/>
      <c r="B34" s="9" t="str">
        <f>CONCATENATE("          ","6003"," - ","STAFF HOURLY-9 MONTH")</f>
        <v xml:space="preserve">          6003 - STAFF HOURLY-9 MONTH</v>
      </c>
      <c r="C34" s="9"/>
      <c r="D34" s="6"/>
      <c r="E34" s="3"/>
      <c r="F34" s="7">
        <f t="shared" si="0"/>
        <v>0</v>
      </c>
      <c r="G34" s="3"/>
      <c r="H34" s="6">
        <v>0</v>
      </c>
      <c r="I34" s="3"/>
      <c r="J34" s="7">
        <f t="shared" si="1"/>
        <v>0</v>
      </c>
      <c r="K34" s="3"/>
      <c r="L34" s="6">
        <f t="shared" si="2"/>
        <v>0</v>
      </c>
      <c r="M34" s="3"/>
      <c r="N34" s="7">
        <f t="shared" si="3"/>
        <v>0</v>
      </c>
      <c r="O34" s="9"/>
      <c r="P34" s="6"/>
      <c r="Q34" s="3"/>
      <c r="R34" s="7">
        <f t="shared" si="4"/>
        <v>0</v>
      </c>
      <c r="S34" s="3"/>
      <c r="T34" s="6">
        <v>0</v>
      </c>
      <c r="U34" s="3"/>
      <c r="V34" s="7">
        <f t="shared" si="5"/>
        <v>0</v>
      </c>
      <c r="W34" s="3"/>
      <c r="X34" s="6">
        <f t="shared" si="6"/>
        <v>0</v>
      </c>
      <c r="Y34" s="3"/>
      <c r="Z34" s="7">
        <f t="shared" si="7"/>
        <v>0</v>
      </c>
    </row>
    <row r="35" spans="1:26" s="70" customFormat="1" ht="15" hidden="1" customHeight="1" outlineLevel="2" x14ac:dyDescent="0.3">
      <c r="A35" s="21"/>
      <c r="B35" s="9" t="str">
        <f>CONCATENATE("          ","6004"," - ","STAFF HOURLY")</f>
        <v xml:space="preserve">          6004 - STAFF HOURLY</v>
      </c>
      <c r="C35" s="9"/>
      <c r="D35" s="6">
        <v>3312.2</v>
      </c>
      <c r="E35" s="3"/>
      <c r="F35" s="7">
        <f t="shared" si="0"/>
        <v>0.13330381937457236</v>
      </c>
      <c r="G35" s="3"/>
      <c r="H35" s="6">
        <v>2088</v>
      </c>
      <c r="I35" s="3"/>
      <c r="J35" s="7">
        <f t="shared" si="1"/>
        <v>5.250980786641183E-2</v>
      </c>
      <c r="K35" s="3"/>
      <c r="L35" s="6">
        <f t="shared" si="2"/>
        <v>1224.1999999999998</v>
      </c>
      <c r="M35" s="3"/>
      <c r="N35" s="7">
        <f t="shared" si="3"/>
        <v>0.58630268199233704</v>
      </c>
      <c r="O35" s="9"/>
      <c r="P35" s="6">
        <v>20014.52</v>
      </c>
      <c r="Q35" s="3"/>
      <c r="R35" s="7">
        <f t="shared" si="4"/>
        <v>4.3256213029261054E-2</v>
      </c>
      <c r="S35" s="3"/>
      <c r="T35" s="6">
        <v>26622</v>
      </c>
      <c r="U35" s="3"/>
      <c r="V35" s="7">
        <f t="shared" si="5"/>
        <v>4.4440215540554079E-2</v>
      </c>
      <c r="W35" s="3"/>
      <c r="X35" s="6">
        <f t="shared" si="6"/>
        <v>-6607.48</v>
      </c>
      <c r="Y35" s="3"/>
      <c r="Z35" s="7">
        <f t="shared" si="7"/>
        <v>-0.24819622868304408</v>
      </c>
    </row>
    <row r="36" spans="1:26" s="70" customFormat="1" ht="15" hidden="1" customHeight="1" outlineLevel="2" x14ac:dyDescent="0.3">
      <c r="A36" s="21"/>
      <c r="B36" s="9" t="str">
        <f>CONCATENATE("          ","6005"," - ","TEMPORARY WAGES-HOURLY")</f>
        <v xml:space="preserve">          6005 - TEMPORARY WAGES-HOURLY</v>
      </c>
      <c r="C36" s="9"/>
      <c r="D36" s="6">
        <v>3131.91</v>
      </c>
      <c r="E36" s="3"/>
      <c r="F36" s="7">
        <f t="shared" si="0"/>
        <v>0.12604781261319273</v>
      </c>
      <c r="G36" s="3"/>
      <c r="H36" s="6">
        <v>0</v>
      </c>
      <c r="I36" s="3"/>
      <c r="J36" s="7">
        <f t="shared" si="1"/>
        <v>0</v>
      </c>
      <c r="K36" s="3"/>
      <c r="L36" s="6">
        <f t="shared" si="2"/>
        <v>3131.91</v>
      </c>
      <c r="M36" s="3"/>
      <c r="N36" s="7">
        <f t="shared" si="3"/>
        <v>0</v>
      </c>
      <c r="O36" s="9"/>
      <c r="P36" s="6">
        <v>60021.41</v>
      </c>
      <c r="Q36" s="3"/>
      <c r="R36" s="7">
        <f t="shared" si="4"/>
        <v>0.12972076758656315</v>
      </c>
      <c r="S36" s="3"/>
      <c r="T36" s="6">
        <v>0</v>
      </c>
      <c r="U36" s="3"/>
      <c r="V36" s="7">
        <f t="shared" si="5"/>
        <v>0</v>
      </c>
      <c r="W36" s="3"/>
      <c r="X36" s="6">
        <f t="shared" si="6"/>
        <v>60021.41</v>
      </c>
      <c r="Y36" s="3"/>
      <c r="Z36" s="7">
        <f t="shared" si="7"/>
        <v>0</v>
      </c>
    </row>
    <row r="37" spans="1:26" s="70" customFormat="1" ht="15" hidden="1" customHeight="1" outlineLevel="2" x14ac:dyDescent="0.3">
      <c r="A37" s="21"/>
      <c r="B37" s="9" t="str">
        <f>CONCATENATE("          ","6006"," - ","TEMPORARY PART TIME")</f>
        <v xml:space="preserve">          6006 - TEMPORARY PART TIME</v>
      </c>
      <c r="C37" s="9"/>
      <c r="D37" s="6"/>
      <c r="E37" s="3"/>
      <c r="F37" s="7">
        <f t="shared" si="0"/>
        <v>0</v>
      </c>
      <c r="G37" s="3"/>
      <c r="H37" s="6">
        <v>0</v>
      </c>
      <c r="I37" s="3"/>
      <c r="J37" s="7">
        <f t="shared" si="1"/>
        <v>0</v>
      </c>
      <c r="K37" s="3"/>
      <c r="L37" s="6">
        <f t="shared" si="2"/>
        <v>0</v>
      </c>
      <c r="M37" s="3"/>
      <c r="N37" s="7">
        <f t="shared" si="3"/>
        <v>0</v>
      </c>
      <c r="O37" s="9"/>
      <c r="P37" s="6"/>
      <c r="Q37" s="3"/>
      <c r="R37" s="7">
        <f t="shared" si="4"/>
        <v>0</v>
      </c>
      <c r="S37" s="3"/>
      <c r="T37" s="6">
        <v>0</v>
      </c>
      <c r="U37" s="3"/>
      <c r="V37" s="7">
        <f t="shared" si="5"/>
        <v>0</v>
      </c>
      <c r="W37" s="3"/>
      <c r="X37" s="6">
        <f t="shared" si="6"/>
        <v>0</v>
      </c>
      <c r="Y37" s="3"/>
      <c r="Z37" s="7">
        <f t="shared" si="7"/>
        <v>0</v>
      </c>
    </row>
    <row r="38" spans="1:26" s="70" customFormat="1" ht="15" hidden="1" customHeight="1" outlineLevel="2" x14ac:dyDescent="0.3">
      <c r="A38" s="21"/>
      <c r="B38" s="9" t="str">
        <f>CONCATENATE("          ","6007"," - ","STUDENT HOURLY")</f>
        <v xml:space="preserve">          6007 - STUDENT HOURLY</v>
      </c>
      <c r="C38" s="9"/>
      <c r="D38" s="6">
        <v>3629.25</v>
      </c>
      <c r="E38" s="3"/>
      <c r="F38" s="7">
        <f t="shared" si="0"/>
        <v>0.14606391113615325</v>
      </c>
      <c r="G38" s="3"/>
      <c r="H38" s="6">
        <v>7848</v>
      </c>
      <c r="I38" s="3"/>
      <c r="J38" s="7">
        <f t="shared" si="1"/>
        <v>0.19736445025651342</v>
      </c>
      <c r="K38" s="3"/>
      <c r="L38" s="6">
        <f t="shared" si="2"/>
        <v>-4218.75</v>
      </c>
      <c r="M38" s="3"/>
      <c r="N38" s="7">
        <f t="shared" si="3"/>
        <v>-0.53755733944954132</v>
      </c>
      <c r="O38" s="9"/>
      <c r="P38" s="6">
        <v>21807.56</v>
      </c>
      <c r="Q38" s="3"/>
      <c r="R38" s="7">
        <f t="shared" si="4"/>
        <v>4.7131405649917767E-2</v>
      </c>
      <c r="S38" s="3"/>
      <c r="T38" s="6">
        <v>33835.5</v>
      </c>
      <c r="U38" s="3"/>
      <c r="V38" s="7">
        <f t="shared" si="5"/>
        <v>5.6481741151018609E-2</v>
      </c>
      <c r="W38" s="3"/>
      <c r="X38" s="6">
        <f t="shared" si="6"/>
        <v>-12027.939999999999</v>
      </c>
      <c r="Y38" s="3"/>
      <c r="Z38" s="7">
        <f t="shared" si="7"/>
        <v>-0.35548285085191583</v>
      </c>
    </row>
    <row r="39" spans="1:26" s="70" customFormat="1" ht="15" hidden="1" customHeight="1" outlineLevel="2" x14ac:dyDescent="0.3">
      <c r="A39" s="21"/>
      <c r="B39" s="9" t="str">
        <f>CONCATENATE("          ","6008"," - ","STUDENT HOURLY-FICA EXEMPT")</f>
        <v xml:space="preserve">          6008 - STUDENT HOURLY-FICA EXEMPT</v>
      </c>
      <c r="C39" s="9"/>
      <c r="D39" s="6"/>
      <c r="E39" s="3"/>
      <c r="F39" s="7">
        <f t="shared" si="0"/>
        <v>0</v>
      </c>
      <c r="G39" s="3"/>
      <c r="H39" s="6">
        <v>0</v>
      </c>
      <c r="I39" s="3"/>
      <c r="J39" s="7">
        <f t="shared" si="1"/>
        <v>0</v>
      </c>
      <c r="K39" s="3"/>
      <c r="L39" s="6">
        <f t="shared" si="2"/>
        <v>0</v>
      </c>
      <c r="M39" s="3"/>
      <c r="N39" s="7">
        <f t="shared" si="3"/>
        <v>0</v>
      </c>
      <c r="O39" s="9"/>
      <c r="P39" s="6">
        <v>164.22</v>
      </c>
      <c r="Q39" s="3"/>
      <c r="R39" s="7">
        <f t="shared" si="4"/>
        <v>3.5491909392107576E-4</v>
      </c>
      <c r="S39" s="3"/>
      <c r="T39" s="6">
        <v>102334.5</v>
      </c>
      <c r="U39" s="3"/>
      <c r="V39" s="7">
        <f t="shared" si="5"/>
        <v>0.1708274073035396</v>
      </c>
      <c r="W39" s="3"/>
      <c r="X39" s="6">
        <f t="shared" si="6"/>
        <v>-102170.28</v>
      </c>
      <c r="Y39" s="3"/>
      <c r="Z39" s="7">
        <f t="shared" si="7"/>
        <v>-0.99839526259472611</v>
      </c>
    </row>
    <row r="40" spans="1:26" s="70" customFormat="1" ht="15" hidden="1" customHeight="1" outlineLevel="2" x14ac:dyDescent="0.3">
      <c r="A40" s="21"/>
      <c r="B40" s="9" t="str">
        <f>CONCATENATE("          ","6009"," - ","TEMPORARY-SEASONAL")</f>
        <v xml:space="preserve">          6009 - TEMPORARY-SEASONAL</v>
      </c>
      <c r="C40" s="9"/>
      <c r="D40" s="6"/>
      <c r="E40" s="3"/>
      <c r="F40" s="7">
        <f t="shared" si="0"/>
        <v>0</v>
      </c>
      <c r="G40" s="3"/>
      <c r="H40" s="6">
        <v>0</v>
      </c>
      <c r="I40" s="3"/>
      <c r="J40" s="7">
        <f t="shared" si="1"/>
        <v>0</v>
      </c>
      <c r="K40" s="3"/>
      <c r="L40" s="6">
        <f t="shared" si="2"/>
        <v>0</v>
      </c>
      <c r="M40" s="3"/>
      <c r="N40" s="7">
        <f t="shared" si="3"/>
        <v>0</v>
      </c>
      <c r="O40" s="9"/>
      <c r="P40" s="6"/>
      <c r="Q40" s="3"/>
      <c r="R40" s="7">
        <f t="shared" si="4"/>
        <v>0</v>
      </c>
      <c r="S40" s="3"/>
      <c r="T40" s="6">
        <v>0</v>
      </c>
      <c r="U40" s="3"/>
      <c r="V40" s="7">
        <f t="shared" si="5"/>
        <v>0</v>
      </c>
      <c r="W40" s="3"/>
      <c r="X40" s="6">
        <f t="shared" si="6"/>
        <v>0</v>
      </c>
      <c r="Y40" s="3"/>
      <c r="Z40" s="7">
        <f t="shared" si="7"/>
        <v>0</v>
      </c>
    </row>
    <row r="41" spans="1:26" s="70" customFormat="1" ht="15" hidden="1" customHeight="1" outlineLevel="2" x14ac:dyDescent="0.3">
      <c r="A41" s="21"/>
      <c r="B41" s="9" t="str">
        <f>CONCATENATE("          ","6010"," - ","GRATUITY")</f>
        <v xml:space="preserve">          6010 - GRATUITY</v>
      </c>
      <c r="C41" s="9"/>
      <c r="D41" s="6"/>
      <c r="E41" s="3"/>
      <c r="F41" s="7">
        <f t="shared" si="0"/>
        <v>0</v>
      </c>
      <c r="G41" s="3"/>
      <c r="H41" s="6">
        <v>0</v>
      </c>
      <c r="I41" s="3"/>
      <c r="J41" s="7">
        <f t="shared" si="1"/>
        <v>0</v>
      </c>
      <c r="K41" s="3"/>
      <c r="L41" s="6">
        <f t="shared" si="2"/>
        <v>0</v>
      </c>
      <c r="M41" s="3"/>
      <c r="N41" s="7">
        <f t="shared" si="3"/>
        <v>0</v>
      </c>
      <c r="O41" s="9"/>
      <c r="P41" s="6"/>
      <c r="Q41" s="3"/>
      <c r="R41" s="7">
        <f t="shared" si="4"/>
        <v>0</v>
      </c>
      <c r="S41" s="3"/>
      <c r="T41" s="6">
        <v>0</v>
      </c>
      <c r="U41" s="3"/>
      <c r="V41" s="7">
        <f t="shared" si="5"/>
        <v>0</v>
      </c>
      <c r="W41" s="3"/>
      <c r="X41" s="6">
        <f t="shared" si="6"/>
        <v>0</v>
      </c>
      <c r="Y41" s="3"/>
      <c r="Z41" s="7">
        <f t="shared" si="7"/>
        <v>0</v>
      </c>
    </row>
    <row r="42" spans="1:26" s="69" customFormat="1" ht="15" customHeight="1" outlineLevel="1" collapsed="1" x14ac:dyDescent="0.3">
      <c r="A42" s="20"/>
      <c r="B42" s="11" t="str">
        <f>CONCATENATE("     ","Advertising/Promo                                 ")</f>
        <v xml:space="preserve">     Advertising/Promo                                 </v>
      </c>
      <c r="C42" s="11"/>
      <c r="D42" s="2">
        <f>SUM(OSRRefD22_2x_0)</f>
        <v>132.31</v>
      </c>
      <c r="E42" s="2"/>
      <c r="F42" s="5">
        <f t="shared" si="0"/>
        <v>5.3249889322654646E-3</v>
      </c>
      <c r="G42" s="2"/>
      <c r="H42" s="2">
        <f>SUM(OSRRefH22_2x_0)</f>
        <v>100</v>
      </c>
      <c r="I42" s="2"/>
      <c r="J42" s="5">
        <f t="shared" si="1"/>
        <v>2.5148375414948193E-3</v>
      </c>
      <c r="K42" s="2"/>
      <c r="L42" s="2">
        <f t="shared" si="2"/>
        <v>32.31</v>
      </c>
      <c r="M42" s="2"/>
      <c r="N42" s="5">
        <f t="shared" si="3"/>
        <v>0.3231</v>
      </c>
      <c r="O42" s="11"/>
      <c r="P42" s="2">
        <f>SUM(OSRRefP22_2x_0)</f>
        <v>383.49</v>
      </c>
      <c r="Q42" s="2"/>
      <c r="R42" s="5">
        <f t="shared" si="4"/>
        <v>8.2881453737543146E-4</v>
      </c>
      <c r="S42" s="2"/>
      <c r="T42" s="2">
        <f>SUM(OSRRefT22_2x_0)</f>
        <v>1200</v>
      </c>
      <c r="U42" s="2"/>
      <c r="V42" s="5">
        <f t="shared" si="5"/>
        <v>2.0031650007011079E-3</v>
      </c>
      <c r="W42" s="2"/>
      <c r="X42" s="2">
        <f t="shared" si="6"/>
        <v>-816.51</v>
      </c>
      <c r="Y42" s="2"/>
      <c r="Z42" s="5">
        <f t="shared" si="7"/>
        <v>-0.68042499999999995</v>
      </c>
    </row>
    <row r="43" spans="1:26" s="70" customFormat="1" ht="15" hidden="1" customHeight="1" outlineLevel="2" x14ac:dyDescent="0.3">
      <c r="A43" s="21"/>
      <c r="B43" s="9" t="str">
        <f>CONCATENATE("          ","6362"," - ","ADVERTISING EXPENSE")</f>
        <v xml:space="preserve">          6362 - ADVERTISING EXPENSE</v>
      </c>
      <c r="C43" s="9"/>
      <c r="D43" s="6">
        <v>132.31</v>
      </c>
      <c r="E43" s="3"/>
      <c r="F43" s="7">
        <f t="shared" si="0"/>
        <v>5.3249889322654646E-3</v>
      </c>
      <c r="G43" s="3"/>
      <c r="H43" s="6">
        <v>100</v>
      </c>
      <c r="I43" s="3"/>
      <c r="J43" s="7">
        <f t="shared" si="1"/>
        <v>2.5148375414948193E-3</v>
      </c>
      <c r="K43" s="3"/>
      <c r="L43" s="6">
        <f t="shared" si="2"/>
        <v>32.31</v>
      </c>
      <c r="M43" s="3"/>
      <c r="N43" s="7">
        <f t="shared" si="3"/>
        <v>0.3231</v>
      </c>
      <c r="O43" s="9"/>
      <c r="P43" s="6">
        <v>383.49</v>
      </c>
      <c r="Q43" s="3"/>
      <c r="R43" s="7">
        <f t="shared" si="4"/>
        <v>8.2881453737543146E-4</v>
      </c>
      <c r="S43" s="3"/>
      <c r="T43" s="6">
        <v>1200</v>
      </c>
      <c r="U43" s="3"/>
      <c r="V43" s="7">
        <f t="shared" si="5"/>
        <v>2.0031650007011079E-3</v>
      </c>
      <c r="W43" s="3"/>
      <c r="X43" s="6">
        <f t="shared" si="6"/>
        <v>-816.51</v>
      </c>
      <c r="Y43" s="3"/>
      <c r="Z43" s="7">
        <f t="shared" si="7"/>
        <v>-0.68042499999999995</v>
      </c>
    </row>
    <row r="44" spans="1:26" s="69" customFormat="1" ht="15" customHeight="1" outlineLevel="1" collapsed="1" x14ac:dyDescent="0.3">
      <c r="A44" s="20"/>
      <c r="B44" s="11" t="str">
        <f>CONCATENATE("     ","Bank/card Fees                                    ")</f>
        <v xml:space="preserve">     Bank/card Fees                                    </v>
      </c>
      <c r="C44" s="11"/>
      <c r="D44" s="2">
        <f>SUM(OSRRefD22_3x_0)</f>
        <v>39.29</v>
      </c>
      <c r="E44" s="2"/>
      <c r="F44" s="5">
        <f t="shared" si="0"/>
        <v>1.5812774177969171E-3</v>
      </c>
      <c r="G44" s="2"/>
      <c r="H44" s="2">
        <f>SUM(OSRRefH22_3x_0)</f>
        <v>1250</v>
      </c>
      <c r="I44" s="2"/>
      <c r="J44" s="5">
        <f t="shared" si="1"/>
        <v>3.1435469268685241E-2</v>
      </c>
      <c r="K44" s="2"/>
      <c r="L44" s="2">
        <f t="shared" si="2"/>
        <v>-1210.71</v>
      </c>
      <c r="M44" s="2"/>
      <c r="N44" s="5">
        <f t="shared" si="3"/>
        <v>-0.96856799999999998</v>
      </c>
      <c r="O44" s="11"/>
      <c r="P44" s="2">
        <f>SUM(OSRRefP22_3x_0)</f>
        <v>4388.66</v>
      </c>
      <c r="Q44" s="2"/>
      <c r="R44" s="5">
        <f t="shared" si="4"/>
        <v>9.484954516670736E-3</v>
      </c>
      <c r="S44" s="2"/>
      <c r="T44" s="2">
        <f>SUM(OSRRefT22_3x_0)</f>
        <v>15000</v>
      </c>
      <c r="U44" s="2"/>
      <c r="V44" s="5">
        <f t="shared" si="5"/>
        <v>2.5039562508763848E-2</v>
      </c>
      <c r="W44" s="2"/>
      <c r="X44" s="2">
        <f t="shared" si="6"/>
        <v>-10611.34</v>
      </c>
      <c r="Y44" s="2"/>
      <c r="Z44" s="5">
        <f t="shared" si="7"/>
        <v>-0.70742266666666664</v>
      </c>
    </row>
    <row r="45" spans="1:26" s="70" customFormat="1" ht="15" hidden="1" customHeight="1" outlineLevel="2" x14ac:dyDescent="0.3">
      <c r="A45" s="21"/>
      <c r="B45" s="9" t="str">
        <f>CONCATENATE("          ","6381"," - ","BANK/CREDIT CARD FEES")</f>
        <v xml:space="preserve">          6381 - BANK/CREDIT CARD FEES</v>
      </c>
      <c r="C45" s="9"/>
      <c r="D45" s="6">
        <v>39.29</v>
      </c>
      <c r="E45" s="3"/>
      <c r="F45" s="7">
        <f t="shared" si="0"/>
        <v>1.5812774177969171E-3</v>
      </c>
      <c r="G45" s="3"/>
      <c r="H45" s="6">
        <v>1250</v>
      </c>
      <c r="I45" s="3"/>
      <c r="J45" s="7">
        <f t="shared" si="1"/>
        <v>3.1435469268685241E-2</v>
      </c>
      <c r="K45" s="3"/>
      <c r="L45" s="6">
        <f t="shared" si="2"/>
        <v>-1210.71</v>
      </c>
      <c r="M45" s="3"/>
      <c r="N45" s="7">
        <f t="shared" si="3"/>
        <v>-0.96856799999999998</v>
      </c>
      <c r="O45" s="9"/>
      <c r="P45" s="6">
        <v>4388.66</v>
      </c>
      <c r="Q45" s="3"/>
      <c r="R45" s="7">
        <f t="shared" si="4"/>
        <v>9.484954516670736E-3</v>
      </c>
      <c r="S45" s="3"/>
      <c r="T45" s="6">
        <v>15000</v>
      </c>
      <c r="U45" s="3"/>
      <c r="V45" s="7">
        <f t="shared" si="5"/>
        <v>2.5039562508763848E-2</v>
      </c>
      <c r="W45" s="3"/>
      <c r="X45" s="6">
        <f t="shared" si="6"/>
        <v>-10611.34</v>
      </c>
      <c r="Y45" s="3"/>
      <c r="Z45" s="7">
        <f t="shared" si="7"/>
        <v>-0.70742266666666664</v>
      </c>
    </row>
    <row r="46" spans="1:26" s="69" customFormat="1" ht="15" customHeight="1" outlineLevel="1" collapsed="1" x14ac:dyDescent="0.3">
      <c r="A46" s="20"/>
      <c r="B46" s="11" t="str">
        <f>CONCATENATE("     ","Employees' Appreciation                           ")</f>
        <v xml:space="preserve">     Employees' Appreciation                           </v>
      </c>
      <c r="C46" s="11"/>
      <c r="D46" s="2">
        <f>SUM(OSRRefD22_4x_0)</f>
        <v>0</v>
      </c>
      <c r="E46" s="2"/>
      <c r="F46" s="5">
        <f t="shared" si="0"/>
        <v>0</v>
      </c>
      <c r="G46" s="2"/>
      <c r="H46" s="2">
        <f>SUM(OSRRefH22_4x_0)</f>
        <v>20</v>
      </c>
      <c r="I46" s="2"/>
      <c r="J46" s="5">
        <f t="shared" si="1"/>
        <v>5.029675082989639E-4</v>
      </c>
      <c r="K46" s="2"/>
      <c r="L46" s="2">
        <f t="shared" si="2"/>
        <v>-20</v>
      </c>
      <c r="M46" s="2"/>
      <c r="N46" s="5">
        <f t="shared" si="3"/>
        <v>-1</v>
      </c>
      <c r="O46" s="11"/>
      <c r="P46" s="2">
        <f>SUM(OSRRefP22_4x_0)</f>
        <v>0</v>
      </c>
      <c r="Q46" s="2"/>
      <c r="R46" s="5">
        <f t="shared" si="4"/>
        <v>0</v>
      </c>
      <c r="S46" s="2"/>
      <c r="T46" s="2">
        <f>SUM(OSRRefT22_4x_0)</f>
        <v>240</v>
      </c>
      <c r="U46" s="2"/>
      <c r="V46" s="5">
        <f t="shared" si="5"/>
        <v>4.0063300014022156E-4</v>
      </c>
      <c r="W46" s="2"/>
      <c r="X46" s="2">
        <f t="shared" si="6"/>
        <v>-240</v>
      </c>
      <c r="Y46" s="2"/>
      <c r="Z46" s="5">
        <f t="shared" si="7"/>
        <v>-1</v>
      </c>
    </row>
    <row r="47" spans="1:26" s="70" customFormat="1" ht="15" hidden="1" customHeight="1" outlineLevel="2" x14ac:dyDescent="0.3">
      <c r="A47" s="21"/>
      <c r="B47" s="9" t="str">
        <f>CONCATENATE("          ","6277"," - ","EMPLOYEE APPRECIATION")</f>
        <v xml:space="preserve">          6277 - EMPLOYEE APPRECIATION</v>
      </c>
      <c r="C47" s="9"/>
      <c r="D47" s="6"/>
      <c r="E47" s="3"/>
      <c r="F47" s="7">
        <f t="shared" si="0"/>
        <v>0</v>
      </c>
      <c r="G47" s="3"/>
      <c r="H47" s="6">
        <v>20</v>
      </c>
      <c r="I47" s="3"/>
      <c r="J47" s="7">
        <f t="shared" si="1"/>
        <v>5.029675082989639E-4</v>
      </c>
      <c r="K47" s="3"/>
      <c r="L47" s="6">
        <f t="shared" si="2"/>
        <v>-20</v>
      </c>
      <c r="M47" s="3"/>
      <c r="N47" s="7">
        <f t="shared" si="3"/>
        <v>-1</v>
      </c>
      <c r="O47" s="9"/>
      <c r="P47" s="6"/>
      <c r="Q47" s="3"/>
      <c r="R47" s="7">
        <f t="shared" si="4"/>
        <v>0</v>
      </c>
      <c r="S47" s="3"/>
      <c r="T47" s="6">
        <v>240</v>
      </c>
      <c r="U47" s="3"/>
      <c r="V47" s="7">
        <f t="shared" si="5"/>
        <v>4.0063300014022156E-4</v>
      </c>
      <c r="W47" s="3"/>
      <c r="X47" s="6">
        <f t="shared" si="6"/>
        <v>-240</v>
      </c>
      <c r="Y47" s="3"/>
      <c r="Z47" s="7">
        <f t="shared" si="7"/>
        <v>-1</v>
      </c>
    </row>
    <row r="48" spans="1:26" s="69" customFormat="1" ht="15" customHeight="1" outlineLevel="1" collapsed="1" x14ac:dyDescent="0.3">
      <c r="A48" s="20"/>
      <c r="B48" s="11" t="str">
        <f>CONCATENATE("     ","Freight out/Postage                               ")</f>
        <v xml:space="preserve">     Freight out/Postage                               </v>
      </c>
      <c r="C48" s="11"/>
      <c r="D48" s="2">
        <f>SUM(OSRRefD22_5x_0)</f>
        <v>0</v>
      </c>
      <c r="E48" s="2"/>
      <c r="F48" s="5">
        <f t="shared" si="0"/>
        <v>0</v>
      </c>
      <c r="G48" s="2"/>
      <c r="H48" s="2">
        <f>SUM(OSRRefH22_5x_0)</f>
        <v>10</v>
      </c>
      <c r="I48" s="2"/>
      <c r="J48" s="5">
        <f t="shared" si="1"/>
        <v>2.5148375414948195E-4</v>
      </c>
      <c r="K48" s="2"/>
      <c r="L48" s="2">
        <f t="shared" si="2"/>
        <v>-10</v>
      </c>
      <c r="M48" s="2"/>
      <c r="N48" s="5">
        <f t="shared" si="3"/>
        <v>-1</v>
      </c>
      <c r="O48" s="11"/>
      <c r="P48" s="2">
        <f>SUM(OSRRefP22_5x_0)</f>
        <v>0.62</v>
      </c>
      <c r="Q48" s="2"/>
      <c r="R48" s="5">
        <f t="shared" si="4"/>
        <v>1.3399697858425708E-6</v>
      </c>
      <c r="S48" s="2"/>
      <c r="T48" s="2">
        <f>SUM(OSRRefT22_5x_0)</f>
        <v>120</v>
      </c>
      <c r="U48" s="2"/>
      <c r="V48" s="5">
        <f t="shared" si="5"/>
        <v>2.0031650007011078E-4</v>
      </c>
      <c r="W48" s="2"/>
      <c r="X48" s="2">
        <f t="shared" si="6"/>
        <v>-119.38</v>
      </c>
      <c r="Y48" s="2"/>
      <c r="Z48" s="5">
        <f t="shared" si="7"/>
        <v>-0.99483333333333335</v>
      </c>
    </row>
    <row r="49" spans="1:26" s="70" customFormat="1" ht="15" hidden="1" customHeight="1" outlineLevel="2" x14ac:dyDescent="0.3">
      <c r="A49" s="21"/>
      <c r="B49" s="9" t="str">
        <f>CONCATENATE("          ","6305"," - ","FREIGHT OUT")</f>
        <v xml:space="preserve">          6305 - FREIGHT OUT</v>
      </c>
      <c r="C49" s="9"/>
      <c r="D49" s="6"/>
      <c r="E49" s="3"/>
      <c r="F49" s="7">
        <f t="shared" si="0"/>
        <v>0</v>
      </c>
      <c r="G49" s="3"/>
      <c r="H49" s="6"/>
      <c r="I49" s="3"/>
      <c r="J49" s="7">
        <f t="shared" si="1"/>
        <v>0</v>
      </c>
      <c r="K49" s="3"/>
      <c r="L49" s="6">
        <f t="shared" si="2"/>
        <v>0</v>
      </c>
      <c r="M49" s="3"/>
      <c r="N49" s="7">
        <f t="shared" si="3"/>
        <v>0</v>
      </c>
      <c r="O49" s="9"/>
      <c r="P49" s="6">
        <v>0.62</v>
      </c>
      <c r="Q49" s="3"/>
      <c r="R49" s="7">
        <f t="shared" si="4"/>
        <v>1.3399697858425708E-6</v>
      </c>
      <c r="S49" s="3"/>
      <c r="T49" s="6"/>
      <c r="U49" s="3"/>
      <c r="V49" s="7">
        <f t="shared" si="5"/>
        <v>0</v>
      </c>
      <c r="W49" s="3"/>
      <c r="X49" s="6">
        <f t="shared" si="6"/>
        <v>0.62</v>
      </c>
      <c r="Y49" s="3"/>
      <c r="Z49" s="7">
        <f t="shared" si="7"/>
        <v>0</v>
      </c>
    </row>
    <row r="50" spans="1:26" s="70" customFormat="1" ht="15" hidden="1" customHeight="1" outlineLevel="2" x14ac:dyDescent="0.3">
      <c r="A50" s="21"/>
      <c r="B50" s="9" t="str">
        <f>CONCATENATE("          ","6307"," - ","POSTAGE")</f>
        <v xml:space="preserve">          6307 - POSTAGE</v>
      </c>
      <c r="C50" s="9"/>
      <c r="D50" s="6"/>
      <c r="E50" s="3"/>
      <c r="F50" s="7">
        <f t="shared" si="0"/>
        <v>0</v>
      </c>
      <c r="G50" s="3"/>
      <c r="H50" s="6">
        <v>10</v>
      </c>
      <c r="I50" s="3"/>
      <c r="J50" s="7">
        <f t="shared" si="1"/>
        <v>2.5148375414948195E-4</v>
      </c>
      <c r="K50" s="3"/>
      <c r="L50" s="6">
        <f t="shared" si="2"/>
        <v>-10</v>
      </c>
      <c r="M50" s="3"/>
      <c r="N50" s="7">
        <f t="shared" si="3"/>
        <v>-1</v>
      </c>
      <c r="O50" s="9"/>
      <c r="P50" s="6"/>
      <c r="Q50" s="3"/>
      <c r="R50" s="7">
        <f t="shared" si="4"/>
        <v>0</v>
      </c>
      <c r="S50" s="3"/>
      <c r="T50" s="6">
        <v>120</v>
      </c>
      <c r="U50" s="3"/>
      <c r="V50" s="7">
        <f t="shared" si="5"/>
        <v>2.0031650007011078E-4</v>
      </c>
      <c r="W50" s="3"/>
      <c r="X50" s="6">
        <f t="shared" si="6"/>
        <v>-120</v>
      </c>
      <c r="Y50" s="3"/>
      <c r="Z50" s="7">
        <f t="shared" si="7"/>
        <v>-1</v>
      </c>
    </row>
    <row r="51" spans="1:26" s="69" customFormat="1" ht="15" customHeight="1" outlineLevel="1" collapsed="1" x14ac:dyDescent="0.3">
      <c r="A51" s="20"/>
      <c r="B51" s="11" t="str">
        <f>CONCATENATE("     ","General                                           ")</f>
        <v xml:space="preserve">     General                                           </v>
      </c>
      <c r="C51" s="11"/>
      <c r="D51" s="2">
        <f>SUM(OSRRefD22_6x_0)</f>
        <v>0</v>
      </c>
      <c r="E51" s="2"/>
      <c r="F51" s="5">
        <f t="shared" ref="F51:F70" si="8">IF(D$12=0,0,D51/D$12)</f>
        <v>0</v>
      </c>
      <c r="G51" s="2"/>
      <c r="H51" s="2">
        <f>SUM(OSRRefH22_6x_0)</f>
        <v>50</v>
      </c>
      <c r="I51" s="2"/>
      <c r="J51" s="5">
        <f t="shared" ref="J51:J70" si="9">IF(H$12=0,0,H51/H$12)</f>
        <v>1.2574187707474096E-3</v>
      </c>
      <c r="K51" s="2"/>
      <c r="L51" s="2">
        <f t="shared" ref="L51:L70" si="10">+D51-H51</f>
        <v>-50</v>
      </c>
      <c r="M51" s="2"/>
      <c r="N51" s="5">
        <f t="shared" ref="N51:N70" si="11">IF(H51=0,0,L51/H51)</f>
        <v>-1</v>
      </c>
      <c r="O51" s="11"/>
      <c r="P51" s="2">
        <f>SUM(OSRRefP22_6x_0)</f>
        <v>0</v>
      </c>
      <c r="Q51" s="2"/>
      <c r="R51" s="5">
        <f t="shared" ref="R51:R70" si="12">IF(P$12=0,0,P51/P$12)</f>
        <v>0</v>
      </c>
      <c r="S51" s="2"/>
      <c r="T51" s="2">
        <f>SUM(OSRRefT22_6x_0)</f>
        <v>600</v>
      </c>
      <c r="U51" s="2"/>
      <c r="V51" s="5">
        <f t="shared" ref="V51:V70" si="13">IF(T$12=0,0,T51/T$12)</f>
        <v>1.001582500350554E-3</v>
      </c>
      <c r="W51" s="2"/>
      <c r="X51" s="2">
        <f t="shared" ref="X51:X70" si="14">+P51-T51</f>
        <v>-600</v>
      </c>
      <c r="Y51" s="2"/>
      <c r="Z51" s="5">
        <f t="shared" ref="Z51:Z70" si="15">IF(T51=0,0,X51/T51)</f>
        <v>-1</v>
      </c>
    </row>
    <row r="52" spans="1:26" s="70" customFormat="1" ht="15" hidden="1" customHeight="1" outlineLevel="2" x14ac:dyDescent="0.3">
      <c r="A52" s="21"/>
      <c r="B52" s="9" t="str">
        <f>CONCATENATE("          ","6279"," - ","GENERAL EXPENSE")</f>
        <v xml:space="preserve">          6279 - GENERAL EXPENSE</v>
      </c>
      <c r="C52" s="9"/>
      <c r="D52" s="6"/>
      <c r="E52" s="3"/>
      <c r="F52" s="7">
        <f t="shared" si="8"/>
        <v>0</v>
      </c>
      <c r="G52" s="3"/>
      <c r="H52" s="6">
        <v>50</v>
      </c>
      <c r="I52" s="3"/>
      <c r="J52" s="7">
        <f t="shared" si="9"/>
        <v>1.2574187707474096E-3</v>
      </c>
      <c r="K52" s="3"/>
      <c r="L52" s="6">
        <f t="shared" si="10"/>
        <v>-50</v>
      </c>
      <c r="M52" s="3"/>
      <c r="N52" s="7">
        <f t="shared" si="11"/>
        <v>-1</v>
      </c>
      <c r="O52" s="9"/>
      <c r="P52" s="6"/>
      <c r="Q52" s="3"/>
      <c r="R52" s="7">
        <f t="shared" si="12"/>
        <v>0</v>
      </c>
      <c r="S52" s="3"/>
      <c r="T52" s="6">
        <v>600</v>
      </c>
      <c r="U52" s="3"/>
      <c r="V52" s="7">
        <f t="shared" si="13"/>
        <v>1.001582500350554E-3</v>
      </c>
      <c r="W52" s="3"/>
      <c r="X52" s="6">
        <f t="shared" si="14"/>
        <v>-600</v>
      </c>
      <c r="Y52" s="3"/>
      <c r="Z52" s="7">
        <f t="shared" si="15"/>
        <v>-1</v>
      </c>
    </row>
    <row r="53" spans="1:26" s="69" customFormat="1" ht="15" customHeight="1" outlineLevel="1" collapsed="1" x14ac:dyDescent="0.3">
      <c r="A53" s="20"/>
      <c r="B53" s="11" t="str">
        <f>CONCATENATE("     ","Insurance                                         ")</f>
        <v xml:space="preserve">     Insurance                                         </v>
      </c>
      <c r="C53" s="11"/>
      <c r="D53" s="2">
        <f>SUM(OSRRefD22_7x_0)</f>
        <v>-12.25</v>
      </c>
      <c r="E53" s="2"/>
      <c r="F53" s="5">
        <f t="shared" si="8"/>
        <v>-4.9301726566587515E-4</v>
      </c>
      <c r="G53" s="2"/>
      <c r="H53" s="2">
        <f>SUM(OSRRefH22_7x_0)</f>
        <v>40</v>
      </c>
      <c r="I53" s="2"/>
      <c r="J53" s="5">
        <f t="shared" si="9"/>
        <v>1.0059350165979278E-3</v>
      </c>
      <c r="K53" s="2"/>
      <c r="L53" s="2">
        <f t="shared" si="10"/>
        <v>-52.25</v>
      </c>
      <c r="M53" s="2"/>
      <c r="N53" s="5">
        <f t="shared" si="11"/>
        <v>-1.3062499999999999</v>
      </c>
      <c r="O53" s="11"/>
      <c r="P53" s="2">
        <f>SUM(OSRRefP22_7x_0)</f>
        <v>421.48</v>
      </c>
      <c r="Q53" s="2"/>
      <c r="R53" s="5">
        <f t="shared" si="12"/>
        <v>9.1092010538213993E-4</v>
      </c>
      <c r="S53" s="2"/>
      <c r="T53" s="2">
        <f>SUM(OSRRefT22_7x_0)</f>
        <v>480</v>
      </c>
      <c r="U53" s="2"/>
      <c r="V53" s="5">
        <f t="shared" si="13"/>
        <v>8.0126600028044312E-4</v>
      </c>
      <c r="W53" s="2"/>
      <c r="X53" s="2">
        <f t="shared" si="14"/>
        <v>-58.519999999999982</v>
      </c>
      <c r="Y53" s="2"/>
      <c r="Z53" s="5">
        <f t="shared" si="15"/>
        <v>-0.12191666666666663</v>
      </c>
    </row>
    <row r="54" spans="1:26" s="70" customFormat="1" ht="15" hidden="1" customHeight="1" outlineLevel="2" x14ac:dyDescent="0.3">
      <c r="A54" s="21"/>
      <c r="B54" s="9" t="str">
        <f>CONCATENATE("          ","6314"," - ","LIABILITY INSURANCE")</f>
        <v xml:space="preserve">          6314 - LIABILITY INSURANCE</v>
      </c>
      <c r="C54" s="9"/>
      <c r="D54" s="6">
        <v>-12.25</v>
      </c>
      <c r="E54" s="3"/>
      <c r="F54" s="7">
        <f t="shared" si="8"/>
        <v>-4.9301726566587515E-4</v>
      </c>
      <c r="G54" s="3"/>
      <c r="H54" s="6">
        <v>40</v>
      </c>
      <c r="I54" s="3"/>
      <c r="J54" s="7">
        <f t="shared" si="9"/>
        <v>1.0059350165979278E-3</v>
      </c>
      <c r="K54" s="3"/>
      <c r="L54" s="6">
        <f t="shared" si="10"/>
        <v>-52.25</v>
      </c>
      <c r="M54" s="3"/>
      <c r="N54" s="7">
        <f t="shared" si="11"/>
        <v>-1.3062499999999999</v>
      </c>
      <c r="O54" s="9"/>
      <c r="P54" s="6">
        <v>421.48</v>
      </c>
      <c r="Q54" s="3"/>
      <c r="R54" s="7">
        <f t="shared" si="12"/>
        <v>9.1092010538213993E-4</v>
      </c>
      <c r="S54" s="3"/>
      <c r="T54" s="6">
        <v>480</v>
      </c>
      <c r="U54" s="3"/>
      <c r="V54" s="7">
        <f t="shared" si="13"/>
        <v>8.0126600028044312E-4</v>
      </c>
      <c r="W54" s="3"/>
      <c r="X54" s="6">
        <f t="shared" si="14"/>
        <v>-58.519999999999982</v>
      </c>
      <c r="Y54" s="3"/>
      <c r="Z54" s="7">
        <f t="shared" si="15"/>
        <v>-0.12191666666666663</v>
      </c>
    </row>
    <row r="55" spans="1:26" s="69" customFormat="1" ht="15" customHeight="1" outlineLevel="1" collapsed="1" x14ac:dyDescent="0.3">
      <c r="A55" s="20"/>
      <c r="B55" s="11" t="str">
        <f>CONCATENATE("     ","Rent                                              ")</f>
        <v xml:space="preserve">     Rent                                              </v>
      </c>
      <c r="C55" s="11"/>
      <c r="D55" s="2">
        <f>SUM(OSRRefD22_8x_0)</f>
        <v>0</v>
      </c>
      <c r="E55" s="2"/>
      <c r="F55" s="5">
        <f t="shared" si="8"/>
        <v>0</v>
      </c>
      <c r="G55" s="2"/>
      <c r="H55" s="2">
        <f>SUM(OSRRefH22_8x_0)</f>
        <v>800</v>
      </c>
      <c r="I55" s="2"/>
      <c r="J55" s="5">
        <f t="shared" si="9"/>
        <v>2.0118700331958554E-2</v>
      </c>
      <c r="K55" s="2"/>
      <c r="L55" s="2">
        <f t="shared" si="10"/>
        <v>-800</v>
      </c>
      <c r="M55" s="2"/>
      <c r="N55" s="5">
        <f t="shared" si="11"/>
        <v>-1</v>
      </c>
      <c r="O55" s="11"/>
      <c r="P55" s="2">
        <f>SUM(OSRRefP22_8x_0)</f>
        <v>8800</v>
      </c>
      <c r="Q55" s="2"/>
      <c r="R55" s="5">
        <f t="shared" si="12"/>
        <v>1.901892599260423E-2</v>
      </c>
      <c r="S55" s="2"/>
      <c r="T55" s="2">
        <f>SUM(OSRRefT22_8x_0)</f>
        <v>9600</v>
      </c>
      <c r="U55" s="2"/>
      <c r="V55" s="5">
        <f t="shared" si="13"/>
        <v>1.6025320005608863E-2</v>
      </c>
      <c r="W55" s="2"/>
      <c r="X55" s="2">
        <f t="shared" si="14"/>
        <v>-800</v>
      </c>
      <c r="Y55" s="2"/>
      <c r="Z55" s="5">
        <f t="shared" si="15"/>
        <v>-8.3333333333333329E-2</v>
      </c>
    </row>
    <row r="56" spans="1:26" s="70" customFormat="1" ht="15" hidden="1" customHeight="1" outlineLevel="2" x14ac:dyDescent="0.3">
      <c r="A56" s="21"/>
      <c r="B56" s="9" t="str">
        <f>CONCATENATE("          ","6273"," - ","RENT")</f>
        <v xml:space="preserve">          6273 - RENT</v>
      </c>
      <c r="C56" s="9"/>
      <c r="D56" s="6">
        <v>0</v>
      </c>
      <c r="E56" s="3"/>
      <c r="F56" s="7">
        <f t="shared" si="8"/>
        <v>0</v>
      </c>
      <c r="G56" s="3"/>
      <c r="H56" s="6">
        <v>800</v>
      </c>
      <c r="I56" s="3"/>
      <c r="J56" s="7">
        <f t="shared" si="9"/>
        <v>2.0118700331958554E-2</v>
      </c>
      <c r="K56" s="3"/>
      <c r="L56" s="6">
        <f t="shared" si="10"/>
        <v>-800</v>
      </c>
      <c r="M56" s="3"/>
      <c r="N56" s="7">
        <f t="shared" si="11"/>
        <v>-1</v>
      </c>
      <c r="O56" s="9"/>
      <c r="P56" s="6">
        <v>8800</v>
      </c>
      <c r="Q56" s="3"/>
      <c r="R56" s="7">
        <f t="shared" si="12"/>
        <v>1.901892599260423E-2</v>
      </c>
      <c r="S56" s="3"/>
      <c r="T56" s="6">
        <v>9600</v>
      </c>
      <c r="U56" s="3"/>
      <c r="V56" s="7">
        <f t="shared" si="13"/>
        <v>1.6025320005608863E-2</v>
      </c>
      <c r="W56" s="3"/>
      <c r="X56" s="6">
        <f t="shared" si="14"/>
        <v>-800</v>
      </c>
      <c r="Y56" s="3"/>
      <c r="Z56" s="7">
        <f t="shared" si="15"/>
        <v>-8.3333333333333329E-2</v>
      </c>
    </row>
    <row r="57" spans="1:26" s="69" customFormat="1" ht="15" customHeight="1" outlineLevel="1" collapsed="1" x14ac:dyDescent="0.3">
      <c r="A57" s="20"/>
      <c r="B57" s="11" t="str">
        <f>CONCATENATE("     ","Repair and Maintenance                            ")</f>
        <v xml:space="preserve">     Repair and Maintenance                            </v>
      </c>
      <c r="C57" s="11"/>
      <c r="D57" s="2">
        <f>SUM(OSRRefD22_9x_0)</f>
        <v>0</v>
      </c>
      <c r="E57" s="2"/>
      <c r="F57" s="5">
        <f t="shared" si="8"/>
        <v>0</v>
      </c>
      <c r="G57" s="2"/>
      <c r="H57" s="2">
        <f>SUM(OSRRefH22_9x_0)</f>
        <v>3200</v>
      </c>
      <c r="I57" s="2"/>
      <c r="J57" s="5">
        <f t="shared" si="9"/>
        <v>8.0474801327834217E-2</v>
      </c>
      <c r="K57" s="2"/>
      <c r="L57" s="2">
        <f t="shared" si="10"/>
        <v>-3200</v>
      </c>
      <c r="M57" s="2"/>
      <c r="N57" s="5">
        <f t="shared" si="11"/>
        <v>-1</v>
      </c>
      <c r="O57" s="11"/>
      <c r="P57" s="2">
        <f>SUM(OSRRefP22_9x_0)</f>
        <v>131139.97</v>
      </c>
      <c r="Q57" s="2"/>
      <c r="R57" s="5">
        <f t="shared" si="12"/>
        <v>0.28342515728435674</v>
      </c>
      <c r="S57" s="2"/>
      <c r="T57" s="2">
        <f>SUM(OSRRefT22_9x_0)</f>
        <v>163400</v>
      </c>
      <c r="U57" s="2"/>
      <c r="V57" s="5">
        <f t="shared" si="13"/>
        <v>0.27276430092880083</v>
      </c>
      <c r="W57" s="2"/>
      <c r="X57" s="2">
        <f t="shared" si="14"/>
        <v>-32260.03</v>
      </c>
      <c r="Y57" s="2"/>
      <c r="Z57" s="5">
        <f t="shared" si="15"/>
        <v>-0.19742980416156669</v>
      </c>
    </row>
    <row r="58" spans="1:26" s="70" customFormat="1" ht="15" hidden="1" customHeight="1" outlineLevel="2" x14ac:dyDescent="0.3">
      <c r="A58" s="21"/>
      <c r="B58" s="9" t="str">
        <f>CONCATENATE("          ","6371"," - ","COMPUTER SOFTWARE MAINTENANCE")</f>
        <v xml:space="preserve">          6371 - COMPUTER SOFTWARE MAINTENANCE</v>
      </c>
      <c r="C58" s="9"/>
      <c r="D58" s="6"/>
      <c r="E58" s="3"/>
      <c r="F58" s="7">
        <f t="shared" si="8"/>
        <v>0</v>
      </c>
      <c r="G58" s="3"/>
      <c r="H58" s="6"/>
      <c r="I58" s="3"/>
      <c r="J58" s="7">
        <f t="shared" si="9"/>
        <v>0</v>
      </c>
      <c r="K58" s="3"/>
      <c r="L58" s="6">
        <f t="shared" si="10"/>
        <v>0</v>
      </c>
      <c r="M58" s="3"/>
      <c r="N58" s="7">
        <f t="shared" si="11"/>
        <v>0</v>
      </c>
      <c r="O58" s="9"/>
      <c r="P58" s="6">
        <v>7583.7</v>
      </c>
      <c r="Q58" s="3"/>
      <c r="R58" s="7">
        <f t="shared" si="12"/>
        <v>1.6390207846603718E-2</v>
      </c>
      <c r="S58" s="3"/>
      <c r="T58" s="6">
        <v>125000</v>
      </c>
      <c r="U58" s="3"/>
      <c r="V58" s="7">
        <f t="shared" si="13"/>
        <v>0.2086630209063654</v>
      </c>
      <c r="W58" s="3"/>
      <c r="X58" s="6">
        <f t="shared" si="14"/>
        <v>-117416.3</v>
      </c>
      <c r="Y58" s="3"/>
      <c r="Z58" s="7">
        <f t="shared" si="15"/>
        <v>-0.93933040000000001</v>
      </c>
    </row>
    <row r="59" spans="1:26" s="70" customFormat="1" ht="15" hidden="1" customHeight="1" outlineLevel="2" x14ac:dyDescent="0.3">
      <c r="A59" s="21"/>
      <c r="B59" s="9" t="str">
        <f>CONCATENATE("          ","6372"," - ","COMPUTER HARDWARE MAINTENANCE")</f>
        <v xml:space="preserve">          6372 - COMPUTER HARDWARE MAINTENANCE</v>
      </c>
      <c r="C59" s="9"/>
      <c r="D59" s="6"/>
      <c r="E59" s="3"/>
      <c r="F59" s="7">
        <f t="shared" si="8"/>
        <v>0</v>
      </c>
      <c r="G59" s="3"/>
      <c r="H59" s="6">
        <v>3200</v>
      </c>
      <c r="I59" s="3"/>
      <c r="J59" s="7">
        <f t="shared" si="9"/>
        <v>8.0474801327834217E-2</v>
      </c>
      <c r="K59" s="3"/>
      <c r="L59" s="6">
        <f t="shared" si="10"/>
        <v>-3200</v>
      </c>
      <c r="M59" s="3"/>
      <c r="N59" s="7">
        <f t="shared" si="11"/>
        <v>-1</v>
      </c>
      <c r="O59" s="9"/>
      <c r="P59" s="6">
        <v>1555.65</v>
      </c>
      <c r="Q59" s="3"/>
      <c r="R59" s="7">
        <f t="shared" si="12"/>
        <v>3.3621354795903154E-3</v>
      </c>
      <c r="S59" s="3"/>
      <c r="T59" s="6">
        <v>38400</v>
      </c>
      <c r="U59" s="3"/>
      <c r="V59" s="7">
        <f t="shared" si="13"/>
        <v>6.4101280022435453E-2</v>
      </c>
      <c r="W59" s="3"/>
      <c r="X59" s="6">
        <f t="shared" si="14"/>
        <v>-36844.35</v>
      </c>
      <c r="Y59" s="3"/>
      <c r="Z59" s="7">
        <f t="shared" si="15"/>
        <v>-0.95948828124999996</v>
      </c>
    </row>
    <row r="60" spans="1:26" s="70" customFormat="1" ht="15" hidden="1" customHeight="1" outlineLevel="2" x14ac:dyDescent="0.3">
      <c r="A60" s="21"/>
      <c r="B60" s="9" t="str">
        <f>CONCATENATE("          ","6373"," - ","MAINTENANCE CONTRACTS")</f>
        <v xml:space="preserve">          6373 - MAINTENANCE CONTRACTS</v>
      </c>
      <c r="C60" s="9"/>
      <c r="D60" s="6"/>
      <c r="E60" s="3"/>
      <c r="F60" s="7">
        <f t="shared" si="8"/>
        <v>0</v>
      </c>
      <c r="G60" s="3"/>
      <c r="H60" s="6"/>
      <c r="I60" s="3"/>
      <c r="J60" s="7">
        <f t="shared" si="9"/>
        <v>0</v>
      </c>
      <c r="K60" s="3"/>
      <c r="L60" s="6">
        <f t="shared" si="10"/>
        <v>0</v>
      </c>
      <c r="M60" s="3"/>
      <c r="N60" s="7">
        <f t="shared" si="11"/>
        <v>0</v>
      </c>
      <c r="O60" s="9"/>
      <c r="P60" s="6">
        <v>122000.62</v>
      </c>
      <c r="Q60" s="3"/>
      <c r="R60" s="7">
        <f t="shared" si="12"/>
        <v>0.26367281395816267</v>
      </c>
      <c r="S60" s="3"/>
      <c r="T60" s="6"/>
      <c r="U60" s="3"/>
      <c r="V60" s="7">
        <f t="shared" si="13"/>
        <v>0</v>
      </c>
      <c r="W60" s="3"/>
      <c r="X60" s="6">
        <f t="shared" si="14"/>
        <v>122000.62</v>
      </c>
      <c r="Y60" s="3"/>
      <c r="Z60" s="7">
        <f t="shared" si="15"/>
        <v>0</v>
      </c>
    </row>
    <row r="61" spans="1:26" s="69" customFormat="1" ht="15" customHeight="1" outlineLevel="1" collapsed="1" x14ac:dyDescent="0.3">
      <c r="A61" s="20"/>
      <c r="B61" s="11" t="str">
        <f>CONCATENATE("     ","Subscriptions &amp; Dues                              ")</f>
        <v xml:space="preserve">     Subscriptions &amp; Dues                              </v>
      </c>
      <c r="C61" s="11"/>
      <c r="D61" s="2">
        <f>SUM(OSRRefD22_10x_0)</f>
        <v>0</v>
      </c>
      <c r="E61" s="2"/>
      <c r="F61" s="5">
        <f t="shared" si="8"/>
        <v>0</v>
      </c>
      <c r="G61" s="2"/>
      <c r="H61" s="2">
        <f>SUM(OSRRefH22_10x_0)</f>
        <v>85</v>
      </c>
      <c r="I61" s="2"/>
      <c r="J61" s="5">
        <f t="shared" si="9"/>
        <v>2.1376119102705965E-3</v>
      </c>
      <c r="K61" s="2"/>
      <c r="L61" s="2">
        <f t="shared" si="10"/>
        <v>-85</v>
      </c>
      <c r="M61" s="2"/>
      <c r="N61" s="5">
        <f t="shared" si="11"/>
        <v>-1</v>
      </c>
      <c r="O61" s="11"/>
      <c r="P61" s="2">
        <f>SUM(OSRRefP22_10x_0)</f>
        <v>935</v>
      </c>
      <c r="Q61" s="2"/>
      <c r="R61" s="5">
        <f t="shared" si="12"/>
        <v>2.0207608867141994E-3</v>
      </c>
      <c r="S61" s="2"/>
      <c r="T61" s="2">
        <f>SUM(OSRRefT22_10x_0)</f>
        <v>1020</v>
      </c>
      <c r="U61" s="2"/>
      <c r="V61" s="5">
        <f t="shared" si="13"/>
        <v>1.7026902505959415E-3</v>
      </c>
      <c r="W61" s="2"/>
      <c r="X61" s="2">
        <f t="shared" si="14"/>
        <v>-85</v>
      </c>
      <c r="Y61" s="2"/>
      <c r="Z61" s="5">
        <f t="shared" si="15"/>
        <v>-8.3333333333333329E-2</v>
      </c>
    </row>
    <row r="62" spans="1:26" s="70" customFormat="1" ht="15" hidden="1" customHeight="1" outlineLevel="2" x14ac:dyDescent="0.3">
      <c r="A62" s="21"/>
      <c r="B62" s="9" t="str">
        <f>CONCATENATE("          ","6258"," - ","MEMBERSHIP DUES")</f>
        <v xml:space="preserve">          6258 - MEMBERSHIP DUES</v>
      </c>
      <c r="C62" s="9"/>
      <c r="D62" s="6"/>
      <c r="E62" s="3"/>
      <c r="F62" s="7">
        <f t="shared" si="8"/>
        <v>0</v>
      </c>
      <c r="G62" s="3"/>
      <c r="H62" s="6">
        <v>85</v>
      </c>
      <c r="I62" s="3"/>
      <c r="J62" s="7">
        <f t="shared" si="9"/>
        <v>2.1376119102705965E-3</v>
      </c>
      <c r="K62" s="3"/>
      <c r="L62" s="6">
        <f t="shared" si="10"/>
        <v>-85</v>
      </c>
      <c r="M62" s="3"/>
      <c r="N62" s="7">
        <f t="shared" si="11"/>
        <v>-1</v>
      </c>
      <c r="O62" s="9"/>
      <c r="P62" s="6">
        <v>935</v>
      </c>
      <c r="Q62" s="3"/>
      <c r="R62" s="7">
        <f t="shared" si="12"/>
        <v>2.0207608867141994E-3</v>
      </c>
      <c r="S62" s="3"/>
      <c r="T62" s="6">
        <v>1020</v>
      </c>
      <c r="U62" s="3"/>
      <c r="V62" s="7">
        <f t="shared" si="13"/>
        <v>1.7026902505959415E-3</v>
      </c>
      <c r="W62" s="3"/>
      <c r="X62" s="6">
        <f t="shared" si="14"/>
        <v>-85</v>
      </c>
      <c r="Y62" s="3"/>
      <c r="Z62" s="7">
        <f t="shared" si="15"/>
        <v>-8.3333333333333329E-2</v>
      </c>
    </row>
    <row r="63" spans="1:26" s="69" customFormat="1" ht="15" customHeight="1" outlineLevel="1" collapsed="1" x14ac:dyDescent="0.3">
      <c r="A63" s="20"/>
      <c r="B63" s="11" t="str">
        <f>CONCATENATE("     ","Supplies                                          ")</f>
        <v xml:space="preserve">     Supplies                                          </v>
      </c>
      <c r="C63" s="11"/>
      <c r="D63" s="2">
        <f>SUM(OSRRefD22_11x_0)</f>
        <v>2371.86</v>
      </c>
      <c r="E63" s="2"/>
      <c r="F63" s="5">
        <f t="shared" si="8"/>
        <v>9.5458606672837773E-2</v>
      </c>
      <c r="G63" s="2"/>
      <c r="H63" s="2">
        <f>SUM(OSRRefH22_11x_0)</f>
        <v>5800</v>
      </c>
      <c r="I63" s="2"/>
      <c r="J63" s="5">
        <f t="shared" si="9"/>
        <v>0.14586057740669953</v>
      </c>
      <c r="K63" s="2"/>
      <c r="L63" s="2">
        <f t="shared" si="10"/>
        <v>-3428.14</v>
      </c>
      <c r="M63" s="2"/>
      <c r="N63" s="5">
        <f t="shared" si="11"/>
        <v>-0.5910586206896552</v>
      </c>
      <c r="O63" s="11"/>
      <c r="P63" s="2">
        <f>SUM(OSRRefP22_11x_0)</f>
        <v>48738.77</v>
      </c>
      <c r="Q63" s="2"/>
      <c r="R63" s="5">
        <f t="shared" si="12"/>
        <v>0.10533625677279082</v>
      </c>
      <c r="S63" s="2"/>
      <c r="T63" s="2">
        <f>SUM(OSRRefT22_11x_0)</f>
        <v>69600</v>
      </c>
      <c r="U63" s="2"/>
      <c r="V63" s="5">
        <f t="shared" si="13"/>
        <v>0.11618357004066425</v>
      </c>
      <c r="W63" s="2"/>
      <c r="X63" s="2">
        <f t="shared" si="14"/>
        <v>-20861.230000000003</v>
      </c>
      <c r="Y63" s="2"/>
      <c r="Z63" s="5">
        <f t="shared" si="15"/>
        <v>-0.29973031609195405</v>
      </c>
    </row>
    <row r="64" spans="1:26" s="70" customFormat="1" ht="15" hidden="1" customHeight="1" outlineLevel="2" x14ac:dyDescent="0.3">
      <c r="A64" s="21"/>
      <c r="B64" s="9" t="str">
        <f>CONCATENATE("          ","6234"," - ","EXPENDABLE SUPPLIES &amp; EQUIPMEN")</f>
        <v xml:space="preserve">          6234 - EXPENDABLE SUPPLIES &amp; EQUIPMEN</v>
      </c>
      <c r="C64" s="9"/>
      <c r="D64" s="6"/>
      <c r="E64" s="3"/>
      <c r="F64" s="7">
        <f t="shared" si="8"/>
        <v>0</v>
      </c>
      <c r="G64" s="3"/>
      <c r="H64" s="6">
        <v>5800</v>
      </c>
      <c r="I64" s="3"/>
      <c r="J64" s="7">
        <f t="shared" si="9"/>
        <v>0.14586057740669953</v>
      </c>
      <c r="K64" s="3"/>
      <c r="L64" s="6">
        <f t="shared" si="10"/>
        <v>-5800</v>
      </c>
      <c r="M64" s="3"/>
      <c r="N64" s="7">
        <f t="shared" si="11"/>
        <v>-1</v>
      </c>
      <c r="O64" s="9"/>
      <c r="P64" s="6"/>
      <c r="Q64" s="3"/>
      <c r="R64" s="7">
        <f t="shared" si="12"/>
        <v>0</v>
      </c>
      <c r="S64" s="3"/>
      <c r="T64" s="6">
        <v>69600</v>
      </c>
      <c r="U64" s="3"/>
      <c r="V64" s="7">
        <f t="shared" si="13"/>
        <v>0.11618357004066425</v>
      </c>
      <c r="W64" s="3"/>
      <c r="X64" s="6">
        <f t="shared" si="14"/>
        <v>-69600</v>
      </c>
      <c r="Y64" s="3"/>
      <c r="Z64" s="7">
        <f t="shared" si="15"/>
        <v>-1</v>
      </c>
    </row>
    <row r="65" spans="1:26" s="70" customFormat="1" ht="15" hidden="1" customHeight="1" outlineLevel="2" x14ac:dyDescent="0.3">
      <c r="A65" s="21"/>
      <c r="B65" s="9" t="str">
        <f>CONCATENATE("          ","6241"," - ","OFFICE EXPENSE")</f>
        <v xml:space="preserve">          6241 - OFFICE EXPENSE</v>
      </c>
      <c r="C65" s="9"/>
      <c r="D65" s="6">
        <v>2371.86</v>
      </c>
      <c r="E65" s="3"/>
      <c r="F65" s="7">
        <f t="shared" si="8"/>
        <v>9.5458606672837773E-2</v>
      </c>
      <c r="G65" s="3"/>
      <c r="H65" s="6"/>
      <c r="I65" s="3"/>
      <c r="J65" s="7">
        <f t="shared" si="9"/>
        <v>0</v>
      </c>
      <c r="K65" s="3"/>
      <c r="L65" s="6">
        <f t="shared" si="10"/>
        <v>2371.86</v>
      </c>
      <c r="M65" s="3"/>
      <c r="N65" s="7">
        <f t="shared" si="11"/>
        <v>0</v>
      </c>
      <c r="O65" s="9"/>
      <c r="P65" s="6">
        <v>48713.42</v>
      </c>
      <c r="Q65" s="3"/>
      <c r="R65" s="7">
        <f t="shared" si="12"/>
        <v>0.10528146929848259</v>
      </c>
      <c r="S65" s="3"/>
      <c r="T65" s="6"/>
      <c r="U65" s="3"/>
      <c r="V65" s="7">
        <f t="shared" si="13"/>
        <v>0</v>
      </c>
      <c r="W65" s="3"/>
      <c r="X65" s="6">
        <f t="shared" si="14"/>
        <v>48713.42</v>
      </c>
      <c r="Y65" s="3"/>
      <c r="Z65" s="7">
        <f t="shared" si="15"/>
        <v>0</v>
      </c>
    </row>
    <row r="66" spans="1:26" s="70" customFormat="1" ht="15" hidden="1" customHeight="1" outlineLevel="2" x14ac:dyDescent="0.3">
      <c r="A66" s="21"/>
      <c r="B66" s="9" t="str">
        <f>CONCATENATE("          ","6247"," - ","STORE SUPPLIES")</f>
        <v xml:space="preserve">          6247 - STORE SUPPLIES</v>
      </c>
      <c r="C66" s="9"/>
      <c r="D66" s="6"/>
      <c r="E66" s="3"/>
      <c r="F66" s="7">
        <f t="shared" si="8"/>
        <v>0</v>
      </c>
      <c r="G66" s="3"/>
      <c r="H66" s="6"/>
      <c r="I66" s="3"/>
      <c r="J66" s="7">
        <f t="shared" si="9"/>
        <v>0</v>
      </c>
      <c r="K66" s="3"/>
      <c r="L66" s="6">
        <f t="shared" si="10"/>
        <v>0</v>
      </c>
      <c r="M66" s="3"/>
      <c r="N66" s="7">
        <f t="shared" si="11"/>
        <v>0</v>
      </c>
      <c r="O66" s="9"/>
      <c r="P66" s="6">
        <v>25.35</v>
      </c>
      <c r="Q66" s="3"/>
      <c r="R66" s="7">
        <f t="shared" si="12"/>
        <v>5.4787474308240601E-5</v>
      </c>
      <c r="S66" s="3"/>
      <c r="T66" s="6"/>
      <c r="U66" s="3"/>
      <c r="V66" s="7">
        <f t="shared" si="13"/>
        <v>0</v>
      </c>
      <c r="W66" s="3"/>
      <c r="X66" s="6">
        <f t="shared" si="14"/>
        <v>25.35</v>
      </c>
      <c r="Y66" s="3"/>
      <c r="Z66" s="7">
        <f t="shared" si="15"/>
        <v>0</v>
      </c>
    </row>
    <row r="67" spans="1:26" s="69" customFormat="1" ht="15" customHeight="1" outlineLevel="1" collapsed="1" x14ac:dyDescent="0.3">
      <c r="A67" s="20"/>
      <c r="B67" s="11" t="str">
        <f>CONCATENATE("     ","Telephone/Data Lines                              ")</f>
        <v xml:space="preserve">     Telephone/Data Lines                              </v>
      </c>
      <c r="C67" s="11"/>
      <c r="D67" s="2">
        <f>SUM(OSRRefD22_12x_0)</f>
        <v>42</v>
      </c>
      <c r="E67" s="2"/>
      <c r="F67" s="5">
        <f t="shared" si="8"/>
        <v>1.6903449108544291E-3</v>
      </c>
      <c r="G67" s="2"/>
      <c r="H67" s="2">
        <f>SUM(OSRRefH22_12x_0)</f>
        <v>350</v>
      </c>
      <c r="I67" s="2"/>
      <c r="J67" s="5">
        <f t="shared" si="9"/>
        <v>8.8019313952318688E-3</v>
      </c>
      <c r="K67" s="2"/>
      <c r="L67" s="2">
        <f t="shared" si="10"/>
        <v>-308</v>
      </c>
      <c r="M67" s="2"/>
      <c r="N67" s="5">
        <f t="shared" si="11"/>
        <v>-0.88</v>
      </c>
      <c r="O67" s="11"/>
      <c r="P67" s="2">
        <f>SUM(OSRRefP22_12x_0)</f>
        <v>506.49</v>
      </c>
      <c r="Q67" s="2"/>
      <c r="R67" s="5">
        <f t="shared" si="12"/>
        <v>1.0946472529538771E-3</v>
      </c>
      <c r="S67" s="2"/>
      <c r="T67" s="2">
        <f>SUM(OSRRefT22_12x_0)</f>
        <v>4200</v>
      </c>
      <c r="U67" s="2"/>
      <c r="V67" s="5">
        <f t="shared" si="13"/>
        <v>7.0110775024538772E-3</v>
      </c>
      <c r="W67" s="2"/>
      <c r="X67" s="2">
        <f t="shared" si="14"/>
        <v>-3693.51</v>
      </c>
      <c r="Y67" s="2"/>
      <c r="Z67" s="5">
        <f t="shared" si="15"/>
        <v>-0.87940714285714294</v>
      </c>
    </row>
    <row r="68" spans="1:26" s="70" customFormat="1" ht="15" hidden="1" customHeight="1" outlineLevel="2" x14ac:dyDescent="0.3">
      <c r="A68" s="21"/>
      <c r="B68" s="9" t="str">
        <f>CONCATENATE("          ","6309"," - ","TELEPHONE")</f>
        <v xml:space="preserve">          6309 - TELEPHONE</v>
      </c>
      <c r="C68" s="9"/>
      <c r="D68" s="6">
        <v>42</v>
      </c>
      <c r="E68" s="3"/>
      <c r="F68" s="7">
        <f t="shared" si="8"/>
        <v>1.6903449108544291E-3</v>
      </c>
      <c r="G68" s="3"/>
      <c r="H68" s="6">
        <v>350</v>
      </c>
      <c r="I68" s="3"/>
      <c r="J68" s="7">
        <f t="shared" si="9"/>
        <v>8.8019313952318688E-3</v>
      </c>
      <c r="K68" s="3"/>
      <c r="L68" s="6">
        <f t="shared" si="10"/>
        <v>-308</v>
      </c>
      <c r="M68" s="3"/>
      <c r="N68" s="7">
        <f t="shared" si="11"/>
        <v>-0.88</v>
      </c>
      <c r="O68" s="9"/>
      <c r="P68" s="6">
        <v>506.49</v>
      </c>
      <c r="Q68" s="3"/>
      <c r="R68" s="7">
        <f t="shared" si="12"/>
        <v>1.0946472529538771E-3</v>
      </c>
      <c r="S68" s="3"/>
      <c r="T68" s="6">
        <v>4200</v>
      </c>
      <c r="U68" s="3"/>
      <c r="V68" s="7">
        <f t="shared" si="13"/>
        <v>7.0110775024538772E-3</v>
      </c>
      <c r="W68" s="3"/>
      <c r="X68" s="6">
        <f t="shared" si="14"/>
        <v>-3693.51</v>
      </c>
      <c r="Y68" s="3"/>
      <c r="Z68" s="7">
        <f t="shared" si="15"/>
        <v>-0.87940714285714294</v>
      </c>
    </row>
    <row r="69" spans="1:26" s="69" customFormat="1" ht="15" customHeight="1" outlineLevel="1" collapsed="1" x14ac:dyDescent="0.3">
      <c r="A69" s="20"/>
      <c r="B69" s="11" t="str">
        <f>CONCATENATE("     ","Training                                          ")</f>
        <v xml:space="preserve">     Training                                          </v>
      </c>
      <c r="C69" s="11"/>
      <c r="D69" s="2">
        <f>SUM(OSRRefD22_13x_0)</f>
        <v>0</v>
      </c>
      <c r="E69" s="2"/>
      <c r="F69" s="5">
        <f t="shared" si="8"/>
        <v>0</v>
      </c>
      <c r="G69" s="2"/>
      <c r="H69" s="2">
        <f>SUM(OSRRefH22_13x_0)</f>
        <v>0</v>
      </c>
      <c r="I69" s="2"/>
      <c r="J69" s="5">
        <f t="shared" si="9"/>
        <v>0</v>
      </c>
      <c r="K69" s="2"/>
      <c r="L69" s="2">
        <f t="shared" si="10"/>
        <v>0</v>
      </c>
      <c r="M69" s="2"/>
      <c r="N69" s="5">
        <f t="shared" si="11"/>
        <v>0</v>
      </c>
      <c r="O69" s="11"/>
      <c r="P69" s="2">
        <f>SUM(OSRRefP22_13x_0)</f>
        <v>2000</v>
      </c>
      <c r="Q69" s="2"/>
      <c r="R69" s="5">
        <f t="shared" si="12"/>
        <v>4.3224831801373254E-3</v>
      </c>
      <c r="S69" s="2"/>
      <c r="T69" s="2">
        <f>SUM(OSRRefT22_13x_0)</f>
        <v>4500</v>
      </c>
      <c r="U69" s="2"/>
      <c r="V69" s="5">
        <f t="shared" si="13"/>
        <v>7.511868752629154E-3</v>
      </c>
      <c r="W69" s="2"/>
      <c r="X69" s="2">
        <f t="shared" si="14"/>
        <v>-2500</v>
      </c>
      <c r="Y69" s="2"/>
      <c r="Z69" s="5">
        <f t="shared" si="15"/>
        <v>-0.55555555555555558</v>
      </c>
    </row>
    <row r="70" spans="1:26" s="70" customFormat="1" ht="15" hidden="1" customHeight="1" outlineLevel="2" x14ac:dyDescent="0.3">
      <c r="A70" s="21"/>
      <c r="B70" s="9" t="str">
        <f>CONCATENATE("          ","6376"," - ","TRAINING")</f>
        <v xml:space="preserve">          6376 - TRAINING</v>
      </c>
      <c r="C70" s="9"/>
      <c r="D70" s="6"/>
      <c r="E70" s="3"/>
      <c r="F70" s="7">
        <f t="shared" si="8"/>
        <v>0</v>
      </c>
      <c r="G70" s="3"/>
      <c r="H70" s="6"/>
      <c r="I70" s="3"/>
      <c r="J70" s="7">
        <f t="shared" si="9"/>
        <v>0</v>
      </c>
      <c r="K70" s="3"/>
      <c r="L70" s="6">
        <f t="shared" si="10"/>
        <v>0</v>
      </c>
      <c r="M70" s="3"/>
      <c r="N70" s="7">
        <f t="shared" si="11"/>
        <v>0</v>
      </c>
      <c r="O70" s="9"/>
      <c r="P70" s="6">
        <v>2000</v>
      </c>
      <c r="Q70" s="3"/>
      <c r="R70" s="7">
        <f t="shared" si="12"/>
        <v>4.3224831801373254E-3</v>
      </c>
      <c r="S70" s="3"/>
      <c r="T70" s="6">
        <v>4500</v>
      </c>
      <c r="U70" s="3"/>
      <c r="V70" s="7">
        <f t="shared" si="13"/>
        <v>7.511868752629154E-3</v>
      </c>
      <c r="W70" s="3"/>
      <c r="X70" s="6">
        <f t="shared" si="14"/>
        <v>-2500</v>
      </c>
      <c r="Y70" s="3"/>
      <c r="Z70" s="7">
        <f t="shared" si="15"/>
        <v>-0.55555555555555558</v>
      </c>
    </row>
    <row r="71" spans="1:26" s="65" customFormat="1" ht="15" customHeight="1" x14ac:dyDescent="0.3">
      <c r="A71" s="36"/>
      <c r="B71" s="36"/>
      <c r="C71" s="36"/>
      <c r="D71" s="2"/>
      <c r="E71" s="2"/>
      <c r="F71" s="5"/>
      <c r="G71" s="2"/>
      <c r="H71" s="2"/>
      <c r="I71" s="2"/>
      <c r="J71" s="5"/>
      <c r="K71" s="2"/>
      <c r="L71" s="2"/>
      <c r="M71" s="2"/>
      <c r="N71" s="5"/>
      <c r="O71" s="36"/>
      <c r="P71" s="2"/>
      <c r="Q71" s="2"/>
      <c r="R71" s="5"/>
      <c r="S71" s="2"/>
      <c r="T71" s="2"/>
      <c r="U71" s="2"/>
      <c r="V71" s="5"/>
      <c r="W71" s="2"/>
      <c r="X71" s="2"/>
      <c r="Y71" s="2"/>
      <c r="Z71" s="5"/>
    </row>
    <row r="72" spans="1:26" s="63" customFormat="1" ht="15" customHeight="1" collapsed="1" x14ac:dyDescent="0.3">
      <c r="A72" s="13"/>
      <c r="B72" s="28" t="s">
        <v>291</v>
      </c>
      <c r="C72" s="13"/>
      <c r="D72" s="8">
        <f>SUM(OSRRefD25x_0)</f>
        <v>384.94</v>
      </c>
      <c r="E72" s="8"/>
      <c r="F72" s="14">
        <f>IF(D$12=0,0,D72/D$12)</f>
        <v>1.5492413571054856E-2</v>
      </c>
      <c r="G72" s="8"/>
      <c r="H72" s="8">
        <f>SUM(OSRRefH25x_0)</f>
        <v>2400</v>
      </c>
      <c r="I72" s="8"/>
      <c r="J72" s="14">
        <f>IF(H$12=0,0,H72/H$12)</f>
        <v>6.0356100995875669E-2</v>
      </c>
      <c r="K72" s="8"/>
      <c r="L72" s="8">
        <f>+D72-H72</f>
        <v>-2015.06</v>
      </c>
      <c r="M72" s="8"/>
      <c r="N72" s="14">
        <f>IF(H72=0,0,L72/H72)</f>
        <v>-0.83960833333333329</v>
      </c>
      <c r="O72" s="13"/>
      <c r="P72" s="8">
        <f>SUM(OSRRefP25x_0)</f>
        <v>12953.58</v>
      </c>
      <c r="Q72" s="8"/>
      <c r="R72" s="14">
        <f>IF(P$12=0,0,P72/P$12)</f>
        <v>2.7995815836281628E-2</v>
      </c>
      <c r="S72" s="8"/>
      <c r="T72" s="8">
        <f>SUM(OSRRefT25x_0)</f>
        <v>28800</v>
      </c>
      <c r="U72" s="8"/>
      <c r="V72" s="14">
        <f>IF(T$12=0,0,T72/T$12)</f>
        <v>4.8075960016826583E-2</v>
      </c>
      <c r="W72" s="8"/>
      <c r="X72" s="8">
        <f>+P72-T72</f>
        <v>-15846.42</v>
      </c>
      <c r="Y72" s="8"/>
      <c r="Z72" s="14">
        <f>IF(T72=0,0,X72/T72)</f>
        <v>-0.55022291666666667</v>
      </c>
    </row>
    <row r="73" spans="1:26" s="70" customFormat="1" ht="15" hidden="1" customHeight="1" outlineLevel="1" x14ac:dyDescent="0.3">
      <c r="A73" s="48"/>
      <c r="B73" s="9" t="str">
        <f>CONCATENATE("          ","9150"," - ","MISC. INCOME")</f>
        <v xml:space="preserve">          9150 - MISC. INCOME</v>
      </c>
      <c r="C73" s="9"/>
      <c r="D73" s="3">
        <f>--384.94</f>
        <v>384.94</v>
      </c>
      <c r="E73" s="3"/>
      <c r="F73" s="26">
        <f>IF(D$12=0,0,D73/D$12)</f>
        <v>1.5492413571054856E-2</v>
      </c>
      <c r="G73" s="3"/>
      <c r="H73" s="3">
        <v>2400</v>
      </c>
      <c r="I73" s="3"/>
      <c r="J73" s="26">
        <f>IF(H$12=0,0,H73/H$12)</f>
        <v>6.0356100995875669E-2</v>
      </c>
      <c r="K73" s="3"/>
      <c r="L73" s="3">
        <f>+D73-H73</f>
        <v>-2015.06</v>
      </c>
      <c r="M73" s="3"/>
      <c r="N73" s="26">
        <f>IF(H73=0,0,L73/H73)</f>
        <v>-0.83960833333333329</v>
      </c>
      <c r="O73" s="9"/>
      <c r="P73" s="3">
        <f>--12953.58</f>
        <v>12953.58</v>
      </c>
      <c r="Q73" s="3"/>
      <c r="R73" s="26">
        <f>IF(P$12=0,0,P73/P$12)</f>
        <v>2.7995815836281628E-2</v>
      </c>
      <c r="S73" s="3"/>
      <c r="T73" s="3">
        <v>28800</v>
      </c>
      <c r="U73" s="3"/>
      <c r="V73" s="26">
        <f>IF(T$12=0,0,T73/T$12)</f>
        <v>4.8075960016826583E-2</v>
      </c>
      <c r="W73" s="3"/>
      <c r="X73" s="3">
        <f>+P73-T73</f>
        <v>-15846.42</v>
      </c>
      <c r="Y73" s="3"/>
      <c r="Z73" s="26">
        <f>IF(T73=0,0,X73/T73)</f>
        <v>-0.55022291666666667</v>
      </c>
    </row>
    <row r="74" spans="1:26" ht="15" customHeight="1" x14ac:dyDescent="0.3">
      <c r="A74" s="12"/>
      <c r="B74" s="13"/>
      <c r="C74" s="13"/>
      <c r="D74" s="4"/>
      <c r="E74" s="4"/>
      <c r="F74" s="10"/>
      <c r="G74" s="4"/>
      <c r="H74" s="4"/>
      <c r="I74" s="4"/>
      <c r="J74" s="10"/>
      <c r="K74" s="4"/>
      <c r="L74" s="4"/>
      <c r="M74" s="4"/>
      <c r="N74" s="10"/>
      <c r="O74" s="13"/>
      <c r="P74" s="4"/>
      <c r="Q74" s="4"/>
      <c r="R74" s="10"/>
      <c r="S74" s="4"/>
      <c r="T74" s="4"/>
      <c r="U74" s="4"/>
      <c r="V74" s="10"/>
      <c r="W74" s="4"/>
      <c r="X74" s="4"/>
      <c r="Y74" s="4"/>
      <c r="Z74" s="10"/>
    </row>
    <row r="75" spans="1:26" s="63" customFormat="1" ht="15" customHeight="1" x14ac:dyDescent="0.3">
      <c r="A75" s="13"/>
      <c r="B75" s="27" t="s">
        <v>292</v>
      </c>
      <c r="C75" s="27"/>
      <c r="D75" s="23">
        <f>+D17-D19+D72</f>
        <v>3971.6399999999971</v>
      </c>
      <c r="E75" s="15"/>
      <c r="F75" s="22">
        <f>IF(D$12=0,0,D75/D$12)</f>
        <v>0.15984384432728285</v>
      </c>
      <c r="G75" s="15"/>
      <c r="H75" s="23">
        <f>+H17-H19+H72</f>
        <v>10348.623430822314</v>
      </c>
      <c r="I75" s="15"/>
      <c r="J75" s="22">
        <f>IF(H$12=0,0,H75/H$12)</f>
        <v>0.26025106706624873</v>
      </c>
      <c r="K75" s="17"/>
      <c r="L75" s="23">
        <f>+D75-H75</f>
        <v>-6376.9834308223162</v>
      </c>
      <c r="M75" s="17"/>
      <c r="N75" s="22">
        <f>IF(H75=0,0,L75/H75)</f>
        <v>-0.61621562263335672</v>
      </c>
      <c r="O75" s="28"/>
      <c r="P75" s="23">
        <f>+P17-P19+P72</f>
        <v>49225.250000000044</v>
      </c>
      <c r="Q75" s="15"/>
      <c r="R75" s="22">
        <f>IF(P$12=0,0,P75/P$12)</f>
        <v>0.10638765758152753</v>
      </c>
      <c r="S75" s="15"/>
      <c r="T75" s="23">
        <f>+T17-T19+T72</f>
        <v>67510.154365689959</v>
      </c>
      <c r="U75" s="15"/>
      <c r="V75" s="22">
        <f>IF(T$12=0,0,T75/T$12)</f>
        <v>0.11269498201439936</v>
      </c>
      <c r="W75" s="17"/>
      <c r="X75" s="23">
        <f>+P75-T75</f>
        <v>-18284.904365689916</v>
      </c>
      <c r="Y75" s="17"/>
      <c r="Z75" s="22">
        <f>IF(T75=0,0,X75/T75)</f>
        <v>-0.27084672724408221</v>
      </c>
    </row>
    <row r="76" spans="1:26" ht="15" customHeight="1" x14ac:dyDescent="0.3">
      <c r="A76" s="12"/>
      <c r="B76" s="13"/>
      <c r="C76" s="12"/>
      <c r="D76" s="4"/>
      <c r="E76" s="4"/>
      <c r="F76" s="10"/>
      <c r="G76" s="4"/>
      <c r="H76" s="4"/>
      <c r="I76" s="4"/>
      <c r="J76" s="10"/>
      <c r="K76" s="4"/>
      <c r="L76" s="4"/>
      <c r="M76" s="4"/>
      <c r="N76" s="10"/>
      <c r="P76" s="4"/>
      <c r="Q76" s="4"/>
      <c r="R76" s="10"/>
      <c r="S76" s="4"/>
      <c r="T76" s="4"/>
      <c r="U76" s="4"/>
      <c r="V76" s="10"/>
      <c r="W76" s="4"/>
      <c r="X76" s="4"/>
      <c r="Y76" s="4"/>
      <c r="Z76" s="10"/>
    </row>
    <row r="77" spans="1:26" s="63" customFormat="1" ht="15" customHeight="1" x14ac:dyDescent="0.3">
      <c r="A77" s="49"/>
      <c r="B77" s="13" t="s">
        <v>293</v>
      </c>
      <c r="C77" s="13"/>
      <c r="D77" s="8">
        <v>-102569.19</v>
      </c>
      <c r="E77" s="8"/>
      <c r="F77" s="14">
        <f>IF(D$12=0,0,D77/D$12)</f>
        <v>-4.1280311506419283</v>
      </c>
      <c r="G77" s="8"/>
      <c r="H77" s="8">
        <v>-1401</v>
      </c>
      <c r="I77" s="8"/>
      <c r="J77" s="14">
        <f>IF(H$12=0,0,H77/H$12)</f>
        <v>-3.523287395634242E-2</v>
      </c>
      <c r="K77" s="8"/>
      <c r="L77" s="8">
        <f>+D77-H77</f>
        <v>-101168.19</v>
      </c>
      <c r="M77" s="8"/>
      <c r="N77" s="14">
        <f>IF(H77=0,0,L77/H77)</f>
        <v>72.211413276231269</v>
      </c>
      <c r="O77" s="13"/>
      <c r="P77" s="8">
        <v>-53343.75</v>
      </c>
      <c r="Q77" s="8"/>
      <c r="R77" s="14">
        <f>IF(P$12=0,0,P77/P$12)</f>
        <v>-0.11528873107022522</v>
      </c>
      <c r="S77" s="8"/>
      <c r="T77" s="8">
        <v>67930</v>
      </c>
      <c r="U77" s="8"/>
      <c r="V77" s="14">
        <f>IF(T$12=0,0,T77/T$12)</f>
        <v>0.1133958320813552</v>
      </c>
      <c r="W77" s="8"/>
      <c r="X77" s="8">
        <f>+P77-T77</f>
        <v>-121273.75</v>
      </c>
      <c r="Y77" s="8"/>
      <c r="Z77" s="14">
        <f>IF(T77=0,0,X77/T77)</f>
        <v>-1.7852752833799499</v>
      </c>
    </row>
    <row r="78" spans="1:26" ht="15" customHeight="1" x14ac:dyDescent="0.3">
      <c r="A78" s="12"/>
      <c r="B78" s="13"/>
      <c r="C78" s="13"/>
      <c r="D78" s="4"/>
      <c r="E78" s="4"/>
      <c r="F78" s="10"/>
      <c r="G78" s="4"/>
      <c r="H78" s="4"/>
      <c r="I78" s="4"/>
      <c r="J78" s="10"/>
      <c r="K78" s="4"/>
      <c r="L78" s="4"/>
      <c r="M78" s="4"/>
      <c r="N78" s="10"/>
      <c r="O78" s="13"/>
      <c r="P78" s="4"/>
      <c r="Q78" s="4"/>
      <c r="R78" s="10"/>
      <c r="S78" s="4"/>
      <c r="T78" s="4"/>
      <c r="U78" s="4"/>
      <c r="V78" s="10"/>
      <c r="W78" s="4"/>
      <c r="X78" s="4"/>
      <c r="Y78" s="4"/>
      <c r="Z78" s="10"/>
    </row>
    <row r="79" spans="1:26" s="63" customFormat="1" ht="15" customHeight="1" x14ac:dyDescent="0.3">
      <c r="A79" s="13"/>
      <c r="B79" s="27" t="s">
        <v>294</v>
      </c>
      <c r="C79" s="27"/>
      <c r="D79" s="30">
        <f>+D75-D77</f>
        <v>106540.83</v>
      </c>
      <c r="E79" s="15"/>
      <c r="F79" s="35">
        <f>IF(D$12=0,0,D79/D$12)</f>
        <v>4.2878749949692114</v>
      </c>
      <c r="G79" s="15"/>
      <c r="H79" s="30">
        <f>+H75-H77</f>
        <v>11749.623430822314</v>
      </c>
      <c r="I79" s="15"/>
      <c r="J79" s="35">
        <f>IF(H$12=0,0,H79/H$12)</f>
        <v>0.29548394102259112</v>
      </c>
      <c r="K79" s="17"/>
      <c r="L79" s="30">
        <f>D79-H79</f>
        <v>94791.206569177681</v>
      </c>
      <c r="M79" s="17"/>
      <c r="N79" s="35">
        <f>IF(H79=0,0,L79/H79)</f>
        <v>8.0675952831403706</v>
      </c>
      <c r="O79" s="28"/>
      <c r="P79" s="30">
        <f>+P75-P77</f>
        <v>102569.00000000004</v>
      </c>
      <c r="Q79" s="15"/>
      <c r="R79" s="35">
        <f>IF(P$12=0,0,P79/P$12)</f>
        <v>0.22167638865175276</v>
      </c>
      <c r="S79" s="15"/>
      <c r="T79" s="30">
        <f>+T75-T77</f>
        <v>-419.84563431004062</v>
      </c>
      <c r="U79" s="15"/>
      <c r="V79" s="35">
        <f>IF(T$12=0,0,T79/T$12)</f>
        <v>-7.00850066955858E-4</v>
      </c>
      <c r="W79" s="17"/>
      <c r="X79" s="30">
        <f>P79-T79</f>
        <v>102988.84563431008</v>
      </c>
      <c r="Y79" s="17"/>
      <c r="Z79" s="35">
        <f>IF(T79=0,0,X79/T79)</f>
        <v>-245.30169476111925</v>
      </c>
    </row>
    <row r="80" spans="1:26" ht="15" customHeight="1" x14ac:dyDescent="0.3">
      <c r="A80" s="12"/>
      <c r="B80" s="12"/>
      <c r="C80" s="12"/>
      <c r="D80" s="4"/>
      <c r="E80" s="4"/>
      <c r="F80" s="10"/>
      <c r="G80" s="4"/>
      <c r="H80" s="4"/>
      <c r="I80" s="4"/>
      <c r="J80" s="10"/>
      <c r="K80" s="4"/>
      <c r="L80" s="4"/>
      <c r="M80" s="4"/>
      <c r="N80" s="10"/>
      <c r="P80" s="4"/>
      <c r="Q80" s="4"/>
      <c r="R80" s="10"/>
      <c r="S80" s="4"/>
      <c r="T80" s="4"/>
      <c r="U80" s="4"/>
      <c r="V80" s="10"/>
      <c r="W80" s="4"/>
      <c r="X80" s="4"/>
      <c r="Y80" s="4"/>
      <c r="Z80" s="10"/>
    </row>
    <row r="81" spans="1:26" ht="15" customHeight="1" x14ac:dyDescent="0.3">
      <c r="A81" s="12"/>
      <c r="B81" s="12"/>
      <c r="C81" s="12"/>
      <c r="D81" s="4"/>
      <c r="E81" s="4"/>
      <c r="F81" s="10"/>
      <c r="G81" s="4"/>
      <c r="H81" s="4"/>
      <c r="I81" s="4"/>
      <c r="J81" s="10"/>
      <c r="K81" s="4"/>
      <c r="L81" s="4"/>
      <c r="M81" s="4"/>
      <c r="N81" s="10"/>
      <c r="P81" s="4"/>
      <c r="Q81" s="4"/>
      <c r="R81" s="10"/>
      <c r="S81" s="4"/>
      <c r="T81" s="4"/>
      <c r="U81" s="4"/>
      <c r="V81" s="10"/>
      <c r="W81" s="4"/>
      <c r="X81" s="4"/>
      <c r="Y81" s="4"/>
      <c r="Z81" s="10"/>
    </row>
    <row r="82" spans="1:26" s="63" customFormat="1" ht="15" customHeight="1" x14ac:dyDescent="0.3">
      <c r="A82" s="13"/>
      <c r="B82" s="27" t="s">
        <v>297</v>
      </c>
      <c r="C82" s="27"/>
      <c r="D82" s="33">
        <f>SUM(D79:D81)</f>
        <v>106540.83</v>
      </c>
      <c r="E82" s="15"/>
      <c r="F82" s="31">
        <f>IF(D$12=0,0,D82/D$12)</f>
        <v>4.2878749949692114</v>
      </c>
      <c r="G82" s="15"/>
      <c r="H82" s="33">
        <f>SUM(H79:H81)</f>
        <v>11749.623430822314</v>
      </c>
      <c r="I82" s="15"/>
      <c r="J82" s="31">
        <f>IF(H$12=0,0,H82/H$12)</f>
        <v>0.29548394102259112</v>
      </c>
      <c r="K82" s="17"/>
      <c r="L82" s="33">
        <f>+D82-H82</f>
        <v>94791.206569177681</v>
      </c>
      <c r="M82" s="17"/>
      <c r="N82" s="31">
        <f>IF(H82=0,0,L82/H82)</f>
        <v>8.0675952831403706</v>
      </c>
      <c r="O82" s="28"/>
      <c r="P82" s="33">
        <f>SUM(P79:P81)</f>
        <v>102569.00000000004</v>
      </c>
      <c r="Q82" s="15"/>
      <c r="R82" s="31">
        <f>IF(P$12=0,0,P82/P$12)</f>
        <v>0.22167638865175276</v>
      </c>
      <c r="S82" s="15"/>
      <c r="T82" s="33">
        <f>SUM(T79:T81)</f>
        <v>-419.84563431004062</v>
      </c>
      <c r="U82" s="15"/>
      <c r="V82" s="31">
        <f>IF(T$12=0,0,T82/T$12)</f>
        <v>-7.00850066955858E-4</v>
      </c>
      <c r="W82" s="17"/>
      <c r="X82" s="33">
        <f>+P82-T82</f>
        <v>102988.84563431008</v>
      </c>
      <c r="Y82" s="17"/>
      <c r="Z82" s="31">
        <f>IF(T82=0,0,X82/T82)</f>
        <v>-245.30169476111925</v>
      </c>
    </row>
    <row r="83" spans="1:26" ht="15" customHeight="1" x14ac:dyDescent="0.3">
      <c r="A83" s="12"/>
      <c r="C83" s="12"/>
      <c r="D83" s="19"/>
      <c r="E83" s="19"/>
      <c r="G83" s="19"/>
      <c r="H83" s="19"/>
      <c r="I83" s="19"/>
      <c r="J83" s="41"/>
      <c r="K83" s="19"/>
      <c r="L83" s="19"/>
      <c r="M83" s="19"/>
      <c r="P83" s="19"/>
      <c r="Q83" s="19"/>
      <c r="R83" s="41"/>
      <c r="S83" s="19"/>
      <c r="T83" s="19"/>
      <c r="U83" s="19"/>
      <c r="V83" s="41"/>
      <c r="W83" s="19"/>
      <c r="X83" s="19"/>
    </row>
    <row r="84" spans="1:26" ht="15" customHeight="1" x14ac:dyDescent="0.3">
      <c r="A84" s="12"/>
      <c r="B84" s="50">
        <v>44767.799547766204</v>
      </c>
      <c r="D84" s="19"/>
      <c r="E84" s="19"/>
      <c r="G84" s="19"/>
      <c r="H84" s="19"/>
      <c r="I84" s="19"/>
      <c r="J84" s="41"/>
      <c r="K84" s="19"/>
      <c r="L84" s="19"/>
      <c r="M84" s="19"/>
      <c r="P84" s="19"/>
      <c r="Q84" s="19"/>
      <c r="R84" s="41"/>
      <c r="S84" s="19"/>
      <c r="T84" s="19"/>
      <c r="U84" s="19"/>
      <c r="V84" s="41"/>
      <c r="W84" s="19"/>
      <c r="X84" s="19"/>
    </row>
    <row r="85" spans="1:26" ht="15" customHeight="1" x14ac:dyDescent="0.3">
      <c r="A85" s="12"/>
      <c r="B85" s="57" t="s">
        <v>298</v>
      </c>
      <c r="D85" s="19"/>
      <c r="E85" s="19"/>
      <c r="G85" s="19"/>
      <c r="H85" s="19"/>
      <c r="I85" s="19"/>
      <c r="J85" s="41"/>
      <c r="K85" s="19"/>
      <c r="L85" s="19"/>
      <c r="M85" s="19"/>
      <c r="P85" s="19"/>
      <c r="Q85" s="19"/>
      <c r="R85" s="41"/>
      <c r="S85" s="19"/>
      <c r="T85" s="19"/>
      <c r="U85" s="19"/>
      <c r="V85" s="41"/>
      <c r="W85" s="19"/>
      <c r="X85" s="19"/>
    </row>
    <row r="86" spans="1:26" ht="15" customHeight="1" x14ac:dyDescent="0.3">
      <c r="A86" s="12"/>
      <c r="B86" s="51"/>
      <c r="D86" s="19"/>
      <c r="E86" s="19"/>
      <c r="G86" s="19"/>
      <c r="H86" s="19"/>
      <c r="I86" s="19"/>
      <c r="J86" s="41"/>
      <c r="K86" s="19"/>
      <c r="L86" s="19"/>
      <c r="M86" s="19"/>
      <c r="P86" s="19"/>
      <c r="Q86" s="19"/>
      <c r="R86" s="41"/>
      <c r="S86" s="19"/>
      <c r="T86" s="19"/>
      <c r="U86" s="19"/>
      <c r="V86" s="41"/>
      <c r="W86" s="19"/>
      <c r="X86" s="19"/>
    </row>
    <row r="87" spans="1:26" ht="15" customHeight="1" x14ac:dyDescent="0.3">
      <c r="D87" s="19"/>
      <c r="E87" s="19"/>
      <c r="G87" s="19"/>
      <c r="H87" s="19"/>
      <c r="I87" s="19"/>
      <c r="J87" s="41"/>
      <c r="K87" s="19"/>
      <c r="L87" s="19"/>
      <c r="M87" s="19"/>
      <c r="P87" s="19"/>
      <c r="Q87" s="19"/>
      <c r="R87" s="41"/>
      <c r="S87" s="19"/>
      <c r="T87" s="19"/>
      <c r="U87" s="19"/>
      <c r="V87" s="41"/>
      <c r="W87" s="19"/>
      <c r="X87" s="19"/>
    </row>
  </sheetData>
  <pageMargins left="0.25" right="0.25" top="0.75" bottom="0.75" header="0.3" footer="0.3"/>
  <pageSetup scale="55" orientation="landscape" r:id="rId1"/>
  <headerFooter>
    <oddHeader>&amp;RPre-Audit</oddHeader>
    <oddFooter>&amp;L&amp;C&amp;R</oddFooter>
    <evenHeader>&amp;L&amp;C&amp;R</evenHeader>
    <evenFooter>&amp;L&amp;C&amp;R</evenFooter>
  </headerFooter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2FA9C8-CCAF-FB5C-78CC-6E52D02A6E08}">
  <sheetPr>
    <tabColor rgb="FF92D05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3" t="s">
        <v>276</v>
      </c>
    </row>
    <row r="3" spans="1:26" ht="15" customHeight="1" x14ac:dyDescent="0.3">
      <c r="D3" s="53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3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5"/>
      <c r="D5" s="61" t="e">
        <f ca="1">_xll.ONESTOP.REPORTPLAYER.OSRFUNCTIONS.OSRGET("Period","PeriodEnd")</f>
        <v>#NAME?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5"/>
      <c r="B6" s="47"/>
      <c r="C6" s="47"/>
      <c r="D6" s="25" t="e">
        <f ca="1">CONCATENATE("Department ",_xll.ONESTOP.REPORTPLAYER.OSRFUNCTIONS.OSRGET("d_dim0","Code")," - ",_xll.ONESTOP.REPORTPLAYER.OSRFUNCTIONS.OSRGET("d_dim0","Description"))</f>
        <v>#NAME?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4"/>
    </row>
    <row r="8" spans="1:26" ht="15" customHeight="1" x14ac:dyDescent="0.3">
      <c r="B8" s="54"/>
    </row>
    <row r="9" spans="1:26" ht="15" customHeight="1" x14ac:dyDescent="0.3">
      <c r="B9" s="12"/>
      <c r="C9" s="12"/>
      <c r="D9" s="16" t="s">
        <v>279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280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ht="15" customHeight="1" x14ac:dyDescent="0.3">
      <c r="A10" s="13"/>
      <c r="B10" s="52"/>
      <c r="C10" s="13"/>
      <c r="D10" s="40" t="s">
        <v>281</v>
      </c>
      <c r="E10" s="32"/>
      <c r="F10" s="39" t="s">
        <v>282</v>
      </c>
      <c r="G10" s="32"/>
      <c r="H10" s="45" t="s">
        <v>283</v>
      </c>
      <c r="I10" s="32"/>
      <c r="J10" s="42" t="s">
        <v>284</v>
      </c>
      <c r="K10" s="13"/>
      <c r="L10" s="40" t="s">
        <v>285</v>
      </c>
      <c r="M10" s="13"/>
      <c r="N10" s="39" t="s">
        <v>286</v>
      </c>
      <c r="O10" s="13"/>
      <c r="P10" s="55" t="s">
        <v>281</v>
      </c>
      <c r="Q10" s="32"/>
      <c r="R10" s="39" t="s">
        <v>282</v>
      </c>
      <c r="S10" s="32"/>
      <c r="T10" s="45" t="s">
        <v>283</v>
      </c>
      <c r="U10" s="32"/>
      <c r="V10" s="42" t="s">
        <v>284</v>
      </c>
      <c r="W10" s="13"/>
      <c r="X10" s="40" t="s">
        <v>285</v>
      </c>
      <c r="Y10" s="13"/>
      <c r="Z10" s="39" t="s">
        <v>286</v>
      </c>
    </row>
    <row r="11" spans="1:26" ht="16.5" customHeight="1" x14ac:dyDescent="0.3">
      <c r="A11" s="12"/>
      <c r="B11" s="58"/>
      <c r="C11" s="12"/>
      <c r="D11" s="12"/>
      <c r="E11" s="12"/>
      <c r="F11" s="10"/>
      <c r="G11" s="12"/>
      <c r="H11" s="12"/>
      <c r="I11" s="12"/>
      <c r="J11" s="43"/>
      <c r="K11" s="12"/>
      <c r="L11" s="12"/>
      <c r="M11" s="12"/>
      <c r="N11" s="10"/>
      <c r="P11" s="12"/>
      <c r="Q11" s="12"/>
      <c r="R11" s="10"/>
      <c r="S11" s="12"/>
      <c r="T11" s="12"/>
      <c r="U11" s="12"/>
      <c r="V11" s="43"/>
      <c r="W11" s="12"/>
      <c r="X11" s="12"/>
      <c r="Y11" s="12"/>
      <c r="Z11" s="10"/>
    </row>
    <row r="12" spans="1:26" s="63" customFormat="1" ht="15" customHeight="1" collapsed="1" x14ac:dyDescent="0.3">
      <c r="A12" s="13"/>
      <c r="B12" s="28" t="s">
        <v>287</v>
      </c>
      <c r="C12" s="13"/>
      <c r="D12" s="8" t="e">
        <f ca="1">SUM(_xll.ONESTOP.REPORTPLAYER.OSRFUNCTIONS.OSRREF(D13))</f>
        <v>#NAME?</v>
      </c>
      <c r="E12" s="8"/>
      <c r="F12" s="14"/>
      <c r="G12" s="8"/>
      <c r="H12" s="8" t="e">
        <f ca="1">SUM(_xll.ONESTOP.REPORTPLAYER.OSRFUNCTIONS.OSRREF(H13))</f>
        <v>#NAME?</v>
      </c>
      <c r="I12" s="8"/>
      <c r="J12" s="14"/>
      <c r="K12" s="8"/>
      <c r="L12" s="8" t="e">
        <f ca="1">+D12-H12</f>
        <v>#NAME?</v>
      </c>
      <c r="M12" s="8"/>
      <c r="N12" s="14" t="e">
        <f ca="1">IF(H12=0,0,L12/H12)</f>
        <v>#NAME?</v>
      </c>
      <c r="O12" s="13"/>
      <c r="P12" s="8" t="e">
        <f ca="1">SUM(_xll.ONESTOP.REPORTPLAYER.OSRFUNCTIONS.OSRREF(P13))</f>
        <v>#NAME?</v>
      </c>
      <c r="Q12" s="8"/>
      <c r="R12" s="14"/>
      <c r="S12" s="8"/>
      <c r="T12" s="8" t="e">
        <f ca="1">SUM(_xll.ONESTOP.REPORTPLAYER.OSRFUNCTIONS.OSRREF(T13))</f>
        <v>#NAME?</v>
      </c>
      <c r="U12" s="8"/>
      <c r="V12" s="14"/>
      <c r="W12" s="8"/>
      <c r="X12" s="8" t="e">
        <f ca="1">+P12-T12</f>
        <v>#NAME?</v>
      </c>
      <c r="Y12" s="8"/>
      <c r="Z12" s="14" t="e">
        <f ca="1">IF(T12=0,0,X12/T12)</f>
        <v>#NAME?</v>
      </c>
    </row>
    <row r="13" spans="1:26" s="70" customFormat="1" ht="15" hidden="1" customHeight="1" outlineLevel="1" x14ac:dyDescent="0.3">
      <c r="A13" s="48"/>
      <c r="B13" s="9" t="e">
        <f ca="1">CONCATENATE("          ",_xll.ONESTOP.REPORTPLAYER.OSRFUNCTIONS.OSRGET("d_Account","Code")," - ",_xll.ONESTOP.REPORTPLAYER.OSRFUNCTIONS.OSRGET("d_Account","Description"))</f>
        <v>#NAME?</v>
      </c>
      <c r="C13" s="9"/>
      <c r="D13" s="3" t="e">
        <f ca="1">-_xll.ONESTOP.REPORTPLAYER.OSRFUNCTIONS.OSRGET("GL_F_Trans","Value1")</f>
        <v>#NAME?</v>
      </c>
      <c r="E13" s="3"/>
      <c r="F13" s="26"/>
      <c r="G13" s="3"/>
      <c r="H13" s="3" t="e">
        <f ca="1">_xll.ONESTOP.REPORTPLAYER.OSRFUNCTIONS.OSRGET("GL_F_Trans","Value1")</f>
        <v>#NAME?</v>
      </c>
      <c r="I13" s="3"/>
      <c r="J13" s="26"/>
      <c r="K13" s="3"/>
      <c r="L13" s="3" t="e">
        <f ca="1">+D13-H13</f>
        <v>#NAME?</v>
      </c>
      <c r="M13" s="3"/>
      <c r="N13" s="26" t="e">
        <f ca="1">IF(H13=0,0,L13/H13)</f>
        <v>#NAME?</v>
      </c>
      <c r="O13" s="9"/>
      <c r="P13" s="3" t="e">
        <f ca="1">-_xll.ONESTOP.REPORTPLAYER.OSRFUNCTIONS.OSRGET("GL_F_Trans","Value1")</f>
        <v>#NAME?</v>
      </c>
      <c r="Q13" s="3"/>
      <c r="R13" s="26"/>
      <c r="S13" s="3"/>
      <c r="T13" s="3" t="e">
        <f ca="1">_xll.ONESTOP.REPORTPLAYER.OSRFUNCTIONS.OSRGET("GL_F_Trans","Value1")</f>
        <v>#NAME?</v>
      </c>
      <c r="U13" s="3"/>
      <c r="V13" s="26"/>
      <c r="W13" s="3"/>
      <c r="X13" s="3" t="e">
        <f ca="1">+P13-T13</f>
        <v>#NAME?</v>
      </c>
      <c r="Y13" s="3"/>
      <c r="Z13" s="26" t="e">
        <f ca="1">IF(T13=0,0,X13/T13)</f>
        <v>#NAME?</v>
      </c>
    </row>
    <row r="14" spans="1:26" ht="15" customHeight="1" x14ac:dyDescent="0.3">
      <c r="A14" s="12"/>
      <c r="B14" s="13"/>
      <c r="C14" s="12"/>
      <c r="D14" s="4"/>
      <c r="E14" s="4"/>
      <c r="F14" s="10"/>
      <c r="G14" s="4"/>
      <c r="H14" s="4"/>
      <c r="I14" s="4"/>
      <c r="J14" s="10"/>
      <c r="K14" s="4"/>
      <c r="L14" s="4"/>
      <c r="M14" s="4"/>
      <c r="N14" s="10"/>
      <c r="P14" s="4"/>
      <c r="Q14" s="4"/>
      <c r="R14" s="10"/>
      <c r="S14" s="4"/>
      <c r="T14" s="4"/>
      <c r="U14" s="4"/>
      <c r="V14" s="10"/>
      <c r="W14" s="4"/>
      <c r="X14" s="4"/>
      <c r="Y14" s="4"/>
      <c r="Z14" s="10"/>
    </row>
    <row r="15" spans="1:26" s="63" customFormat="1" ht="15" customHeight="1" collapsed="1" x14ac:dyDescent="0.3">
      <c r="A15" s="13"/>
      <c r="B15" s="28" t="s">
        <v>288</v>
      </c>
      <c r="C15" s="13"/>
      <c r="D15" s="8" t="e">
        <f ca="1">SUM(_xll.ONESTOP.REPORTPLAYER.OSRFUNCTIONS.OSRREF(D16))</f>
        <v>#NAME?</v>
      </c>
      <c r="E15" s="8"/>
      <c r="F15" s="14" t="e">
        <f ca="1">IF(D$12=0,0,D15/D$12)</f>
        <v>#NAME?</v>
      </c>
      <c r="G15" s="8"/>
      <c r="H15" s="8" t="e">
        <f ca="1">SUM(_xll.ONESTOP.REPORTPLAYER.OSRFUNCTIONS.OSRREF(H16))</f>
        <v>#NAME?</v>
      </c>
      <c r="I15" s="8"/>
      <c r="J15" s="14" t="e">
        <f ca="1">IF(H$12=0,0,H15/H$12)</f>
        <v>#NAME?</v>
      </c>
      <c r="K15" s="8"/>
      <c r="L15" s="8" t="e">
        <f ca="1">+D15-H15</f>
        <v>#NAME?</v>
      </c>
      <c r="M15" s="8"/>
      <c r="N15" s="14" t="e">
        <f ca="1">IF(H15=0,0,L15/H15)</f>
        <v>#NAME?</v>
      </c>
      <c r="O15" s="13"/>
      <c r="P15" s="8" t="e">
        <f ca="1">SUM(_xll.ONESTOP.REPORTPLAYER.OSRFUNCTIONS.OSRREF(P16))</f>
        <v>#NAME?</v>
      </c>
      <c r="Q15" s="8"/>
      <c r="R15" s="14" t="e">
        <f ca="1">IF(P$12=0,0,P15/P$12)</f>
        <v>#NAME?</v>
      </c>
      <c r="S15" s="8"/>
      <c r="T15" s="8" t="e">
        <f ca="1">SUM(_xll.ONESTOP.REPORTPLAYER.OSRFUNCTIONS.OSRREF(T16))</f>
        <v>#NAME?</v>
      </c>
      <c r="U15" s="8"/>
      <c r="V15" s="14" t="e">
        <f ca="1">IF(T$12=0,0,T15/T$12)</f>
        <v>#NAME?</v>
      </c>
      <c r="W15" s="8"/>
      <c r="X15" s="8" t="e">
        <f ca="1">+P15-T15</f>
        <v>#NAME?</v>
      </c>
      <c r="Y15" s="8"/>
      <c r="Z15" s="14" t="e">
        <f ca="1">IF(T15=0,0,X15/T15)</f>
        <v>#NAME?</v>
      </c>
    </row>
    <row r="16" spans="1:26" s="70" customFormat="1" ht="15" hidden="1" customHeight="1" outlineLevel="1" x14ac:dyDescent="0.3">
      <c r="A16" s="48"/>
      <c r="B16" s="9" t="e">
        <f ca="1">CONCATENATE("          ",_xll.ONESTOP.REPORTPLAYER.OSRFUNCTIONS.OSRGET("d_Account","Code")," - ",_xll.ONESTOP.REPORTPLAYER.OSRFUNCTIONS.OSRGET("d_Account","Description"))</f>
        <v>#NAME?</v>
      </c>
      <c r="C16" s="9"/>
      <c r="D16" s="3" t="e">
        <f ca="1">_xll.ONESTOP.REPORTPLAYER.OSRFUNCTIONS.OSRGET("GL_F_Trans","Value1")</f>
        <v>#NAME?</v>
      </c>
      <c r="E16" s="3"/>
      <c r="F16" s="26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6" t="e">
        <f ca="1">IF(H$12=0,0,H16/H$12)</f>
        <v>#NAME?</v>
      </c>
      <c r="K16" s="3"/>
      <c r="L16" s="3" t="e">
        <f ca="1">+D16-H16</f>
        <v>#NAME?</v>
      </c>
      <c r="M16" s="3"/>
      <c r="N16" s="26" t="e">
        <f ca="1">IF(H16=0,0,L16/H16)</f>
        <v>#NAME?</v>
      </c>
      <c r="O16" s="9"/>
      <c r="P16" s="3" t="e">
        <f ca="1">_xll.ONESTOP.REPORTPLAYER.OSRFUNCTIONS.OSRGET("GL_F_Trans","Value1")</f>
        <v>#NAME?</v>
      </c>
      <c r="Q16" s="3"/>
      <c r="R16" s="26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6" t="e">
        <f ca="1">IF(T$12=0,0,T16/T$12)</f>
        <v>#NAME?</v>
      </c>
      <c r="W16" s="3"/>
      <c r="X16" s="3" t="e">
        <f ca="1">+P16-T16</f>
        <v>#NAME?</v>
      </c>
      <c r="Y16" s="3"/>
      <c r="Z16" s="26" t="e">
        <f ca="1">IF(T16=0,0,X16/T16)</f>
        <v>#NAME?</v>
      </c>
    </row>
    <row r="17" spans="1:26" ht="15" customHeight="1" x14ac:dyDescent="0.3">
      <c r="A17" s="12"/>
      <c r="B17" s="13"/>
      <c r="C17" s="13"/>
      <c r="D17" s="4"/>
      <c r="E17" s="4"/>
      <c r="F17" s="10"/>
      <c r="G17" s="4"/>
      <c r="H17" s="4"/>
      <c r="I17" s="4"/>
      <c r="J17" s="10"/>
      <c r="K17" s="4"/>
      <c r="L17" s="4"/>
      <c r="M17" s="4"/>
      <c r="N17" s="10"/>
      <c r="O17" s="13"/>
      <c r="P17" s="4"/>
      <c r="Q17" s="4"/>
      <c r="R17" s="10"/>
      <c r="S17" s="4"/>
      <c r="T17" s="4"/>
      <c r="U17" s="4"/>
      <c r="V17" s="10"/>
      <c r="W17" s="4"/>
      <c r="X17" s="4"/>
      <c r="Y17" s="4"/>
      <c r="Z17" s="10"/>
    </row>
    <row r="18" spans="1:26" s="63" customFormat="1" ht="15" customHeight="1" x14ac:dyDescent="0.3">
      <c r="A18" s="13"/>
      <c r="B18" s="27" t="s">
        <v>289</v>
      </c>
      <c r="C18" s="27"/>
      <c r="D18" s="23" t="e">
        <f ca="1">D12-D15</f>
        <v>#NAME?</v>
      </c>
      <c r="E18" s="15"/>
      <c r="F18" s="22" t="e">
        <f ca="1">IF(D$12=0,0,D18/D$12)</f>
        <v>#NAME?</v>
      </c>
      <c r="G18" s="15"/>
      <c r="H18" s="23" t="e">
        <f ca="1">H12-H15</f>
        <v>#NAME?</v>
      </c>
      <c r="I18" s="15"/>
      <c r="J18" s="22" t="e">
        <f ca="1">IF(H$12=0,0,H18/H$12)</f>
        <v>#NAME?</v>
      </c>
      <c r="K18" s="17"/>
      <c r="L18" s="23" t="e">
        <f ca="1">+D18-H18</f>
        <v>#NAME?</v>
      </c>
      <c r="M18" s="17"/>
      <c r="N18" s="22" t="e">
        <f ca="1">IF(H18=0,0,L18/H18)</f>
        <v>#NAME?</v>
      </c>
      <c r="O18" s="28"/>
      <c r="P18" s="23" t="e">
        <f ca="1">P12-P15</f>
        <v>#NAME?</v>
      </c>
      <c r="Q18" s="15"/>
      <c r="R18" s="22" t="e">
        <f ca="1">IF(P$12=0,0,P18/P$12)</f>
        <v>#NAME?</v>
      </c>
      <c r="S18" s="15"/>
      <c r="T18" s="23" t="e">
        <f ca="1">T12-T15</f>
        <v>#NAME?</v>
      </c>
      <c r="U18" s="15"/>
      <c r="V18" s="22" t="e">
        <f ca="1">IF(T$12=0,0,T18/T$12)</f>
        <v>#NAME?</v>
      </c>
      <c r="W18" s="17"/>
      <c r="X18" s="23" t="e">
        <f ca="1">+P18-T18</f>
        <v>#NAME?</v>
      </c>
      <c r="Y18" s="17"/>
      <c r="Z18" s="22" t="e">
        <f ca="1">IF(T18=0,0,X18/T18)</f>
        <v>#NAME?</v>
      </c>
    </row>
    <row r="19" spans="1:26" ht="15" customHeight="1" x14ac:dyDescent="0.3">
      <c r="A19" s="12"/>
      <c r="B19" s="13"/>
      <c r="C19" s="12"/>
      <c r="D19" s="2"/>
      <c r="E19" s="2"/>
      <c r="F19" s="5"/>
      <c r="G19" s="2"/>
      <c r="H19" s="2"/>
      <c r="I19" s="2"/>
      <c r="J19" s="5"/>
      <c r="K19" s="2"/>
      <c r="L19" s="2"/>
      <c r="M19" s="2"/>
      <c r="N19" s="5"/>
      <c r="O19" s="36"/>
      <c r="P19" s="2"/>
      <c r="Q19" s="2"/>
      <c r="R19" s="5"/>
      <c r="S19" s="2"/>
      <c r="T19" s="2"/>
      <c r="U19" s="2"/>
      <c r="V19" s="5"/>
      <c r="W19" s="2"/>
      <c r="X19" s="2"/>
      <c r="Y19" s="2"/>
      <c r="Z19" s="5"/>
    </row>
    <row r="20" spans="1:26" s="63" customFormat="1" ht="15" customHeight="1" x14ac:dyDescent="0.3">
      <c r="A20" s="13"/>
      <c r="B20" s="28" t="s">
        <v>290</v>
      </c>
      <c r="C20" s="13"/>
      <c r="D20" s="24" t="e">
        <f ca="1">SUM(_xll.ONESTOP.REPORTPLAYER.OSRFUNCTIONS.OSRREF(D22))</f>
        <v>#NAME?</v>
      </c>
      <c r="E20" s="24"/>
      <c r="F20" s="34" t="e">
        <f ca="1">IF(D$12=0,0,D20/D$12)</f>
        <v>#NAME?</v>
      </c>
      <c r="G20" s="24"/>
      <c r="H20" s="24" t="e">
        <f ca="1">SUM(_xll.ONESTOP.REPORTPLAYER.OSRFUNCTIONS.OSRREF(H22))</f>
        <v>#NAME?</v>
      </c>
      <c r="I20" s="24"/>
      <c r="J20" s="34" t="e">
        <f ca="1">IF(H$12=0,0,H20/H$12)</f>
        <v>#NAME?</v>
      </c>
      <c r="K20" s="8"/>
      <c r="L20" s="24" t="e">
        <f ca="1">+D20-H20</f>
        <v>#NAME?</v>
      </c>
      <c r="M20" s="8"/>
      <c r="N20" s="34" t="e">
        <f ca="1">IF(H20=0,0,L20/H20)</f>
        <v>#NAME?</v>
      </c>
      <c r="O20" s="13"/>
      <c r="P20" s="24" t="e">
        <f ca="1">SUM(_xll.ONESTOP.REPORTPLAYER.OSRFUNCTIONS.OSRREF(P22))</f>
        <v>#NAME?</v>
      </c>
      <c r="Q20" s="24"/>
      <c r="R20" s="34" t="e">
        <f ca="1">IF(P$12=0,0,P20/P$12)</f>
        <v>#NAME?</v>
      </c>
      <c r="S20" s="24"/>
      <c r="T20" s="24" t="e">
        <f ca="1">SUM(_xll.ONESTOP.REPORTPLAYER.OSRFUNCTIONS.OSRREF(T22))</f>
        <v>#NAME?</v>
      </c>
      <c r="U20" s="24"/>
      <c r="V20" s="34" t="e">
        <f ca="1">IF(T$12=0,0,T20/T$12)</f>
        <v>#NAME?</v>
      </c>
      <c r="W20" s="8"/>
      <c r="X20" s="24" t="e">
        <f ca="1">+P20-T20</f>
        <v>#NAME?</v>
      </c>
      <c r="Y20" s="8"/>
      <c r="Z20" s="34" t="e">
        <f ca="1">IF(T20=0,0,X20/T20)</f>
        <v>#NAME?</v>
      </c>
    </row>
    <row r="21" spans="1:26" s="69" customFormat="1" ht="15" customHeight="1" outlineLevel="1" collapsed="1" x14ac:dyDescent="0.3">
      <c r="A21" s="20"/>
      <c r="B21" s="11" t="e">
        <f ca="1">CONCATENATE("     ",_xll.ONESTOP.REPORTPLAYER.OSRFUNCTIONS.OSRGET("d_Account","AccountCategory"))</f>
        <v>#NAME?</v>
      </c>
      <c r="C21" s="11"/>
      <c r="D21" s="2" t="e">
        <f ca="1">SUM(_xll.ONESTOP.REPORTPLAYER.OSRFUNCTIONS.OSRREF(D22))</f>
        <v>#NAME?</v>
      </c>
      <c r="E21" s="2"/>
      <c r="F21" s="5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5" t="e">
        <f ca="1">IF(H$12=0,0,H21/H$12)</f>
        <v>#NAME?</v>
      </c>
      <c r="K21" s="2"/>
      <c r="L21" s="2" t="e">
        <f ca="1">+D21-H21</f>
        <v>#NAME?</v>
      </c>
      <c r="M21" s="2"/>
      <c r="N21" s="5" t="e">
        <f ca="1">IF(H21=0,0,L21/H21)</f>
        <v>#NAME?</v>
      </c>
      <c r="O21" s="11"/>
      <c r="P21" s="2" t="e">
        <f ca="1">SUM(_xll.ONESTOP.REPORTPLAYER.OSRFUNCTIONS.OSRREF(P22))</f>
        <v>#NAME?</v>
      </c>
      <c r="Q21" s="2"/>
      <c r="R21" s="5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5" t="e">
        <f ca="1">IF(T$12=0,0,T21/T$12)</f>
        <v>#NAME?</v>
      </c>
      <c r="W21" s="2"/>
      <c r="X21" s="2" t="e">
        <f ca="1">+P21-T21</f>
        <v>#NAME?</v>
      </c>
      <c r="Y21" s="2"/>
      <c r="Z21" s="5" t="e">
        <f ca="1">IF(T21=0,0,X21/T21)</f>
        <v>#NAME?</v>
      </c>
    </row>
    <row r="22" spans="1:26" s="70" customFormat="1" ht="15" hidden="1" customHeight="1" outlineLevel="2" x14ac:dyDescent="0.3">
      <c r="A22" s="21"/>
      <c r="B22" s="9" t="e">
        <f ca="1">CONCATENATE("          ",_xll.ONESTOP.REPORTPLAYER.OSRFUNCTIONS.OSRGET("d_Account","Code")," - ",_xll.ONESTOP.REPORTPLAYER.OSRFUNCTIONS.OSRGET("d_Account","Description"))</f>
        <v>#NAME?</v>
      </c>
      <c r="C22" s="9"/>
      <c r="D22" s="6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6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6" t="e">
        <f ca="1">+D22-H22</f>
        <v>#NAME?</v>
      </c>
      <c r="M22" s="3"/>
      <c r="N22" s="7" t="e">
        <f ca="1">IF(H22=0,0,L22/H22)</f>
        <v>#NAME?</v>
      </c>
      <c r="O22" s="9"/>
      <c r="P22" s="6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6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6" t="e">
        <f ca="1">+P22-T22</f>
        <v>#NAME?</v>
      </c>
      <c r="Y22" s="3"/>
      <c r="Z22" s="7" t="e">
        <f ca="1">IF(T22=0,0,X22/T22)</f>
        <v>#NAME?</v>
      </c>
    </row>
    <row r="23" spans="1:26" s="65" customFormat="1" ht="15" customHeight="1" x14ac:dyDescent="0.3">
      <c r="A23" s="36"/>
      <c r="B23" s="36"/>
      <c r="C23" s="36"/>
      <c r="D23" s="2"/>
      <c r="E23" s="2"/>
      <c r="F23" s="5"/>
      <c r="G23" s="2"/>
      <c r="H23" s="2"/>
      <c r="I23" s="2"/>
      <c r="J23" s="5"/>
      <c r="K23" s="2"/>
      <c r="L23" s="2"/>
      <c r="M23" s="2"/>
      <c r="N23" s="5"/>
      <c r="O23" s="36"/>
      <c r="P23" s="2"/>
      <c r="Q23" s="2"/>
      <c r="R23" s="5"/>
      <c r="S23" s="2"/>
      <c r="T23" s="2"/>
      <c r="U23" s="2"/>
      <c r="V23" s="5"/>
      <c r="W23" s="2"/>
      <c r="X23" s="2"/>
      <c r="Y23" s="2"/>
      <c r="Z23" s="5"/>
    </row>
    <row r="24" spans="1:26" s="63" customFormat="1" ht="15" customHeight="1" collapsed="1" x14ac:dyDescent="0.3">
      <c r="A24" s="13"/>
      <c r="B24" s="28" t="s">
        <v>291</v>
      </c>
      <c r="C24" s="13"/>
      <c r="D24" s="8" t="e">
        <f ca="1">SUM(_xll.ONESTOP.REPORTPLAYER.OSRFUNCTIONS.OSRREF(D25))</f>
        <v>#NAME?</v>
      </c>
      <c r="E24" s="8"/>
      <c r="F24" s="14" t="e">
        <f ca="1">IF(D$12=0,0,D24/D$12)</f>
        <v>#NAME?</v>
      </c>
      <c r="G24" s="8"/>
      <c r="H24" s="8" t="e">
        <f ca="1">SUM(_xll.ONESTOP.REPORTPLAYER.OSRFUNCTIONS.OSRREF(H25))</f>
        <v>#NAME?</v>
      </c>
      <c r="I24" s="8"/>
      <c r="J24" s="14" t="e">
        <f ca="1">IF(H$12=0,0,H24/H$12)</f>
        <v>#NAME?</v>
      </c>
      <c r="K24" s="8"/>
      <c r="L24" s="8" t="e">
        <f ca="1">+D24-H24</f>
        <v>#NAME?</v>
      </c>
      <c r="M24" s="8"/>
      <c r="N24" s="14" t="e">
        <f ca="1">IF(H24=0,0,L24/H24)</f>
        <v>#NAME?</v>
      </c>
      <c r="O24" s="13"/>
      <c r="P24" s="8" t="e">
        <f ca="1">SUM(_xll.ONESTOP.REPORTPLAYER.OSRFUNCTIONS.OSRREF(P25))</f>
        <v>#NAME?</v>
      </c>
      <c r="Q24" s="8"/>
      <c r="R24" s="14" t="e">
        <f ca="1">IF(P$12=0,0,P24/P$12)</f>
        <v>#NAME?</v>
      </c>
      <c r="S24" s="8"/>
      <c r="T24" s="8" t="e">
        <f ca="1">SUM(_xll.ONESTOP.REPORTPLAYER.OSRFUNCTIONS.OSRREF(T25))</f>
        <v>#NAME?</v>
      </c>
      <c r="U24" s="8"/>
      <c r="V24" s="14" t="e">
        <f ca="1">IF(T$12=0,0,T24/T$12)</f>
        <v>#NAME?</v>
      </c>
      <c r="W24" s="8"/>
      <c r="X24" s="8" t="e">
        <f ca="1">+P24-T24</f>
        <v>#NAME?</v>
      </c>
      <c r="Y24" s="8"/>
      <c r="Z24" s="14" t="e">
        <f ca="1">IF(T24=0,0,X24/T24)</f>
        <v>#NAME?</v>
      </c>
    </row>
    <row r="25" spans="1:26" s="70" customFormat="1" ht="15" hidden="1" customHeight="1" outlineLevel="1" x14ac:dyDescent="0.3">
      <c r="A25" s="48"/>
      <c r="B25" s="9" t="e">
        <f ca="1">CONCATENATE("          ",_xll.ONESTOP.REPORTPLAYER.OSRFUNCTIONS.OSRGET("d_Account","Code")," - ",_xll.ONESTOP.REPORTPLAYER.OSRFUNCTIONS.OSRGET("d_Account","Description"))</f>
        <v>#NAME?</v>
      </c>
      <c r="C25" s="9"/>
      <c r="D25" s="3" t="e">
        <f ca="1">-_xll.ONESTOP.REPORTPLAYER.OSRFUNCTIONS.OSRGET("GL_F_Trans","Value1")</f>
        <v>#NAME?</v>
      </c>
      <c r="E25" s="3"/>
      <c r="F25" s="26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6" t="e">
        <f ca="1">IF(H$12=0,0,H25/H$12)</f>
        <v>#NAME?</v>
      </c>
      <c r="K25" s="3"/>
      <c r="L25" s="3" t="e">
        <f ca="1">+D25-H25</f>
        <v>#NAME?</v>
      </c>
      <c r="M25" s="3"/>
      <c r="N25" s="26" t="e">
        <f ca="1">IF(H25=0,0,L25/H25)</f>
        <v>#NAME?</v>
      </c>
      <c r="O25" s="9"/>
      <c r="P25" s="3" t="e">
        <f ca="1">-_xll.ONESTOP.REPORTPLAYER.OSRFUNCTIONS.OSRGET("GL_F_Trans","Value1")</f>
        <v>#NAME?</v>
      </c>
      <c r="Q25" s="3"/>
      <c r="R25" s="26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6" t="e">
        <f ca="1">IF(T$12=0,0,T25/T$12)</f>
        <v>#NAME?</v>
      </c>
      <c r="W25" s="3"/>
      <c r="X25" s="3" t="e">
        <f ca="1">+P25-T25</f>
        <v>#NAME?</v>
      </c>
      <c r="Y25" s="3"/>
      <c r="Z25" s="26" t="e">
        <f ca="1">IF(T25=0,0,X25/T25)</f>
        <v>#NAME?</v>
      </c>
    </row>
    <row r="26" spans="1:26" ht="15" customHeight="1" x14ac:dyDescent="0.3">
      <c r="A26" s="12"/>
      <c r="B26" s="13"/>
      <c r="C26" s="13"/>
      <c r="D26" s="4"/>
      <c r="E26" s="4"/>
      <c r="F26" s="10"/>
      <c r="G26" s="4"/>
      <c r="H26" s="4"/>
      <c r="I26" s="4"/>
      <c r="J26" s="10"/>
      <c r="K26" s="4"/>
      <c r="L26" s="4"/>
      <c r="M26" s="4"/>
      <c r="N26" s="10"/>
      <c r="O26" s="13"/>
      <c r="P26" s="4"/>
      <c r="Q26" s="4"/>
      <c r="R26" s="10"/>
      <c r="S26" s="4"/>
      <c r="T26" s="4"/>
      <c r="U26" s="4"/>
      <c r="V26" s="10"/>
      <c r="W26" s="4"/>
      <c r="X26" s="4"/>
      <c r="Y26" s="4"/>
      <c r="Z26" s="10"/>
    </row>
    <row r="27" spans="1:26" s="63" customFormat="1" ht="15" customHeight="1" x14ac:dyDescent="0.3">
      <c r="A27" s="13"/>
      <c r="B27" s="27" t="s">
        <v>292</v>
      </c>
      <c r="C27" s="27"/>
      <c r="D27" s="23" t="e">
        <f ca="1">+D18-D20+D24</f>
        <v>#NAME?</v>
      </c>
      <c r="E27" s="15"/>
      <c r="F27" s="22" t="e">
        <f ca="1">IF(D$12=0,0,D27/D$12)</f>
        <v>#NAME?</v>
      </c>
      <c r="G27" s="15"/>
      <c r="H27" s="23" t="e">
        <f ca="1">+H18-H20+H24</f>
        <v>#NAME?</v>
      </c>
      <c r="I27" s="15"/>
      <c r="J27" s="22" t="e">
        <f ca="1">IF(H$12=0,0,H27/H$12)</f>
        <v>#NAME?</v>
      </c>
      <c r="K27" s="17"/>
      <c r="L27" s="23" t="e">
        <f ca="1">+D27-H27</f>
        <v>#NAME?</v>
      </c>
      <c r="M27" s="17"/>
      <c r="N27" s="22" t="e">
        <f ca="1">IF(H27=0,0,L27/H27)</f>
        <v>#NAME?</v>
      </c>
      <c r="O27" s="28"/>
      <c r="P27" s="23" t="e">
        <f ca="1">+P18-P20+P24</f>
        <v>#NAME?</v>
      </c>
      <c r="Q27" s="15"/>
      <c r="R27" s="22" t="e">
        <f ca="1">IF(P$12=0,0,P27/P$12)</f>
        <v>#NAME?</v>
      </c>
      <c r="S27" s="15"/>
      <c r="T27" s="23" t="e">
        <f ca="1">+T18-T20+T24</f>
        <v>#NAME?</v>
      </c>
      <c r="U27" s="15"/>
      <c r="V27" s="22" t="e">
        <f ca="1">IF(T$12=0,0,T27/T$12)</f>
        <v>#NAME?</v>
      </c>
      <c r="W27" s="17"/>
      <c r="X27" s="23" t="e">
        <f ca="1">+P27-T27</f>
        <v>#NAME?</v>
      </c>
      <c r="Y27" s="17"/>
      <c r="Z27" s="22" t="e">
        <f ca="1">IF(T27=0,0,X27/T27)</f>
        <v>#NAME?</v>
      </c>
    </row>
    <row r="28" spans="1:26" ht="15" customHeight="1" x14ac:dyDescent="0.3">
      <c r="A28" s="12"/>
      <c r="B28" s="13"/>
      <c r="C28" s="12"/>
      <c r="D28" s="4"/>
      <c r="E28" s="4"/>
      <c r="F28" s="10"/>
      <c r="G28" s="4"/>
      <c r="H28" s="4"/>
      <c r="I28" s="4"/>
      <c r="J28" s="10"/>
      <c r="K28" s="4"/>
      <c r="L28" s="4"/>
      <c r="M28" s="4"/>
      <c r="N28" s="10"/>
      <c r="P28" s="4"/>
      <c r="Q28" s="4"/>
      <c r="R28" s="10"/>
      <c r="S28" s="4"/>
      <c r="T28" s="4"/>
      <c r="U28" s="4"/>
      <c r="V28" s="10"/>
      <c r="W28" s="4"/>
      <c r="X28" s="4"/>
      <c r="Y28" s="4"/>
      <c r="Z28" s="10"/>
    </row>
    <row r="29" spans="1:26" s="63" customFormat="1" ht="15" customHeight="1" x14ac:dyDescent="0.3">
      <c r="A29" s="49"/>
      <c r="B29" s="13" t="s">
        <v>293</v>
      </c>
      <c r="C29" s="13"/>
      <c r="D29" s="8" t="e">
        <f ca="1">_xll.ONESTOP.REPORTPLAYER.OSRFUNCTIONS.OSRGET("GL_F_Trans","Value1")</f>
        <v>#NAME?</v>
      </c>
      <c r="E29" s="8"/>
      <c r="F29" s="14" t="e">
        <f ca="1">IF(D$12=0,0,D29/D$12)</f>
        <v>#NAME?</v>
      </c>
      <c r="G29" s="8"/>
      <c r="H29" s="8" t="e">
        <f ca="1">_xll.ONESTOP.REPORTPLAYER.OSRFUNCTIONS.OSRGET("GL_F_Trans","Value1")</f>
        <v>#NAME?</v>
      </c>
      <c r="I29" s="8"/>
      <c r="J29" s="14" t="e">
        <f ca="1">IF(H$12=0,0,H29/H$12)</f>
        <v>#NAME?</v>
      </c>
      <c r="K29" s="8"/>
      <c r="L29" s="8" t="e">
        <f ca="1">+D29-H29</f>
        <v>#NAME?</v>
      </c>
      <c r="M29" s="8"/>
      <c r="N29" s="14" t="e">
        <f ca="1">IF(H29=0,0,L29/H29)</f>
        <v>#NAME?</v>
      </c>
      <c r="O29" s="13"/>
      <c r="P29" s="8" t="e">
        <f ca="1">_xll.ONESTOP.REPORTPLAYER.OSRFUNCTIONS.OSRGET("GL_F_Trans","Value1")</f>
        <v>#NAME?</v>
      </c>
      <c r="Q29" s="8"/>
      <c r="R29" s="14" t="e">
        <f ca="1">IF(P$12=0,0,P29/P$12)</f>
        <v>#NAME?</v>
      </c>
      <c r="S29" s="8"/>
      <c r="T29" s="8" t="e">
        <f ca="1">_xll.ONESTOP.REPORTPLAYER.OSRFUNCTIONS.OSRGET("GL_F_Trans","Value1")</f>
        <v>#NAME?</v>
      </c>
      <c r="U29" s="8"/>
      <c r="V29" s="14" t="e">
        <f ca="1">IF(T$12=0,0,T29/T$12)</f>
        <v>#NAME?</v>
      </c>
      <c r="W29" s="8"/>
      <c r="X29" s="8" t="e">
        <f ca="1">+P29-T29</f>
        <v>#NAME?</v>
      </c>
      <c r="Y29" s="8"/>
      <c r="Z29" s="14" t="e">
        <f ca="1">IF(T29=0,0,X29/T29)</f>
        <v>#NAME?</v>
      </c>
    </row>
    <row r="30" spans="1:26" ht="15" customHeight="1" x14ac:dyDescent="0.3">
      <c r="A30" s="12"/>
      <c r="B30" s="13"/>
      <c r="C30" s="13"/>
      <c r="D30" s="4"/>
      <c r="E30" s="4"/>
      <c r="F30" s="10"/>
      <c r="G30" s="4"/>
      <c r="H30" s="4"/>
      <c r="I30" s="4"/>
      <c r="J30" s="10"/>
      <c r="K30" s="4"/>
      <c r="L30" s="4"/>
      <c r="M30" s="4"/>
      <c r="N30" s="10"/>
      <c r="O30" s="13"/>
      <c r="P30" s="4"/>
      <c r="Q30" s="4"/>
      <c r="R30" s="10"/>
      <c r="S30" s="4"/>
      <c r="T30" s="4"/>
      <c r="U30" s="4"/>
      <c r="V30" s="10"/>
      <c r="W30" s="4"/>
      <c r="X30" s="4"/>
      <c r="Y30" s="4"/>
      <c r="Z30" s="10"/>
    </row>
    <row r="31" spans="1:26" s="63" customFormat="1" ht="15" customHeight="1" x14ac:dyDescent="0.3">
      <c r="A31" s="13"/>
      <c r="B31" s="27" t="s">
        <v>294</v>
      </c>
      <c r="C31" s="27"/>
      <c r="D31" s="30" t="e">
        <f ca="1">+D27-D29</f>
        <v>#NAME?</v>
      </c>
      <c r="E31" s="15"/>
      <c r="F31" s="35" t="e">
        <f ca="1">IF(D$12=0,0,D31/D$12)</f>
        <v>#NAME?</v>
      </c>
      <c r="G31" s="15"/>
      <c r="H31" s="30" t="e">
        <f ca="1">+H27-H29</f>
        <v>#NAME?</v>
      </c>
      <c r="I31" s="15"/>
      <c r="J31" s="35" t="e">
        <f ca="1">IF(H$12=0,0,H31/H$12)</f>
        <v>#NAME?</v>
      </c>
      <c r="K31" s="17"/>
      <c r="L31" s="30" t="e">
        <f ca="1">D31-H31</f>
        <v>#NAME?</v>
      </c>
      <c r="M31" s="17"/>
      <c r="N31" s="35" t="e">
        <f ca="1">IF(H31=0,0,L31/H31)</f>
        <v>#NAME?</v>
      </c>
      <c r="O31" s="28"/>
      <c r="P31" s="30" t="e">
        <f ca="1">+P27-P29</f>
        <v>#NAME?</v>
      </c>
      <c r="Q31" s="15"/>
      <c r="R31" s="35" t="e">
        <f ca="1">IF(P$12=0,0,P31/P$12)</f>
        <v>#NAME?</v>
      </c>
      <c r="S31" s="15"/>
      <c r="T31" s="30" t="e">
        <f ca="1">+T27-T29</f>
        <v>#NAME?</v>
      </c>
      <c r="U31" s="15"/>
      <c r="V31" s="35" t="e">
        <f ca="1">IF(T$12=0,0,T31/T$12)</f>
        <v>#NAME?</v>
      </c>
      <c r="W31" s="17"/>
      <c r="X31" s="30" t="e">
        <f ca="1">P31-T31</f>
        <v>#NAME?</v>
      </c>
      <c r="Y31" s="17"/>
      <c r="Z31" s="35" t="e">
        <f ca="1">IF(T31=0,0,X31/T31)</f>
        <v>#NAME?</v>
      </c>
    </row>
    <row r="32" spans="1:26" ht="15" customHeight="1" x14ac:dyDescent="0.3">
      <c r="A32" s="12"/>
      <c r="B32" s="12"/>
      <c r="C32" s="12"/>
      <c r="D32" s="4"/>
      <c r="E32" s="4"/>
      <c r="F32" s="10"/>
      <c r="G32" s="4"/>
      <c r="H32" s="4"/>
      <c r="I32" s="4"/>
      <c r="J32" s="10"/>
      <c r="K32" s="4"/>
      <c r="L32" s="4"/>
      <c r="M32" s="4"/>
      <c r="N32" s="10"/>
      <c r="P32" s="4"/>
      <c r="Q32" s="4"/>
      <c r="R32" s="10"/>
      <c r="S32" s="4"/>
      <c r="T32" s="4"/>
      <c r="U32" s="4"/>
      <c r="V32" s="10"/>
      <c r="W32" s="4"/>
      <c r="X32" s="4"/>
      <c r="Y32" s="4"/>
      <c r="Z32" s="10"/>
    </row>
    <row r="33" spans="1:26" s="63" customFormat="1" ht="15" customHeight="1" x14ac:dyDescent="0.3">
      <c r="A33" s="49"/>
      <c r="B33" s="13" t="s">
        <v>295</v>
      </c>
      <c r="C33" s="13"/>
      <c r="D33" s="8" t="e">
        <f ca="1">-_xll.ONESTOP.REPORTPLAYER.OSRFUNCTIONS.OSRGET("GL_F_Trans","Value1")</f>
        <v>#NAME?</v>
      </c>
      <c r="E33" s="8"/>
      <c r="F33" s="14" t="e">
        <f ca="1">IF(D$12=0,0,D33/D$12)</f>
        <v>#NAME?</v>
      </c>
      <c r="G33" s="8"/>
      <c r="H33" s="8" t="e">
        <f ca="1">-_xll.ONESTOP.REPORTPLAYER.OSRFUNCTIONS.OSRGET("GL_F_Trans","Value1")</f>
        <v>#NAME?</v>
      </c>
      <c r="I33" s="8"/>
      <c r="J33" s="14" t="e">
        <f ca="1">IF(H$12=0,0,H33/H$12)</f>
        <v>#NAME?</v>
      </c>
      <c r="K33" s="8"/>
      <c r="L33" s="8" t="e">
        <f ca="1">+D33-H33</f>
        <v>#NAME?</v>
      </c>
      <c r="M33" s="8"/>
      <c r="N33" s="14" t="e">
        <f ca="1">IF(H33=0,0,L33/H33)</f>
        <v>#NAME?</v>
      </c>
      <c r="O33" s="13"/>
      <c r="P33" s="8" t="e">
        <f ca="1">-_xll.ONESTOP.REPORTPLAYER.OSRFUNCTIONS.OSRGET("GL_F_Trans","Value1")</f>
        <v>#NAME?</v>
      </c>
      <c r="Q33" s="8"/>
      <c r="R33" s="14" t="e">
        <f ca="1">IF(P$12=0,0,P33/P$12)</f>
        <v>#NAME?</v>
      </c>
      <c r="S33" s="8"/>
      <c r="T33" s="8" t="e">
        <f ca="1">-_xll.ONESTOP.REPORTPLAYER.OSRFUNCTIONS.OSRGET("GL_F_Trans","Value1")</f>
        <v>#NAME?</v>
      </c>
      <c r="U33" s="8"/>
      <c r="V33" s="14" t="e">
        <f ca="1">IF(T$12=0,0,T33/T$12)</f>
        <v>#NAME?</v>
      </c>
      <c r="W33" s="8"/>
      <c r="X33" s="8" t="e">
        <f ca="1">+P33-T33</f>
        <v>#NAME?</v>
      </c>
      <c r="Y33" s="8"/>
      <c r="Z33" s="14" t="e">
        <f ca="1">IF(T33=0,0,X33/T33)</f>
        <v>#NAME?</v>
      </c>
    </row>
    <row r="34" spans="1:26" s="63" customFormat="1" ht="15" customHeight="1" x14ac:dyDescent="0.3">
      <c r="A34" s="49"/>
      <c r="B34" s="13" t="s">
        <v>296</v>
      </c>
      <c r="C34" s="13"/>
      <c r="D34" s="8" t="e">
        <f ca="1">-_xll.ONESTOP.REPORTPLAYER.OSRFUNCTIONS.OSRGET("GL_F_Trans","Value1")</f>
        <v>#NAME?</v>
      </c>
      <c r="E34" s="8"/>
      <c r="F34" s="14" t="e">
        <f ca="1">IF(D$12=0,0,D34/D$12)</f>
        <v>#NAME?</v>
      </c>
      <c r="G34" s="8"/>
      <c r="H34" s="8" t="e">
        <f ca="1">-_xll.ONESTOP.REPORTPLAYER.OSRFUNCTIONS.OSRGET("GL_F_Trans","Value1")</f>
        <v>#NAME?</v>
      </c>
      <c r="I34" s="8"/>
      <c r="J34" s="14" t="e">
        <f ca="1">IF(H$12=0,0,H34/H$12)</f>
        <v>#NAME?</v>
      </c>
      <c r="K34" s="8"/>
      <c r="L34" s="8" t="e">
        <f ca="1">+D34-H34</f>
        <v>#NAME?</v>
      </c>
      <c r="M34" s="8"/>
      <c r="N34" s="14" t="e">
        <f ca="1">IF(H34=0,0,L34/H34)</f>
        <v>#NAME?</v>
      </c>
      <c r="O34" s="13"/>
      <c r="P34" s="8" t="e">
        <f ca="1">-_xll.ONESTOP.REPORTPLAYER.OSRFUNCTIONS.OSRGET("GL_F_Trans","Value1")</f>
        <v>#NAME?</v>
      </c>
      <c r="Q34" s="8"/>
      <c r="R34" s="14" t="e">
        <f ca="1">IF(P$12=0,0,P34/P$12)</f>
        <v>#NAME?</v>
      </c>
      <c r="S34" s="8"/>
      <c r="T34" s="8" t="e">
        <f ca="1">-_xll.ONESTOP.REPORTPLAYER.OSRFUNCTIONS.OSRGET("GL_F_Trans","Value1")</f>
        <v>#NAME?</v>
      </c>
      <c r="U34" s="8"/>
      <c r="V34" s="14" t="e">
        <f ca="1">IF(T$12=0,0,T34/T$12)</f>
        <v>#NAME?</v>
      </c>
      <c r="W34" s="8"/>
      <c r="X34" s="8" t="e">
        <f ca="1">+P34-T34</f>
        <v>#NAME?</v>
      </c>
      <c r="Y34" s="8"/>
      <c r="Z34" s="14" t="e">
        <f ca="1">IF(T34=0,0,X34/T34)</f>
        <v>#NAME?</v>
      </c>
    </row>
    <row r="35" spans="1:26" ht="15" customHeight="1" x14ac:dyDescent="0.3">
      <c r="A35" s="12"/>
      <c r="B35" s="12"/>
      <c r="C35" s="12"/>
      <c r="D35" s="4"/>
      <c r="E35" s="4"/>
      <c r="F35" s="10"/>
      <c r="G35" s="4"/>
      <c r="H35" s="4"/>
      <c r="I35" s="4"/>
      <c r="J35" s="10"/>
      <c r="K35" s="4"/>
      <c r="L35" s="4"/>
      <c r="M35" s="4"/>
      <c r="N35" s="10"/>
      <c r="P35" s="4"/>
      <c r="Q35" s="4"/>
      <c r="R35" s="10"/>
      <c r="S35" s="4"/>
      <c r="T35" s="4"/>
      <c r="U35" s="4"/>
      <c r="V35" s="10"/>
      <c r="W35" s="4"/>
      <c r="X35" s="4"/>
      <c r="Y35" s="4"/>
      <c r="Z35" s="10"/>
    </row>
    <row r="36" spans="1:26" s="63" customFormat="1" ht="15" customHeight="1" x14ac:dyDescent="0.3">
      <c r="A36" s="13"/>
      <c r="B36" s="27" t="s">
        <v>297</v>
      </c>
      <c r="C36" s="27"/>
      <c r="D36" s="33" t="e">
        <f ca="1">SUM(D31:D35)</f>
        <v>#NAME?</v>
      </c>
      <c r="E36" s="15"/>
      <c r="F36" s="31" t="e">
        <f ca="1">IF(D$12=0,0,D36/D$12)</f>
        <v>#NAME?</v>
      </c>
      <c r="G36" s="15"/>
      <c r="H36" s="33" t="e">
        <f ca="1">SUM(H31:H35)</f>
        <v>#NAME?</v>
      </c>
      <c r="I36" s="15"/>
      <c r="J36" s="31" t="e">
        <f ca="1">IF(H$12=0,0,H36/H$12)</f>
        <v>#NAME?</v>
      </c>
      <c r="K36" s="17"/>
      <c r="L36" s="33" t="e">
        <f ca="1">+D36-H36</f>
        <v>#NAME?</v>
      </c>
      <c r="M36" s="17"/>
      <c r="N36" s="31" t="e">
        <f ca="1">IF(H36=0,0,L36/H36)</f>
        <v>#NAME?</v>
      </c>
      <c r="O36" s="28"/>
      <c r="P36" s="33" t="e">
        <f ca="1">SUM(P31:P35)</f>
        <v>#NAME?</v>
      </c>
      <c r="Q36" s="15"/>
      <c r="R36" s="31" t="e">
        <f ca="1">IF(P$12=0,0,P36/P$12)</f>
        <v>#NAME?</v>
      </c>
      <c r="S36" s="15"/>
      <c r="T36" s="33" t="e">
        <f ca="1">SUM(T31:T35)</f>
        <v>#NAME?</v>
      </c>
      <c r="U36" s="15"/>
      <c r="V36" s="31" t="e">
        <f ca="1">IF(T$12=0,0,T36/T$12)</f>
        <v>#NAME?</v>
      </c>
      <c r="W36" s="17"/>
      <c r="X36" s="33" t="e">
        <f ca="1">+P36-T36</f>
        <v>#NAME?</v>
      </c>
      <c r="Y36" s="17"/>
      <c r="Z36" s="31" t="e">
        <f ca="1">IF(T36=0,0,X36/T36)</f>
        <v>#NAME?</v>
      </c>
    </row>
    <row r="37" spans="1:26" ht="15" customHeight="1" x14ac:dyDescent="0.3">
      <c r="A37" s="12"/>
      <c r="C37" s="12"/>
      <c r="D37" s="19"/>
      <c r="E37" s="19"/>
      <c r="G37" s="19"/>
      <c r="H37" s="19"/>
      <c r="I37" s="19"/>
      <c r="J37" s="41"/>
      <c r="K37" s="19"/>
      <c r="L37" s="19"/>
      <c r="M37" s="19"/>
      <c r="P37" s="19"/>
      <c r="Q37" s="19"/>
      <c r="R37" s="41"/>
      <c r="S37" s="19"/>
      <c r="T37" s="19"/>
      <c r="U37" s="19"/>
      <c r="V37" s="41"/>
      <c r="W37" s="19"/>
      <c r="X37" s="19"/>
    </row>
    <row r="38" spans="1:26" ht="15" customHeight="1" x14ac:dyDescent="0.3">
      <c r="A38" s="12"/>
      <c r="B38" s="50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1"/>
      <c r="K38" s="19"/>
      <c r="L38" s="19"/>
      <c r="M38" s="19"/>
      <c r="P38" s="19"/>
      <c r="Q38" s="19"/>
      <c r="R38" s="41"/>
      <c r="S38" s="19"/>
      <c r="T38" s="19"/>
      <c r="U38" s="19"/>
      <c r="V38" s="41"/>
      <c r="W38" s="19"/>
      <c r="X38" s="19"/>
    </row>
    <row r="39" spans="1:26" ht="15" customHeight="1" x14ac:dyDescent="0.3">
      <c r="A39" s="12"/>
      <c r="B39" s="57" t="e">
        <f ca="1">_xll.ONESTOP.REPORTPLAYER.OSRFUNCTIONS.OSRGET("User","UserId")</f>
        <v>#NAME?</v>
      </c>
      <c r="D39" s="19"/>
      <c r="E39" s="19"/>
      <c r="G39" s="19"/>
      <c r="H39" s="19"/>
      <c r="I39" s="19"/>
      <c r="J39" s="41"/>
      <c r="K39" s="19"/>
      <c r="L39" s="19"/>
      <c r="M39" s="19"/>
      <c r="P39" s="19"/>
      <c r="Q39" s="19"/>
      <c r="R39" s="41"/>
      <c r="S39" s="19"/>
      <c r="T39" s="19"/>
      <c r="U39" s="19"/>
      <c r="V39" s="41"/>
      <c r="W39" s="19"/>
      <c r="X39" s="19"/>
    </row>
    <row r="40" spans="1:26" ht="15" customHeight="1" x14ac:dyDescent="0.3">
      <c r="A40" s="12"/>
      <c r="B40" s="51"/>
      <c r="D40" s="19"/>
      <c r="E40" s="19"/>
      <c r="G40" s="19"/>
      <c r="H40" s="19"/>
      <c r="I40" s="19"/>
      <c r="J40" s="41"/>
      <c r="K40" s="19"/>
      <c r="L40" s="19"/>
      <c r="M40" s="19"/>
      <c r="P40" s="19"/>
      <c r="Q40" s="19"/>
      <c r="R40" s="41"/>
      <c r="S40" s="19"/>
      <c r="T40" s="19"/>
      <c r="U40" s="19"/>
      <c r="V40" s="41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1"/>
      <c r="K41" s="19"/>
      <c r="L41" s="19"/>
      <c r="M41" s="19"/>
      <c r="P41" s="19"/>
      <c r="Q41" s="19"/>
      <c r="R41" s="41"/>
      <c r="S41" s="19"/>
      <c r="T41" s="19"/>
      <c r="U41" s="19"/>
      <c r="V41" s="41"/>
      <c r="W41" s="19"/>
      <c r="X4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1EE227-FE85-41F6-161E-8B41DF33DE1A}">
  <sheetPr>
    <tabColor rgb="FFFFC000"/>
    <outlinePr summaryBelow="0" summaryRight="0"/>
  </sheetPr>
  <dimension ref="A2:Z109"/>
  <sheetViews>
    <sheetView showGridLines="0" defaultGridColor="0" colorId="8" zoomScale="80" workbookViewId="0">
      <pane xSplit="3" ySplit="10" topLeftCell="D11" activePane="bottomRight" state="frozen"/>
      <selection activeCell="D78" sqref="D78"/>
      <selection pane="topRight" activeCell="D78" sqref="D78"/>
      <selection pane="bottomLeft" activeCell="D78" sqref="D78"/>
      <selection pane="bottomRight" activeCell="D78" sqref="D78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3" t="s">
        <v>276</v>
      </c>
    </row>
    <row r="3" spans="1:26" ht="15" customHeight="1" x14ac:dyDescent="0.3">
      <c r="D3" s="53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3" t="str">
        <f>CONCATENATE("Period ",RIGHT(202212,2),", ",2022)</f>
        <v>Period 12,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5"/>
      <c r="D5" s="60">
        <v>44742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5"/>
      <c r="B6" s="47"/>
      <c r="C6" s="47"/>
      <c r="D6" s="25" t="s">
        <v>300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4"/>
    </row>
    <row r="8" spans="1:26" ht="15" customHeight="1" x14ac:dyDescent="0.3">
      <c r="B8" s="54"/>
    </row>
    <row r="9" spans="1:26" ht="15" customHeight="1" x14ac:dyDescent="0.3">
      <c r="B9" s="12"/>
      <c r="C9" s="12"/>
      <c r="D9" s="16" t="s">
        <v>279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280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ht="15" customHeight="1" x14ac:dyDescent="0.3">
      <c r="A10" s="13"/>
      <c r="B10" s="52"/>
      <c r="C10" s="13"/>
      <c r="D10" s="40" t="s">
        <v>281</v>
      </c>
      <c r="E10" s="32"/>
      <c r="F10" s="39" t="s">
        <v>282</v>
      </c>
      <c r="G10" s="32"/>
      <c r="H10" s="45" t="s">
        <v>283</v>
      </c>
      <c r="I10" s="32"/>
      <c r="J10" s="42" t="s">
        <v>284</v>
      </c>
      <c r="K10" s="13"/>
      <c r="L10" s="40" t="s">
        <v>285</v>
      </c>
      <c r="M10" s="13"/>
      <c r="N10" s="39" t="s">
        <v>286</v>
      </c>
      <c r="O10" s="13"/>
      <c r="P10" s="55" t="s">
        <v>281</v>
      </c>
      <c r="Q10" s="32"/>
      <c r="R10" s="39" t="s">
        <v>282</v>
      </c>
      <c r="S10" s="32"/>
      <c r="T10" s="45" t="s">
        <v>283</v>
      </c>
      <c r="U10" s="32"/>
      <c r="V10" s="42" t="s">
        <v>284</v>
      </c>
      <c r="W10" s="13"/>
      <c r="X10" s="40" t="s">
        <v>285</v>
      </c>
      <c r="Y10" s="13"/>
      <c r="Z10" s="39" t="s">
        <v>286</v>
      </c>
    </row>
    <row r="11" spans="1:26" ht="16.5" customHeight="1" x14ac:dyDescent="0.3">
      <c r="A11" s="12"/>
      <c r="B11" s="58"/>
      <c r="C11" s="12"/>
      <c r="D11" s="12"/>
      <c r="E11" s="12"/>
      <c r="F11" s="10"/>
      <c r="G11" s="12"/>
      <c r="H11" s="12"/>
      <c r="I11" s="12"/>
      <c r="J11" s="43"/>
      <c r="K11" s="12"/>
      <c r="L11" s="12"/>
      <c r="M11" s="12"/>
      <c r="N11" s="10"/>
      <c r="P11" s="12"/>
      <c r="Q11" s="12"/>
      <c r="R11" s="10"/>
      <c r="S11" s="12"/>
      <c r="T11" s="12"/>
      <c r="U11" s="12"/>
      <c r="V11" s="43"/>
      <c r="W11" s="12"/>
      <c r="X11" s="12"/>
      <c r="Y11" s="12"/>
      <c r="Z11" s="10"/>
    </row>
    <row r="12" spans="1:26" s="63" customFormat="1" ht="15" customHeight="1" x14ac:dyDescent="0.3">
      <c r="A12" s="13"/>
      <c r="B12" s="28" t="s">
        <v>287</v>
      </c>
      <c r="C12" s="13"/>
      <c r="D12" s="8">
        <f>SUM(0)</f>
        <v>0</v>
      </c>
      <c r="E12" s="8"/>
      <c r="F12" s="14"/>
      <c r="G12" s="8"/>
      <c r="H12" s="8">
        <f>SUM(0)</f>
        <v>0</v>
      </c>
      <c r="I12" s="8"/>
      <c r="J12" s="14"/>
      <c r="K12" s="8"/>
      <c r="L12" s="8">
        <f>+D12-H12</f>
        <v>0</v>
      </c>
      <c r="M12" s="8"/>
      <c r="N12" s="14">
        <f>IF(H12=0,0,L12/H12)</f>
        <v>0</v>
      </c>
      <c r="O12" s="13"/>
      <c r="P12" s="8">
        <f>SUM(0)</f>
        <v>0</v>
      </c>
      <c r="Q12" s="8"/>
      <c r="R12" s="14"/>
      <c r="S12" s="8"/>
      <c r="T12" s="8">
        <f>SUM(0)</f>
        <v>0</v>
      </c>
      <c r="U12" s="8"/>
      <c r="V12" s="14"/>
      <c r="W12" s="8"/>
      <c r="X12" s="8">
        <f>+P12-T12</f>
        <v>0</v>
      </c>
      <c r="Y12" s="8"/>
      <c r="Z12" s="14">
        <f>IF(T12=0,0,X12/T12)</f>
        <v>0</v>
      </c>
    </row>
    <row r="13" spans="1:26" ht="15" customHeight="1" x14ac:dyDescent="0.3">
      <c r="A13" s="12"/>
      <c r="B13" s="13"/>
      <c r="C13" s="12"/>
      <c r="D13" s="4"/>
      <c r="E13" s="4"/>
      <c r="F13" s="10"/>
      <c r="G13" s="4"/>
      <c r="H13" s="4"/>
      <c r="I13" s="4"/>
      <c r="J13" s="10"/>
      <c r="K13" s="4"/>
      <c r="L13" s="4"/>
      <c r="M13" s="4"/>
      <c r="N13" s="10"/>
      <c r="P13" s="4"/>
      <c r="Q13" s="4"/>
      <c r="R13" s="10"/>
      <c r="S13" s="4"/>
      <c r="T13" s="4"/>
      <c r="U13" s="4"/>
      <c r="V13" s="10"/>
      <c r="W13" s="4"/>
      <c r="X13" s="4"/>
      <c r="Y13" s="4"/>
      <c r="Z13" s="10"/>
    </row>
    <row r="14" spans="1:26" s="63" customFormat="1" ht="15" customHeight="1" x14ac:dyDescent="0.3">
      <c r="A14" s="13"/>
      <c r="B14" s="28" t="s">
        <v>288</v>
      </c>
      <c r="C14" s="13"/>
      <c r="D14" s="8">
        <f>SUM(0)</f>
        <v>0</v>
      </c>
      <c r="E14" s="8"/>
      <c r="F14" s="14">
        <f>IF(D$12=0,0,D14/D$12)</f>
        <v>0</v>
      </c>
      <c r="G14" s="8"/>
      <c r="H14" s="8">
        <f>SUM(0)</f>
        <v>0</v>
      </c>
      <c r="I14" s="8"/>
      <c r="J14" s="14">
        <f>IF(H$12=0,0,H14/H$12)</f>
        <v>0</v>
      </c>
      <c r="K14" s="8"/>
      <c r="L14" s="8">
        <f>+D14-H14</f>
        <v>0</v>
      </c>
      <c r="M14" s="8"/>
      <c r="N14" s="14">
        <f>IF(H14=0,0,L14/H14)</f>
        <v>0</v>
      </c>
      <c r="O14" s="13"/>
      <c r="P14" s="8">
        <f>SUM(0)</f>
        <v>0</v>
      </c>
      <c r="Q14" s="8"/>
      <c r="R14" s="14">
        <f>IF(P$12=0,0,P14/P$12)</f>
        <v>0</v>
      </c>
      <c r="S14" s="8"/>
      <c r="T14" s="8">
        <f>SUM(0)</f>
        <v>0</v>
      </c>
      <c r="U14" s="8"/>
      <c r="V14" s="14">
        <f>IF(T$12=0,0,T14/T$12)</f>
        <v>0</v>
      </c>
      <c r="W14" s="8"/>
      <c r="X14" s="8">
        <f>+P14-T14</f>
        <v>0</v>
      </c>
      <c r="Y14" s="8"/>
      <c r="Z14" s="14">
        <f>IF(T14=0,0,X14/T14)</f>
        <v>0</v>
      </c>
    </row>
    <row r="15" spans="1:26" ht="15" customHeight="1" x14ac:dyDescent="0.3">
      <c r="A15" s="12"/>
      <c r="B15" s="13"/>
      <c r="C15" s="13"/>
      <c r="D15" s="4"/>
      <c r="E15" s="4"/>
      <c r="F15" s="10"/>
      <c r="G15" s="4"/>
      <c r="H15" s="4"/>
      <c r="I15" s="4"/>
      <c r="J15" s="10"/>
      <c r="K15" s="4"/>
      <c r="L15" s="4"/>
      <c r="M15" s="4"/>
      <c r="N15" s="10"/>
      <c r="O15" s="13"/>
      <c r="P15" s="4"/>
      <c r="Q15" s="4"/>
      <c r="R15" s="10"/>
      <c r="S15" s="4"/>
      <c r="T15" s="4"/>
      <c r="U15" s="4"/>
      <c r="V15" s="10"/>
      <c r="W15" s="4"/>
      <c r="X15" s="4"/>
      <c r="Y15" s="4"/>
      <c r="Z15" s="10"/>
    </row>
    <row r="16" spans="1:26" s="63" customFormat="1" ht="15" customHeight="1" x14ac:dyDescent="0.3">
      <c r="A16" s="13"/>
      <c r="B16" s="27" t="s">
        <v>289</v>
      </c>
      <c r="C16" s="27"/>
      <c r="D16" s="23">
        <f>D12-D14</f>
        <v>0</v>
      </c>
      <c r="E16" s="15"/>
      <c r="F16" s="22">
        <f>IF(D$12=0,0,D16/D$12)</f>
        <v>0</v>
      </c>
      <c r="G16" s="15"/>
      <c r="H16" s="23">
        <f>H12-H14</f>
        <v>0</v>
      </c>
      <c r="I16" s="15"/>
      <c r="J16" s="22">
        <f>IF(H$12=0,0,H16/H$12)</f>
        <v>0</v>
      </c>
      <c r="K16" s="17"/>
      <c r="L16" s="23">
        <f>+D16-H16</f>
        <v>0</v>
      </c>
      <c r="M16" s="17"/>
      <c r="N16" s="22">
        <f>IF(H16=0,0,L16/H16)</f>
        <v>0</v>
      </c>
      <c r="O16" s="28"/>
      <c r="P16" s="23">
        <f>P12-P14</f>
        <v>0</v>
      </c>
      <c r="Q16" s="15"/>
      <c r="R16" s="22">
        <f>IF(P$12=0,0,P16/P$12)</f>
        <v>0</v>
      </c>
      <c r="S16" s="15"/>
      <c r="T16" s="23">
        <f>T12-T14</f>
        <v>0</v>
      </c>
      <c r="U16" s="15"/>
      <c r="V16" s="22">
        <f>IF(T$12=0,0,T16/T$12)</f>
        <v>0</v>
      </c>
      <c r="W16" s="17"/>
      <c r="X16" s="23">
        <f>+P16-T16</f>
        <v>0</v>
      </c>
      <c r="Y16" s="17"/>
      <c r="Z16" s="22">
        <f>IF(T16=0,0,X16/T16)</f>
        <v>0</v>
      </c>
    </row>
    <row r="17" spans="1:26" ht="15" customHeight="1" x14ac:dyDescent="0.3">
      <c r="A17" s="12"/>
      <c r="B17" s="13"/>
      <c r="C17" s="12"/>
      <c r="D17" s="2"/>
      <c r="E17" s="2"/>
      <c r="F17" s="5"/>
      <c r="G17" s="2"/>
      <c r="H17" s="2"/>
      <c r="I17" s="2"/>
      <c r="J17" s="5"/>
      <c r="K17" s="2"/>
      <c r="L17" s="2"/>
      <c r="M17" s="2"/>
      <c r="N17" s="5"/>
      <c r="O17" s="36"/>
      <c r="P17" s="2"/>
      <c r="Q17" s="2"/>
      <c r="R17" s="5"/>
      <c r="S17" s="2"/>
      <c r="T17" s="2"/>
      <c r="U17" s="2"/>
      <c r="V17" s="5"/>
      <c r="W17" s="2"/>
      <c r="X17" s="2"/>
      <c r="Y17" s="2"/>
      <c r="Z17" s="5"/>
    </row>
    <row r="18" spans="1:26" s="63" customFormat="1" ht="15" customHeight="1" x14ac:dyDescent="0.3">
      <c r="A18" s="13"/>
      <c r="B18" s="28" t="s">
        <v>290</v>
      </c>
      <c r="C18" s="13"/>
      <c r="D18" s="24" cm="1">
        <f t="array" ref="D18">SUM(OSRRefD22x_0)</f>
        <v>-5588405.4200000027</v>
      </c>
      <c r="E18" s="24"/>
      <c r="F18" s="34">
        <f t="shared" ref="F18:F49" si="0">IF(D$12=0,0,D18/D$12)</f>
        <v>0</v>
      </c>
      <c r="G18" s="24"/>
      <c r="H18" s="24" cm="1">
        <f t="array" ref="H18">SUM(OSRRefH22x_0)</f>
        <v>-215603.10673616</v>
      </c>
      <c r="I18" s="24"/>
      <c r="J18" s="34">
        <f t="shared" ref="J18:J49" si="1">IF(H$12=0,0,H18/H$12)</f>
        <v>0</v>
      </c>
      <c r="K18" s="8"/>
      <c r="L18" s="24">
        <f t="shared" ref="L18:L49" si="2">+D18-H18</f>
        <v>-5372802.3132638428</v>
      </c>
      <c r="M18" s="8"/>
      <c r="N18" s="34">
        <f t="shared" ref="N18:N49" si="3">IF(H18=0,0,L18/H18)</f>
        <v>24.919874275460707</v>
      </c>
      <c r="O18" s="13"/>
      <c r="P18" s="24" cm="1">
        <f t="array" ref="P18">SUM(OSRRefP22x_0)</f>
        <v>-2882939.4799999995</v>
      </c>
      <c r="Q18" s="24"/>
      <c r="R18" s="34">
        <f t="shared" ref="R18:R49" si="4">IF(P$12=0,0,P18/P$12)</f>
        <v>0</v>
      </c>
      <c r="S18" s="24"/>
      <c r="T18" s="24" cm="1">
        <f t="array" ref="T18">SUM(OSRRefT22x_0)</f>
        <v>2640336.0192823811</v>
      </c>
      <c r="U18" s="24"/>
      <c r="V18" s="34">
        <f t="shared" ref="V18:V49" si="5">IF(T$12=0,0,T18/T$12)</f>
        <v>0</v>
      </c>
      <c r="W18" s="8"/>
      <c r="X18" s="24">
        <f t="shared" ref="X18:X49" si="6">+P18-T18</f>
        <v>-5523275.4992823806</v>
      </c>
      <c r="Y18" s="8"/>
      <c r="Z18" s="34">
        <f t="shared" ref="Z18:Z49" si="7">IF(T18=0,0,X18/T18)</f>
        <v>-2.0918835553300354</v>
      </c>
    </row>
    <row r="19" spans="1:26" s="69" customFormat="1" ht="15" customHeight="1" outlineLevel="1" collapsed="1" x14ac:dyDescent="0.3">
      <c r="A19" s="20"/>
      <c r="B19" s="11" t="str">
        <f>CONCATENATE("     ","*Benefits                                         ")</f>
        <v xml:space="preserve">     *Benefits                                         </v>
      </c>
      <c r="C19" s="11"/>
      <c r="D19" s="2">
        <f>SUM(OSRRefD22_0x_0)</f>
        <v>-5731591.2000000011</v>
      </c>
      <c r="E19" s="2"/>
      <c r="F19" s="5">
        <f t="shared" si="0"/>
        <v>0</v>
      </c>
      <c r="G19" s="2"/>
      <c r="H19" s="2">
        <f>SUM(OSRRefH22_0x_0)</f>
        <v>-352331.75865000609</v>
      </c>
      <c r="I19" s="2"/>
      <c r="J19" s="5">
        <f t="shared" si="1"/>
        <v>0</v>
      </c>
      <c r="K19" s="2"/>
      <c r="L19" s="2">
        <f t="shared" si="2"/>
        <v>-5379259.4413499953</v>
      </c>
      <c r="M19" s="2"/>
      <c r="N19" s="5">
        <f t="shared" si="3"/>
        <v>15.267597397297248</v>
      </c>
      <c r="O19" s="11"/>
      <c r="P19" s="2">
        <f>SUM(OSRRefP22_0x_0)</f>
        <v>-4778379.8899999997</v>
      </c>
      <c r="Q19" s="2"/>
      <c r="R19" s="5">
        <f t="shared" si="4"/>
        <v>0</v>
      </c>
      <c r="S19" s="2"/>
      <c r="T19" s="2">
        <f>SUM(OSRRefT22_0x_0)</f>
        <v>593368.66747930483</v>
      </c>
      <c r="U19" s="2"/>
      <c r="V19" s="5">
        <f t="shared" si="5"/>
        <v>0</v>
      </c>
      <c r="W19" s="2"/>
      <c r="X19" s="2">
        <f t="shared" si="6"/>
        <v>-5371748.5574793043</v>
      </c>
      <c r="Y19" s="2"/>
      <c r="Z19" s="5">
        <f t="shared" si="7"/>
        <v>-9.0529696829107635</v>
      </c>
    </row>
    <row r="20" spans="1:26" s="70" customFormat="1" ht="15" hidden="1" customHeight="1" outlineLevel="2" x14ac:dyDescent="0.3">
      <c r="A20" s="21"/>
      <c r="B20" s="9" t="str">
        <f>CONCATENATE("          ","6111"," - ","F.I.C.A.")</f>
        <v xml:space="preserve">          6111 - F.I.C.A.</v>
      </c>
      <c r="C20" s="9"/>
      <c r="D20" s="6">
        <v>7902.26</v>
      </c>
      <c r="E20" s="3"/>
      <c r="F20" s="7">
        <f t="shared" si="0"/>
        <v>0</v>
      </c>
      <c r="G20" s="3"/>
      <c r="H20" s="6">
        <v>7367.7497545476899</v>
      </c>
      <c r="I20" s="3"/>
      <c r="J20" s="7">
        <f t="shared" si="1"/>
        <v>0</v>
      </c>
      <c r="K20" s="3"/>
      <c r="L20" s="6">
        <f t="shared" si="2"/>
        <v>534.5102454523103</v>
      </c>
      <c r="M20" s="3"/>
      <c r="N20" s="7">
        <f t="shared" si="3"/>
        <v>7.2547285570114237E-2</v>
      </c>
      <c r="O20" s="9"/>
      <c r="P20" s="6">
        <v>101461.82</v>
      </c>
      <c r="Q20" s="3"/>
      <c r="R20" s="7">
        <f t="shared" si="4"/>
        <v>0</v>
      </c>
      <c r="S20" s="3"/>
      <c r="T20" s="6">
        <v>96522.283655427702</v>
      </c>
      <c r="U20" s="3"/>
      <c r="V20" s="7">
        <f t="shared" si="5"/>
        <v>0</v>
      </c>
      <c r="W20" s="3"/>
      <c r="X20" s="6">
        <f t="shared" si="6"/>
        <v>4939.5363445723051</v>
      </c>
      <c r="Y20" s="3"/>
      <c r="Z20" s="7">
        <f t="shared" si="7"/>
        <v>5.1175087839879778E-2</v>
      </c>
    </row>
    <row r="21" spans="1:26" s="70" customFormat="1" ht="15" hidden="1" customHeight="1" outlineLevel="2" x14ac:dyDescent="0.3">
      <c r="A21" s="21"/>
      <c r="B21" s="9" t="str">
        <f>CONCATENATE("          ","6112"," - ","COMPENSATION INSURANCE")</f>
        <v xml:space="preserve">          6112 - COMPENSATION INSURANCE</v>
      </c>
      <c r="C21" s="9"/>
      <c r="D21" s="6">
        <v>-5002.62</v>
      </c>
      <c r="E21" s="3"/>
      <c r="F21" s="7">
        <f t="shared" si="0"/>
        <v>0</v>
      </c>
      <c r="G21" s="3"/>
      <c r="H21" s="6">
        <v>606.60397095384599</v>
      </c>
      <c r="I21" s="3"/>
      <c r="J21" s="7">
        <f t="shared" si="1"/>
        <v>0</v>
      </c>
      <c r="K21" s="3"/>
      <c r="L21" s="6">
        <f t="shared" si="2"/>
        <v>-5609.2239709538462</v>
      </c>
      <c r="M21" s="3"/>
      <c r="N21" s="7">
        <f t="shared" si="3"/>
        <v>-9.246929198524203</v>
      </c>
      <c r="O21" s="9"/>
      <c r="P21" s="6">
        <v>13532.86</v>
      </c>
      <c r="Q21" s="3"/>
      <c r="R21" s="7">
        <f t="shared" si="4"/>
        <v>0</v>
      </c>
      <c r="S21" s="3"/>
      <c r="T21" s="6">
        <v>7956.7594485538502</v>
      </c>
      <c r="U21" s="3"/>
      <c r="V21" s="7">
        <f t="shared" si="5"/>
        <v>0</v>
      </c>
      <c r="W21" s="3"/>
      <c r="X21" s="6">
        <f t="shared" si="6"/>
        <v>5576.1005514461503</v>
      </c>
      <c r="Y21" s="3"/>
      <c r="Z21" s="7">
        <f t="shared" si="7"/>
        <v>0.70080044363533101</v>
      </c>
    </row>
    <row r="22" spans="1:26" s="70" customFormat="1" ht="15" hidden="1" customHeight="1" outlineLevel="2" x14ac:dyDescent="0.3">
      <c r="A22" s="21"/>
      <c r="B22" s="9" t="str">
        <f>CONCATENATE("          ","6113"," - ","GROUP INSURANCE")</f>
        <v xml:space="preserve">          6113 - GROUP INSURANCE</v>
      </c>
      <c r="C22" s="9"/>
      <c r="D22" s="6">
        <v>20065.64</v>
      </c>
      <c r="E22" s="3"/>
      <c r="F22" s="7">
        <f t="shared" si="0"/>
        <v>0</v>
      </c>
      <c r="G22" s="3"/>
      <c r="H22" s="6">
        <v>22944.538461538501</v>
      </c>
      <c r="I22" s="3"/>
      <c r="J22" s="7">
        <f t="shared" si="1"/>
        <v>0</v>
      </c>
      <c r="K22" s="3"/>
      <c r="L22" s="6">
        <f t="shared" si="2"/>
        <v>-2878.8984615385016</v>
      </c>
      <c r="M22" s="3"/>
      <c r="N22" s="7">
        <f t="shared" si="3"/>
        <v>-0.12547205803962216</v>
      </c>
      <c r="O22" s="9"/>
      <c r="P22" s="6">
        <v>255190.58</v>
      </c>
      <c r="Q22" s="3"/>
      <c r="R22" s="7">
        <f t="shared" si="4"/>
        <v>0</v>
      </c>
      <c r="S22" s="3"/>
      <c r="T22" s="6">
        <v>284248</v>
      </c>
      <c r="U22" s="3"/>
      <c r="V22" s="7">
        <f t="shared" si="5"/>
        <v>0</v>
      </c>
      <c r="W22" s="3"/>
      <c r="X22" s="6">
        <f t="shared" si="6"/>
        <v>-29057.420000000013</v>
      </c>
      <c r="Y22" s="3"/>
      <c r="Z22" s="7">
        <f t="shared" si="7"/>
        <v>-0.10222559173679327</v>
      </c>
    </row>
    <row r="23" spans="1:26" s="70" customFormat="1" ht="15" hidden="1" customHeight="1" outlineLevel="2" x14ac:dyDescent="0.3">
      <c r="A23" s="21"/>
      <c r="B23" s="9" t="str">
        <f>CONCATENATE("          ","6114"," - ","STATE UNEMPLOYMENT INSURANCE")</f>
        <v xml:space="preserve">          6114 - STATE UNEMPLOYMENT INSURANCE</v>
      </c>
      <c r="C23" s="9"/>
      <c r="D23" s="6"/>
      <c r="E23" s="3"/>
      <c r="F23" s="7">
        <f t="shared" si="0"/>
        <v>0</v>
      </c>
      <c r="G23" s="3"/>
      <c r="H23" s="6">
        <v>220.14867064615399</v>
      </c>
      <c r="I23" s="3"/>
      <c r="J23" s="7">
        <f t="shared" si="1"/>
        <v>0</v>
      </c>
      <c r="K23" s="3"/>
      <c r="L23" s="6">
        <f t="shared" si="2"/>
        <v>-220.14867064615399</v>
      </c>
      <c r="M23" s="3"/>
      <c r="N23" s="7">
        <f t="shared" si="3"/>
        <v>-1</v>
      </c>
      <c r="O23" s="9"/>
      <c r="P23" s="6">
        <v>3286.99</v>
      </c>
      <c r="Q23" s="3"/>
      <c r="R23" s="7">
        <f t="shared" si="4"/>
        <v>0</v>
      </c>
      <c r="S23" s="3"/>
      <c r="T23" s="6">
        <v>2909.9670522461502</v>
      </c>
      <c r="U23" s="3"/>
      <c r="V23" s="7">
        <f t="shared" si="5"/>
        <v>0</v>
      </c>
      <c r="W23" s="3"/>
      <c r="X23" s="6">
        <f t="shared" si="6"/>
        <v>377.02294775384962</v>
      </c>
      <c r="Y23" s="3"/>
      <c r="Z23" s="7">
        <f t="shared" si="7"/>
        <v>0.1295626173715034</v>
      </c>
    </row>
    <row r="24" spans="1:26" s="70" customFormat="1" ht="15" hidden="1" customHeight="1" outlineLevel="2" x14ac:dyDescent="0.3">
      <c r="A24" s="21"/>
      <c r="B24" s="9" t="str">
        <f>CONCATENATE("          ","6115"," - ","P.E.R.S.")</f>
        <v xml:space="preserve">          6115 - P.E.R.S.</v>
      </c>
      <c r="C24" s="9"/>
      <c r="D24" s="6">
        <v>-3105049.68</v>
      </c>
      <c r="E24" s="3"/>
      <c r="F24" s="7">
        <f t="shared" si="0"/>
        <v>0</v>
      </c>
      <c r="G24" s="3"/>
      <c r="H24" s="6">
        <v>5940.8879384615402</v>
      </c>
      <c r="I24" s="3"/>
      <c r="J24" s="7">
        <f t="shared" si="1"/>
        <v>0</v>
      </c>
      <c r="K24" s="3"/>
      <c r="L24" s="6">
        <f t="shared" si="2"/>
        <v>-3110990.5679384619</v>
      </c>
      <c r="M24" s="3"/>
      <c r="N24" s="7">
        <f t="shared" si="3"/>
        <v>-523.65750712074328</v>
      </c>
      <c r="O24" s="9"/>
      <c r="P24" s="6">
        <v>-3012490.45</v>
      </c>
      <c r="Q24" s="3"/>
      <c r="R24" s="7">
        <f t="shared" si="4"/>
        <v>0</v>
      </c>
      <c r="S24" s="3"/>
      <c r="T24" s="6">
        <v>79719.754738461605</v>
      </c>
      <c r="U24" s="3"/>
      <c r="V24" s="7">
        <f t="shared" si="5"/>
        <v>0</v>
      </c>
      <c r="W24" s="3"/>
      <c r="X24" s="6">
        <f t="shared" si="6"/>
        <v>-3092210.2047384619</v>
      </c>
      <c r="Y24" s="3"/>
      <c r="Z24" s="7">
        <f t="shared" si="7"/>
        <v>-38.788506247706678</v>
      </c>
    </row>
    <row r="25" spans="1:26" s="70" customFormat="1" ht="15" hidden="1" customHeight="1" outlineLevel="2" x14ac:dyDescent="0.3">
      <c r="A25" s="21"/>
      <c r="B25" s="9" t="str">
        <f>CONCATENATE("          ","6116"," - ","EDUCATIONAL BENEFITS")</f>
        <v xml:space="preserve">          6116 - EDUCATIONAL BENEFITS</v>
      </c>
      <c r="C25" s="9"/>
      <c r="D25" s="6"/>
      <c r="E25" s="3"/>
      <c r="F25" s="7">
        <f t="shared" si="0"/>
        <v>0</v>
      </c>
      <c r="G25" s="3"/>
      <c r="H25" s="6">
        <v>413</v>
      </c>
      <c r="I25" s="3"/>
      <c r="J25" s="7">
        <f t="shared" si="1"/>
        <v>0</v>
      </c>
      <c r="K25" s="3"/>
      <c r="L25" s="6">
        <f t="shared" si="2"/>
        <v>-413</v>
      </c>
      <c r="M25" s="3"/>
      <c r="N25" s="7">
        <f t="shared" si="3"/>
        <v>-1</v>
      </c>
      <c r="O25" s="9"/>
      <c r="P25" s="6">
        <v>4855</v>
      </c>
      <c r="Q25" s="3"/>
      <c r="R25" s="7">
        <f t="shared" si="4"/>
        <v>0</v>
      </c>
      <c r="S25" s="3"/>
      <c r="T25" s="6">
        <v>5000</v>
      </c>
      <c r="U25" s="3"/>
      <c r="V25" s="7">
        <f t="shared" si="5"/>
        <v>0</v>
      </c>
      <c r="W25" s="3"/>
      <c r="X25" s="6">
        <f t="shared" si="6"/>
        <v>-145</v>
      </c>
      <c r="Y25" s="3"/>
      <c r="Z25" s="7">
        <f t="shared" si="7"/>
        <v>-2.9000000000000001E-2</v>
      </c>
    </row>
    <row r="26" spans="1:26" s="70" customFormat="1" ht="15" hidden="1" customHeight="1" outlineLevel="2" x14ac:dyDescent="0.3">
      <c r="A26" s="21"/>
      <c r="B26" s="9" t="str">
        <f>CONCATENATE("          ","6117"," - ","RETIREMENT STAFF HOURLY")</f>
        <v xml:space="preserve">          6117 - RETIREMENT STAFF HOURLY</v>
      </c>
      <c r="C26" s="9"/>
      <c r="D26" s="6">
        <v>3837.38</v>
      </c>
      <c r="E26" s="3"/>
      <c r="F26" s="7">
        <f t="shared" si="0"/>
        <v>0</v>
      </c>
      <c r="G26" s="3"/>
      <c r="H26" s="6"/>
      <c r="I26" s="3"/>
      <c r="J26" s="7">
        <f t="shared" si="1"/>
        <v>0</v>
      </c>
      <c r="K26" s="3"/>
      <c r="L26" s="6">
        <f t="shared" si="2"/>
        <v>3837.38</v>
      </c>
      <c r="M26" s="3"/>
      <c r="N26" s="7">
        <f t="shared" si="3"/>
        <v>0</v>
      </c>
      <c r="O26" s="9"/>
      <c r="P26" s="6">
        <v>21429.43</v>
      </c>
      <c r="Q26" s="3"/>
      <c r="R26" s="7">
        <f t="shared" si="4"/>
        <v>0</v>
      </c>
      <c r="S26" s="3"/>
      <c r="T26" s="6"/>
      <c r="U26" s="3"/>
      <c r="V26" s="7">
        <f t="shared" si="5"/>
        <v>0</v>
      </c>
      <c r="W26" s="3"/>
      <c r="X26" s="6">
        <f t="shared" si="6"/>
        <v>21429.43</v>
      </c>
      <c r="Y26" s="3"/>
      <c r="Z26" s="7">
        <f t="shared" si="7"/>
        <v>0</v>
      </c>
    </row>
    <row r="27" spans="1:26" s="70" customFormat="1" ht="15" hidden="1" customHeight="1" outlineLevel="2" x14ac:dyDescent="0.3">
      <c r="A27" s="21"/>
      <c r="B27" s="9" t="str">
        <f>CONCATENATE("          ","6118"," - ","VACATION")</f>
        <v xml:space="preserve">          6118 - VACATION</v>
      </c>
      <c r="C27" s="9"/>
      <c r="D27" s="6">
        <v>7767.14</v>
      </c>
      <c r="E27" s="3"/>
      <c r="F27" s="7">
        <f t="shared" si="0"/>
        <v>0</v>
      </c>
      <c r="G27" s="3"/>
      <c r="H27" s="6">
        <v>4165.0268553846199</v>
      </c>
      <c r="I27" s="3"/>
      <c r="J27" s="7">
        <f t="shared" si="1"/>
        <v>0</v>
      </c>
      <c r="K27" s="3"/>
      <c r="L27" s="6">
        <f t="shared" si="2"/>
        <v>3602.1131446153804</v>
      </c>
      <c r="M27" s="3"/>
      <c r="N27" s="7">
        <f t="shared" si="3"/>
        <v>0.86484751952043359</v>
      </c>
      <c r="O27" s="9"/>
      <c r="P27" s="6">
        <v>100473.55</v>
      </c>
      <c r="Q27" s="3"/>
      <c r="R27" s="7">
        <f t="shared" si="4"/>
        <v>0</v>
      </c>
      <c r="S27" s="3"/>
      <c r="T27" s="6">
        <v>55591.983735384703</v>
      </c>
      <c r="U27" s="3"/>
      <c r="V27" s="7">
        <f t="shared" si="5"/>
        <v>0</v>
      </c>
      <c r="W27" s="3"/>
      <c r="X27" s="6">
        <f t="shared" si="6"/>
        <v>44881.5662646153</v>
      </c>
      <c r="Y27" s="3"/>
      <c r="Z27" s="7">
        <f t="shared" si="7"/>
        <v>0.80733881485952186</v>
      </c>
    </row>
    <row r="28" spans="1:26" s="70" customFormat="1" ht="15" hidden="1" customHeight="1" outlineLevel="2" x14ac:dyDescent="0.3">
      <c r="A28" s="21"/>
      <c r="B28" s="9" t="str">
        <f>CONCATENATE("          ","6119"," - ","SICK LEAVE")</f>
        <v xml:space="preserve">          6119 - SICK LEAVE</v>
      </c>
      <c r="C28" s="9"/>
      <c r="D28" s="6">
        <v>4603.3</v>
      </c>
      <c r="E28" s="3"/>
      <c r="F28" s="7">
        <f t="shared" si="0"/>
        <v>0</v>
      </c>
      <c r="G28" s="3"/>
      <c r="H28" s="6">
        <v>3610.2856984615501</v>
      </c>
      <c r="I28" s="3"/>
      <c r="J28" s="7">
        <f t="shared" si="1"/>
        <v>0</v>
      </c>
      <c r="K28" s="3"/>
      <c r="L28" s="6">
        <f t="shared" si="2"/>
        <v>993.01430153845013</v>
      </c>
      <c r="M28" s="3"/>
      <c r="N28" s="7">
        <f t="shared" si="3"/>
        <v>0.27505144591786823</v>
      </c>
      <c r="O28" s="9"/>
      <c r="P28" s="6">
        <v>85098.52</v>
      </c>
      <c r="Q28" s="3"/>
      <c r="R28" s="7">
        <f t="shared" si="4"/>
        <v>0</v>
      </c>
      <c r="S28" s="3"/>
      <c r="T28" s="6">
        <v>47619.918849230802</v>
      </c>
      <c r="U28" s="3"/>
      <c r="V28" s="7">
        <f t="shared" si="5"/>
        <v>0</v>
      </c>
      <c r="W28" s="3"/>
      <c r="X28" s="6">
        <f t="shared" si="6"/>
        <v>37478.601150769202</v>
      </c>
      <c r="Y28" s="3"/>
      <c r="Z28" s="7">
        <f t="shared" si="7"/>
        <v>0.78703622468215506</v>
      </c>
    </row>
    <row r="29" spans="1:26" s="70" customFormat="1" ht="15" hidden="1" customHeight="1" outlineLevel="2" x14ac:dyDescent="0.3">
      <c r="A29" s="21"/>
      <c r="B29" s="9" t="str">
        <f>CONCATENATE("          ","6120"," - ","RETIREES HEALTH INSURANCE")</f>
        <v xml:space="preserve">          6120 - RETIREES HEALTH INSURANCE</v>
      </c>
      <c r="C29" s="9"/>
      <c r="D29" s="6">
        <v>-2667836.2200000002</v>
      </c>
      <c r="E29" s="3"/>
      <c r="F29" s="7">
        <f t="shared" si="0"/>
        <v>0</v>
      </c>
      <c r="G29" s="3"/>
      <c r="H29" s="6">
        <v>-400000</v>
      </c>
      <c r="I29" s="3"/>
      <c r="J29" s="7">
        <f t="shared" si="1"/>
        <v>0</v>
      </c>
      <c r="K29" s="3"/>
      <c r="L29" s="6">
        <f t="shared" si="2"/>
        <v>-2267836.2200000002</v>
      </c>
      <c r="M29" s="3"/>
      <c r="N29" s="7">
        <f t="shared" si="3"/>
        <v>5.6695905500000006</v>
      </c>
      <c r="O29" s="9"/>
      <c r="P29" s="6">
        <v>-2371414.06</v>
      </c>
      <c r="Q29" s="3"/>
      <c r="R29" s="7">
        <f t="shared" si="4"/>
        <v>0</v>
      </c>
      <c r="S29" s="3"/>
      <c r="T29" s="6">
        <v>-15000</v>
      </c>
      <c r="U29" s="3"/>
      <c r="V29" s="7">
        <f t="shared" si="5"/>
        <v>0</v>
      </c>
      <c r="W29" s="3"/>
      <c r="X29" s="6">
        <f t="shared" si="6"/>
        <v>-2356414.06</v>
      </c>
      <c r="Y29" s="3"/>
      <c r="Z29" s="7">
        <f t="shared" si="7"/>
        <v>157.09427066666666</v>
      </c>
    </row>
    <row r="30" spans="1:26" s="70" customFormat="1" ht="15" hidden="1" customHeight="1" outlineLevel="2" x14ac:dyDescent="0.3">
      <c r="A30" s="21"/>
      <c r="B30" s="9" t="str">
        <f>CONCATENATE("          ","6156"," - ","EMPLOYEE MEALS")</f>
        <v xml:space="preserve">          6156 - EMPLOYEE MEALS</v>
      </c>
      <c r="C30" s="9"/>
      <c r="D30" s="6">
        <v>2121.6</v>
      </c>
      <c r="E30" s="3"/>
      <c r="F30" s="7">
        <f t="shared" si="0"/>
        <v>0</v>
      </c>
      <c r="G30" s="3"/>
      <c r="H30" s="6">
        <v>2400</v>
      </c>
      <c r="I30" s="3"/>
      <c r="J30" s="7">
        <f t="shared" si="1"/>
        <v>0</v>
      </c>
      <c r="K30" s="3"/>
      <c r="L30" s="6">
        <f t="shared" si="2"/>
        <v>-278.40000000000009</v>
      </c>
      <c r="M30" s="3"/>
      <c r="N30" s="7">
        <f t="shared" si="3"/>
        <v>-0.11600000000000003</v>
      </c>
      <c r="O30" s="9"/>
      <c r="P30" s="6">
        <v>20195.87</v>
      </c>
      <c r="Q30" s="3"/>
      <c r="R30" s="7">
        <f t="shared" si="4"/>
        <v>0</v>
      </c>
      <c r="S30" s="3"/>
      <c r="T30" s="6">
        <v>28800</v>
      </c>
      <c r="U30" s="3"/>
      <c r="V30" s="7">
        <f t="shared" si="5"/>
        <v>0</v>
      </c>
      <c r="W30" s="3"/>
      <c r="X30" s="6">
        <f t="shared" si="6"/>
        <v>-8604.130000000001</v>
      </c>
      <c r="Y30" s="3"/>
      <c r="Z30" s="7">
        <f t="shared" si="7"/>
        <v>-0.29875451388888891</v>
      </c>
    </row>
    <row r="31" spans="1:26" s="69" customFormat="1" ht="15" customHeight="1" outlineLevel="1" collapsed="1" x14ac:dyDescent="0.3">
      <c r="A31" s="20"/>
      <c r="B31" s="11" t="str">
        <f>CONCATENATE("     ","*Payroll                                          ")</f>
        <v xml:space="preserve">     *Payroll                                          </v>
      </c>
      <c r="C31" s="11"/>
      <c r="D31" s="2">
        <f>SUM(OSRRefD22_1x_0)</f>
        <v>90278.39</v>
      </c>
      <c r="E31" s="2"/>
      <c r="F31" s="5">
        <f t="shared" si="0"/>
        <v>0</v>
      </c>
      <c r="G31" s="2"/>
      <c r="H31" s="2">
        <f>SUM(OSRRefH22_1x_0)</f>
        <v>95939.651913846101</v>
      </c>
      <c r="I31" s="2"/>
      <c r="J31" s="5">
        <f t="shared" si="1"/>
        <v>0</v>
      </c>
      <c r="K31" s="2"/>
      <c r="L31" s="2">
        <f t="shared" si="2"/>
        <v>-5661.2619138461014</v>
      </c>
      <c r="M31" s="2"/>
      <c r="N31" s="5">
        <f t="shared" si="3"/>
        <v>-5.900857258612862E-2</v>
      </c>
      <c r="O31" s="11"/>
      <c r="P31" s="2">
        <f>SUM(OSRRefP22_1x_0)</f>
        <v>1234381.8199999998</v>
      </c>
      <c r="Q31" s="2"/>
      <c r="R31" s="5">
        <f t="shared" si="4"/>
        <v>0</v>
      </c>
      <c r="S31" s="2"/>
      <c r="T31" s="2">
        <f>SUM(OSRRefT22_1x_0)</f>
        <v>1267774.351803076</v>
      </c>
      <c r="U31" s="2"/>
      <c r="V31" s="5">
        <f t="shared" si="5"/>
        <v>0</v>
      </c>
      <c r="W31" s="2"/>
      <c r="X31" s="2">
        <f t="shared" si="6"/>
        <v>-33392.531803076155</v>
      </c>
      <c r="Y31" s="2"/>
      <c r="Z31" s="5">
        <f t="shared" si="7"/>
        <v>-2.6339491531425958E-2</v>
      </c>
    </row>
    <row r="32" spans="1:26" s="70" customFormat="1" ht="15" hidden="1" customHeight="1" outlineLevel="2" x14ac:dyDescent="0.3">
      <c r="A32" s="21"/>
      <c r="B32" s="9" t="str">
        <f>CONCATENATE("          ","6001"," - ","ADMINISTRATIVE SALARIES")</f>
        <v xml:space="preserve">          6001 - ADMINISTRATIVE SALARIES</v>
      </c>
      <c r="C32" s="9"/>
      <c r="D32" s="6">
        <v>22228.13</v>
      </c>
      <c r="E32" s="3"/>
      <c r="F32" s="7">
        <f t="shared" si="0"/>
        <v>0</v>
      </c>
      <c r="G32" s="3"/>
      <c r="H32" s="6">
        <v>27893.119999999999</v>
      </c>
      <c r="I32" s="3"/>
      <c r="J32" s="7">
        <f t="shared" si="1"/>
        <v>0</v>
      </c>
      <c r="K32" s="3"/>
      <c r="L32" s="6">
        <f t="shared" si="2"/>
        <v>-5664.989999999998</v>
      </c>
      <c r="M32" s="3"/>
      <c r="N32" s="7">
        <f t="shared" si="3"/>
        <v>-0.20309631909230658</v>
      </c>
      <c r="O32" s="9"/>
      <c r="P32" s="6">
        <v>333710.57</v>
      </c>
      <c r="Q32" s="3"/>
      <c r="R32" s="7">
        <f t="shared" si="4"/>
        <v>0</v>
      </c>
      <c r="S32" s="3"/>
      <c r="T32" s="6">
        <v>389228.63692307699</v>
      </c>
      <c r="U32" s="3"/>
      <c r="V32" s="7">
        <f t="shared" si="5"/>
        <v>0</v>
      </c>
      <c r="W32" s="3"/>
      <c r="X32" s="6">
        <f t="shared" si="6"/>
        <v>-55518.066923076985</v>
      </c>
      <c r="Y32" s="3"/>
      <c r="Z32" s="7">
        <f t="shared" si="7"/>
        <v>-0.14263613120030783</v>
      </c>
    </row>
    <row r="33" spans="1:26" s="70" customFormat="1" ht="15" hidden="1" customHeight="1" outlineLevel="2" x14ac:dyDescent="0.3">
      <c r="A33" s="21"/>
      <c r="B33" s="9" t="str">
        <f>CONCATENATE("          ","6002"," - ","STAFF SALARIES")</f>
        <v xml:space="preserve">          6002 - STAFF SALARIES</v>
      </c>
      <c r="C33" s="9"/>
      <c r="D33" s="6">
        <v>43788.15</v>
      </c>
      <c r="E33" s="3"/>
      <c r="F33" s="7">
        <f t="shared" si="0"/>
        <v>0</v>
      </c>
      <c r="G33" s="3"/>
      <c r="H33" s="6">
        <v>35167.686153846102</v>
      </c>
      <c r="I33" s="3"/>
      <c r="J33" s="7">
        <f t="shared" si="1"/>
        <v>0</v>
      </c>
      <c r="K33" s="3"/>
      <c r="L33" s="6">
        <f t="shared" si="2"/>
        <v>8620.4638461538998</v>
      </c>
      <c r="M33" s="3"/>
      <c r="N33" s="7">
        <f t="shared" si="3"/>
        <v>0.24512456715072015</v>
      </c>
      <c r="O33" s="9"/>
      <c r="P33" s="6">
        <v>598263.15</v>
      </c>
      <c r="Q33" s="3"/>
      <c r="R33" s="7">
        <f t="shared" si="4"/>
        <v>0</v>
      </c>
      <c r="S33" s="3"/>
      <c r="T33" s="6">
        <v>457179.91999999899</v>
      </c>
      <c r="U33" s="3"/>
      <c r="V33" s="7">
        <f t="shared" si="5"/>
        <v>0</v>
      </c>
      <c r="W33" s="3"/>
      <c r="X33" s="6">
        <f t="shared" si="6"/>
        <v>141083.23000000103</v>
      </c>
      <c r="Y33" s="3"/>
      <c r="Z33" s="7">
        <f t="shared" si="7"/>
        <v>0.30859454632215988</v>
      </c>
    </row>
    <row r="34" spans="1:26" s="70" customFormat="1" ht="15" hidden="1" customHeight="1" outlineLevel="2" x14ac:dyDescent="0.3">
      <c r="A34" s="21"/>
      <c r="B34" s="9" t="str">
        <f>CONCATENATE("          ","6003"," - ","STAFF HOURLY-9 MONTH")</f>
        <v xml:space="preserve">          6003 - STAFF HOURLY-9 MONTH</v>
      </c>
      <c r="C34" s="9"/>
      <c r="D34" s="6"/>
      <c r="E34" s="3"/>
      <c r="F34" s="7">
        <f t="shared" si="0"/>
        <v>0</v>
      </c>
      <c r="G34" s="3"/>
      <c r="H34" s="6">
        <v>0</v>
      </c>
      <c r="I34" s="3"/>
      <c r="J34" s="7">
        <f t="shared" si="1"/>
        <v>0</v>
      </c>
      <c r="K34" s="3"/>
      <c r="L34" s="6">
        <f t="shared" si="2"/>
        <v>0</v>
      </c>
      <c r="M34" s="3"/>
      <c r="N34" s="7">
        <f t="shared" si="3"/>
        <v>0</v>
      </c>
      <c r="O34" s="9"/>
      <c r="P34" s="6"/>
      <c r="Q34" s="3"/>
      <c r="R34" s="7">
        <f t="shared" si="4"/>
        <v>0</v>
      </c>
      <c r="S34" s="3"/>
      <c r="T34" s="6">
        <v>0</v>
      </c>
      <c r="U34" s="3"/>
      <c r="V34" s="7">
        <f t="shared" si="5"/>
        <v>0</v>
      </c>
      <c r="W34" s="3"/>
      <c r="X34" s="6">
        <f t="shared" si="6"/>
        <v>0</v>
      </c>
      <c r="Y34" s="3"/>
      <c r="Z34" s="7">
        <f t="shared" si="7"/>
        <v>0</v>
      </c>
    </row>
    <row r="35" spans="1:26" s="70" customFormat="1" ht="15" hidden="1" customHeight="1" outlineLevel="2" x14ac:dyDescent="0.3">
      <c r="A35" s="21"/>
      <c r="B35" s="9" t="str">
        <f>CONCATENATE("          ","6004"," - ","STAFF HOURLY")</f>
        <v xml:space="preserve">          6004 - STAFF HOURLY</v>
      </c>
      <c r="C35" s="9"/>
      <c r="D35" s="6">
        <v>17911.8</v>
      </c>
      <c r="E35" s="3"/>
      <c r="F35" s="7">
        <f t="shared" si="0"/>
        <v>0</v>
      </c>
      <c r="G35" s="3"/>
      <c r="H35" s="6">
        <v>24042.045760000001</v>
      </c>
      <c r="I35" s="3"/>
      <c r="J35" s="7">
        <f t="shared" si="1"/>
        <v>0</v>
      </c>
      <c r="K35" s="3"/>
      <c r="L35" s="6">
        <f t="shared" si="2"/>
        <v>-6130.2457600000016</v>
      </c>
      <c r="M35" s="3"/>
      <c r="N35" s="7">
        <f t="shared" si="3"/>
        <v>-0.25498020514540448</v>
      </c>
      <c r="O35" s="9"/>
      <c r="P35" s="6">
        <v>246214.3</v>
      </c>
      <c r="Q35" s="3"/>
      <c r="R35" s="7">
        <f t="shared" si="4"/>
        <v>0</v>
      </c>
      <c r="S35" s="3"/>
      <c r="T35" s="6">
        <v>312546.59487999999</v>
      </c>
      <c r="U35" s="3"/>
      <c r="V35" s="7">
        <f t="shared" si="5"/>
        <v>0</v>
      </c>
      <c r="W35" s="3"/>
      <c r="X35" s="6">
        <f t="shared" si="6"/>
        <v>-66332.294880000001</v>
      </c>
      <c r="Y35" s="3"/>
      <c r="Z35" s="7">
        <f t="shared" si="7"/>
        <v>-0.21223169910223405</v>
      </c>
    </row>
    <row r="36" spans="1:26" s="70" customFormat="1" ht="15" hidden="1" customHeight="1" outlineLevel="2" x14ac:dyDescent="0.3">
      <c r="A36" s="21"/>
      <c r="B36" s="9" t="str">
        <f>CONCATENATE("          ","6005"," - ","TEMPORARY WAGES-HOURLY")</f>
        <v xml:space="preserve">          6005 - TEMPORARY WAGES-HOURLY</v>
      </c>
      <c r="C36" s="9"/>
      <c r="D36" s="6">
        <v>6350.31</v>
      </c>
      <c r="E36" s="3"/>
      <c r="F36" s="7">
        <f t="shared" si="0"/>
        <v>0</v>
      </c>
      <c r="G36" s="3"/>
      <c r="H36" s="6">
        <v>3880</v>
      </c>
      <c r="I36" s="3"/>
      <c r="J36" s="7">
        <f t="shared" si="1"/>
        <v>0</v>
      </c>
      <c r="K36" s="3"/>
      <c r="L36" s="6">
        <f t="shared" si="2"/>
        <v>2470.3100000000004</v>
      </c>
      <c r="M36" s="3"/>
      <c r="N36" s="7">
        <f t="shared" si="3"/>
        <v>0.63667783505154651</v>
      </c>
      <c r="O36" s="9"/>
      <c r="P36" s="6">
        <v>40206.42</v>
      </c>
      <c r="Q36" s="3"/>
      <c r="R36" s="7">
        <f t="shared" si="4"/>
        <v>0</v>
      </c>
      <c r="S36" s="3"/>
      <c r="T36" s="6">
        <v>50440</v>
      </c>
      <c r="U36" s="3"/>
      <c r="V36" s="7">
        <f t="shared" si="5"/>
        <v>0</v>
      </c>
      <c r="W36" s="3"/>
      <c r="X36" s="6">
        <f t="shared" si="6"/>
        <v>-10233.580000000002</v>
      </c>
      <c r="Y36" s="3"/>
      <c r="Z36" s="7">
        <f t="shared" si="7"/>
        <v>-0.20288620142743857</v>
      </c>
    </row>
    <row r="37" spans="1:26" s="70" customFormat="1" ht="15" hidden="1" customHeight="1" outlineLevel="2" x14ac:dyDescent="0.3">
      <c r="A37" s="21"/>
      <c r="B37" s="9" t="str">
        <f>CONCATENATE("          ","6006"," - ","TEMPORARY PART TIME")</f>
        <v xml:space="preserve">          6006 - TEMPORARY PART TIME</v>
      </c>
      <c r="C37" s="9"/>
      <c r="D37" s="6"/>
      <c r="E37" s="3"/>
      <c r="F37" s="7">
        <f t="shared" si="0"/>
        <v>0</v>
      </c>
      <c r="G37" s="3"/>
      <c r="H37" s="6">
        <v>0</v>
      </c>
      <c r="I37" s="3"/>
      <c r="J37" s="7">
        <f t="shared" si="1"/>
        <v>0</v>
      </c>
      <c r="K37" s="3"/>
      <c r="L37" s="6">
        <f t="shared" si="2"/>
        <v>0</v>
      </c>
      <c r="M37" s="3"/>
      <c r="N37" s="7">
        <f t="shared" si="3"/>
        <v>0</v>
      </c>
      <c r="O37" s="9"/>
      <c r="P37" s="6"/>
      <c r="Q37" s="3"/>
      <c r="R37" s="7">
        <f t="shared" si="4"/>
        <v>0</v>
      </c>
      <c r="S37" s="3"/>
      <c r="T37" s="6">
        <v>0</v>
      </c>
      <c r="U37" s="3"/>
      <c r="V37" s="7">
        <f t="shared" si="5"/>
        <v>0</v>
      </c>
      <c r="W37" s="3"/>
      <c r="X37" s="6">
        <f t="shared" si="6"/>
        <v>0</v>
      </c>
      <c r="Y37" s="3"/>
      <c r="Z37" s="7">
        <f t="shared" si="7"/>
        <v>0</v>
      </c>
    </row>
    <row r="38" spans="1:26" s="70" customFormat="1" ht="15" hidden="1" customHeight="1" outlineLevel="2" x14ac:dyDescent="0.3">
      <c r="A38" s="21"/>
      <c r="B38" s="9" t="str">
        <f>CONCATENATE("          ","6007"," - ","STUDENT HOURLY")</f>
        <v xml:space="preserve">          6007 - STUDENT HOURLY</v>
      </c>
      <c r="C38" s="9"/>
      <c r="D38" s="6"/>
      <c r="E38" s="3"/>
      <c r="F38" s="7">
        <f t="shared" si="0"/>
        <v>0</v>
      </c>
      <c r="G38" s="3"/>
      <c r="H38" s="6">
        <v>2396.8000000000002</v>
      </c>
      <c r="I38" s="3"/>
      <c r="J38" s="7">
        <f t="shared" si="1"/>
        <v>0</v>
      </c>
      <c r="K38" s="3"/>
      <c r="L38" s="6">
        <f t="shared" si="2"/>
        <v>-2396.8000000000002</v>
      </c>
      <c r="M38" s="3"/>
      <c r="N38" s="7">
        <f t="shared" si="3"/>
        <v>-1</v>
      </c>
      <c r="O38" s="9"/>
      <c r="P38" s="6">
        <v>4512.18</v>
      </c>
      <c r="Q38" s="3"/>
      <c r="R38" s="7">
        <f t="shared" si="4"/>
        <v>0</v>
      </c>
      <c r="S38" s="3"/>
      <c r="T38" s="6">
        <v>11915.2</v>
      </c>
      <c r="U38" s="3"/>
      <c r="V38" s="7">
        <f t="shared" si="5"/>
        <v>0</v>
      </c>
      <c r="W38" s="3"/>
      <c r="X38" s="6">
        <f t="shared" si="6"/>
        <v>-7403.02</v>
      </c>
      <c r="Y38" s="3"/>
      <c r="Z38" s="7">
        <f t="shared" si="7"/>
        <v>-0.62130891634215124</v>
      </c>
    </row>
    <row r="39" spans="1:26" s="70" customFormat="1" ht="15" hidden="1" customHeight="1" outlineLevel="2" x14ac:dyDescent="0.3">
      <c r="A39" s="21"/>
      <c r="B39" s="9" t="str">
        <f>CONCATENATE("          ","6008"," - ","STUDENT HOURLY-FICA EXEMPT")</f>
        <v xml:space="preserve">          6008 - STUDENT HOURLY-FICA EXEMPT</v>
      </c>
      <c r="C39" s="9"/>
      <c r="D39" s="6"/>
      <c r="E39" s="3"/>
      <c r="F39" s="7">
        <f t="shared" si="0"/>
        <v>0</v>
      </c>
      <c r="G39" s="3"/>
      <c r="H39" s="6">
        <v>2560</v>
      </c>
      <c r="I39" s="3"/>
      <c r="J39" s="7">
        <f t="shared" si="1"/>
        <v>0</v>
      </c>
      <c r="K39" s="3"/>
      <c r="L39" s="6">
        <f t="shared" si="2"/>
        <v>-2560</v>
      </c>
      <c r="M39" s="3"/>
      <c r="N39" s="7">
        <f t="shared" si="3"/>
        <v>-1</v>
      </c>
      <c r="O39" s="9"/>
      <c r="P39" s="6">
        <v>11475.2</v>
      </c>
      <c r="Q39" s="3"/>
      <c r="R39" s="7">
        <f t="shared" si="4"/>
        <v>0</v>
      </c>
      <c r="S39" s="3"/>
      <c r="T39" s="6">
        <v>46464</v>
      </c>
      <c r="U39" s="3"/>
      <c r="V39" s="7">
        <f t="shared" si="5"/>
        <v>0</v>
      </c>
      <c r="W39" s="3"/>
      <c r="X39" s="6">
        <f t="shared" si="6"/>
        <v>-34988.800000000003</v>
      </c>
      <c r="Y39" s="3"/>
      <c r="Z39" s="7">
        <f t="shared" si="7"/>
        <v>-0.75303030303030305</v>
      </c>
    </row>
    <row r="40" spans="1:26" s="70" customFormat="1" ht="15" hidden="1" customHeight="1" outlineLevel="2" x14ac:dyDescent="0.3">
      <c r="A40" s="21"/>
      <c r="B40" s="9" t="str">
        <f>CONCATENATE("          ","6009"," - ","TEMPORARY-SEASONAL")</f>
        <v xml:space="preserve">          6009 - TEMPORARY-SEASONAL</v>
      </c>
      <c r="C40" s="9"/>
      <c r="D40" s="6"/>
      <c r="E40" s="3"/>
      <c r="F40" s="7">
        <f t="shared" si="0"/>
        <v>0</v>
      </c>
      <c r="G40" s="3"/>
      <c r="H40" s="6">
        <v>0</v>
      </c>
      <c r="I40" s="3"/>
      <c r="J40" s="7">
        <f t="shared" si="1"/>
        <v>0</v>
      </c>
      <c r="K40" s="3"/>
      <c r="L40" s="6">
        <f t="shared" si="2"/>
        <v>0</v>
      </c>
      <c r="M40" s="3"/>
      <c r="N40" s="7">
        <f t="shared" si="3"/>
        <v>0</v>
      </c>
      <c r="O40" s="9"/>
      <c r="P40" s="6"/>
      <c r="Q40" s="3"/>
      <c r="R40" s="7">
        <f t="shared" si="4"/>
        <v>0</v>
      </c>
      <c r="S40" s="3"/>
      <c r="T40" s="6">
        <v>0</v>
      </c>
      <c r="U40" s="3"/>
      <c r="V40" s="7">
        <f t="shared" si="5"/>
        <v>0</v>
      </c>
      <c r="W40" s="3"/>
      <c r="X40" s="6">
        <f t="shared" si="6"/>
        <v>0</v>
      </c>
      <c r="Y40" s="3"/>
      <c r="Z40" s="7">
        <f t="shared" si="7"/>
        <v>0</v>
      </c>
    </row>
    <row r="41" spans="1:26" s="70" customFormat="1" ht="15" hidden="1" customHeight="1" outlineLevel="2" x14ac:dyDescent="0.3">
      <c r="A41" s="21"/>
      <c r="B41" s="9" t="str">
        <f>CONCATENATE("          ","6010"," - ","GRATUITY")</f>
        <v xml:space="preserve">          6010 - GRATUITY</v>
      </c>
      <c r="C41" s="9"/>
      <c r="D41" s="6"/>
      <c r="E41" s="3"/>
      <c r="F41" s="7">
        <f t="shared" si="0"/>
        <v>0</v>
      </c>
      <c r="G41" s="3"/>
      <c r="H41" s="6">
        <v>0</v>
      </c>
      <c r="I41" s="3"/>
      <c r="J41" s="7">
        <f t="shared" si="1"/>
        <v>0</v>
      </c>
      <c r="K41" s="3"/>
      <c r="L41" s="6">
        <f t="shared" si="2"/>
        <v>0</v>
      </c>
      <c r="M41" s="3"/>
      <c r="N41" s="7">
        <f t="shared" si="3"/>
        <v>0</v>
      </c>
      <c r="O41" s="9"/>
      <c r="P41" s="6"/>
      <c r="Q41" s="3"/>
      <c r="R41" s="7">
        <f t="shared" si="4"/>
        <v>0</v>
      </c>
      <c r="S41" s="3"/>
      <c r="T41" s="6">
        <v>0</v>
      </c>
      <c r="U41" s="3"/>
      <c r="V41" s="7">
        <f t="shared" si="5"/>
        <v>0</v>
      </c>
      <c r="W41" s="3"/>
      <c r="X41" s="6">
        <f t="shared" si="6"/>
        <v>0</v>
      </c>
      <c r="Y41" s="3"/>
      <c r="Z41" s="7">
        <f t="shared" si="7"/>
        <v>0</v>
      </c>
    </row>
    <row r="42" spans="1:26" s="69" customFormat="1" ht="15" customHeight="1" outlineLevel="1" collapsed="1" x14ac:dyDescent="0.3">
      <c r="A42" s="20"/>
      <c r="B42" s="11" t="str">
        <f>CONCATENATE("     ","Advertising/Promo                                 ")</f>
        <v xml:space="preserve">     Advertising/Promo                                 </v>
      </c>
      <c r="C42" s="11"/>
      <c r="D42" s="2">
        <f>SUM(OSRRefD22_2x_0)</f>
        <v>267.52999999999997</v>
      </c>
      <c r="E42" s="2"/>
      <c r="F42" s="5">
        <f t="shared" si="0"/>
        <v>0</v>
      </c>
      <c r="G42" s="2"/>
      <c r="H42" s="2">
        <f>SUM(OSRRefH22_2x_0)</f>
        <v>813</v>
      </c>
      <c r="I42" s="2"/>
      <c r="J42" s="5">
        <f t="shared" si="1"/>
        <v>0</v>
      </c>
      <c r="K42" s="2"/>
      <c r="L42" s="2">
        <f t="shared" si="2"/>
        <v>-545.47</v>
      </c>
      <c r="M42" s="2"/>
      <c r="N42" s="5">
        <f t="shared" si="3"/>
        <v>-0.67093480934809346</v>
      </c>
      <c r="O42" s="11"/>
      <c r="P42" s="2">
        <f>SUM(OSRRefP22_2x_0)</f>
        <v>4849.1499999999996</v>
      </c>
      <c r="Q42" s="2"/>
      <c r="R42" s="5">
        <f t="shared" si="4"/>
        <v>0</v>
      </c>
      <c r="S42" s="2"/>
      <c r="T42" s="2">
        <f>SUM(OSRRefT22_2x_0)</f>
        <v>9400</v>
      </c>
      <c r="U42" s="2"/>
      <c r="V42" s="5">
        <f t="shared" si="5"/>
        <v>0</v>
      </c>
      <c r="W42" s="2"/>
      <c r="X42" s="2">
        <f t="shared" si="6"/>
        <v>-4550.8500000000004</v>
      </c>
      <c r="Y42" s="2"/>
      <c r="Z42" s="5">
        <f t="shared" si="7"/>
        <v>-0.48413297872340427</v>
      </c>
    </row>
    <row r="43" spans="1:26" s="70" customFormat="1" ht="15" hidden="1" customHeight="1" outlineLevel="2" x14ac:dyDescent="0.3">
      <c r="A43" s="21"/>
      <c r="B43" s="9" t="str">
        <f>CONCATENATE("          ","6362"," - ","ADVERTISING EXPENSE")</f>
        <v xml:space="preserve">          6362 - ADVERTISING EXPENSE</v>
      </c>
      <c r="C43" s="9"/>
      <c r="D43" s="6">
        <v>267.52999999999997</v>
      </c>
      <c r="E43" s="3"/>
      <c r="F43" s="7">
        <f t="shared" si="0"/>
        <v>0</v>
      </c>
      <c r="G43" s="3"/>
      <c r="H43" s="6">
        <v>813</v>
      </c>
      <c r="I43" s="3"/>
      <c r="J43" s="7">
        <f t="shared" si="1"/>
        <v>0</v>
      </c>
      <c r="K43" s="3"/>
      <c r="L43" s="6">
        <f t="shared" si="2"/>
        <v>-545.47</v>
      </c>
      <c r="M43" s="3"/>
      <c r="N43" s="7">
        <f t="shared" si="3"/>
        <v>-0.67093480934809346</v>
      </c>
      <c r="O43" s="9"/>
      <c r="P43" s="6">
        <v>4849.1499999999996</v>
      </c>
      <c r="Q43" s="3"/>
      <c r="R43" s="7">
        <f t="shared" si="4"/>
        <v>0</v>
      </c>
      <c r="S43" s="3"/>
      <c r="T43" s="6">
        <v>9400</v>
      </c>
      <c r="U43" s="3"/>
      <c r="V43" s="7">
        <f t="shared" si="5"/>
        <v>0</v>
      </c>
      <c r="W43" s="3"/>
      <c r="X43" s="6">
        <f t="shared" si="6"/>
        <v>-4550.8500000000004</v>
      </c>
      <c r="Y43" s="3"/>
      <c r="Z43" s="7">
        <f t="shared" si="7"/>
        <v>-0.48413297872340427</v>
      </c>
    </row>
    <row r="44" spans="1:26" s="69" customFormat="1" ht="15" customHeight="1" outlineLevel="1" collapsed="1" x14ac:dyDescent="0.3">
      <c r="A44" s="20"/>
      <c r="B44" s="11" t="str">
        <f>CONCATENATE("     ","Bank/card Fees                                    ")</f>
        <v xml:space="preserve">     Bank/card Fees                                    </v>
      </c>
      <c r="C44" s="11"/>
      <c r="D44" s="2">
        <f>SUM(OSRRefD22_3x_0)</f>
        <v>382.6</v>
      </c>
      <c r="E44" s="2"/>
      <c r="F44" s="5">
        <f t="shared" si="0"/>
        <v>0</v>
      </c>
      <c r="G44" s="2"/>
      <c r="H44" s="2">
        <f>SUM(OSRRefH22_3x_0)</f>
        <v>2000</v>
      </c>
      <c r="I44" s="2"/>
      <c r="J44" s="5">
        <f t="shared" si="1"/>
        <v>0</v>
      </c>
      <c r="K44" s="2"/>
      <c r="L44" s="2">
        <f t="shared" si="2"/>
        <v>-1617.4</v>
      </c>
      <c r="M44" s="2"/>
      <c r="N44" s="5">
        <f t="shared" si="3"/>
        <v>-0.80870000000000009</v>
      </c>
      <c r="O44" s="11"/>
      <c r="P44" s="2">
        <f>SUM(OSRRefP22_3x_0)</f>
        <v>13559.82</v>
      </c>
      <c r="Q44" s="2"/>
      <c r="R44" s="5">
        <f t="shared" si="4"/>
        <v>0</v>
      </c>
      <c r="S44" s="2"/>
      <c r="T44" s="2">
        <f>SUM(OSRRefT22_3x_0)</f>
        <v>44000</v>
      </c>
      <c r="U44" s="2"/>
      <c r="V44" s="5">
        <f t="shared" si="5"/>
        <v>0</v>
      </c>
      <c r="W44" s="2"/>
      <c r="X44" s="2">
        <f t="shared" si="6"/>
        <v>-30440.18</v>
      </c>
      <c r="Y44" s="2"/>
      <c r="Z44" s="5">
        <f t="shared" si="7"/>
        <v>-0.6918222727272727</v>
      </c>
    </row>
    <row r="45" spans="1:26" s="70" customFormat="1" ht="15" hidden="1" customHeight="1" outlineLevel="2" x14ac:dyDescent="0.3">
      <c r="A45" s="21"/>
      <c r="B45" s="9" t="str">
        <f>CONCATENATE("          ","6381"," - ","BANK/CREDIT CARD FEES")</f>
        <v xml:space="preserve">          6381 - BANK/CREDIT CARD FEES</v>
      </c>
      <c r="C45" s="9"/>
      <c r="D45" s="6">
        <v>382.6</v>
      </c>
      <c r="E45" s="3"/>
      <c r="F45" s="7">
        <f t="shared" si="0"/>
        <v>0</v>
      </c>
      <c r="G45" s="3"/>
      <c r="H45" s="6">
        <v>2000</v>
      </c>
      <c r="I45" s="3"/>
      <c r="J45" s="7">
        <f t="shared" si="1"/>
        <v>0</v>
      </c>
      <c r="K45" s="3"/>
      <c r="L45" s="6">
        <f t="shared" si="2"/>
        <v>-1617.4</v>
      </c>
      <c r="M45" s="3"/>
      <c r="N45" s="7">
        <f t="shared" si="3"/>
        <v>-0.80870000000000009</v>
      </c>
      <c r="O45" s="9"/>
      <c r="P45" s="6">
        <v>13559.82</v>
      </c>
      <c r="Q45" s="3"/>
      <c r="R45" s="7">
        <f t="shared" si="4"/>
        <v>0</v>
      </c>
      <c r="S45" s="3"/>
      <c r="T45" s="6">
        <v>44000</v>
      </c>
      <c r="U45" s="3"/>
      <c r="V45" s="7">
        <f t="shared" si="5"/>
        <v>0</v>
      </c>
      <c r="W45" s="3"/>
      <c r="X45" s="6">
        <f t="shared" si="6"/>
        <v>-30440.18</v>
      </c>
      <c r="Y45" s="3"/>
      <c r="Z45" s="7">
        <f t="shared" si="7"/>
        <v>-0.6918222727272727</v>
      </c>
    </row>
    <row r="46" spans="1:26" s="69" customFormat="1" ht="15" customHeight="1" outlineLevel="1" collapsed="1" x14ac:dyDescent="0.3">
      <c r="A46" s="20"/>
      <c r="B46" s="11" t="str">
        <f>CONCATENATE("     ","Board                                             ")</f>
        <v xml:space="preserve">     Board                                             </v>
      </c>
      <c r="C46" s="11"/>
      <c r="D46" s="2">
        <f>SUM(OSRRefD22_4x_0)</f>
        <v>10196.77</v>
      </c>
      <c r="E46" s="2"/>
      <c r="F46" s="5">
        <f t="shared" si="0"/>
        <v>0</v>
      </c>
      <c r="G46" s="2"/>
      <c r="H46" s="2">
        <f>SUM(OSRRefH22_4x_0)</f>
        <v>2508</v>
      </c>
      <c r="I46" s="2"/>
      <c r="J46" s="5">
        <f t="shared" si="1"/>
        <v>0</v>
      </c>
      <c r="K46" s="2"/>
      <c r="L46" s="2">
        <f t="shared" si="2"/>
        <v>7688.77</v>
      </c>
      <c r="M46" s="2"/>
      <c r="N46" s="5">
        <f t="shared" si="3"/>
        <v>3.0656977671451355</v>
      </c>
      <c r="O46" s="11"/>
      <c r="P46" s="2">
        <f>SUM(OSRRefP22_4x_0)</f>
        <v>36852.18</v>
      </c>
      <c r="Q46" s="2"/>
      <c r="R46" s="5">
        <f t="shared" si="4"/>
        <v>0</v>
      </c>
      <c r="S46" s="2"/>
      <c r="T46" s="2">
        <f>SUM(OSRRefT22_4x_0)</f>
        <v>21096</v>
      </c>
      <c r="U46" s="2"/>
      <c r="V46" s="5">
        <f t="shared" si="5"/>
        <v>0</v>
      </c>
      <c r="W46" s="2"/>
      <c r="X46" s="2">
        <f t="shared" si="6"/>
        <v>15756.18</v>
      </c>
      <c r="Y46" s="2"/>
      <c r="Z46" s="5">
        <f t="shared" si="7"/>
        <v>0.7468799772468715</v>
      </c>
    </row>
    <row r="47" spans="1:26" s="70" customFormat="1" ht="15" hidden="1" customHeight="1" outlineLevel="2" x14ac:dyDescent="0.3">
      <c r="A47" s="21"/>
      <c r="B47" s="9" t="str">
        <f>CONCATENATE("          ","6397"," - ","BOARD EXPENSES")</f>
        <v xml:space="preserve">          6397 - BOARD EXPENSES</v>
      </c>
      <c r="C47" s="9"/>
      <c r="D47" s="6">
        <v>10196.77</v>
      </c>
      <c r="E47" s="3"/>
      <c r="F47" s="7">
        <f t="shared" si="0"/>
        <v>0</v>
      </c>
      <c r="G47" s="3"/>
      <c r="H47" s="6">
        <v>2508</v>
      </c>
      <c r="I47" s="3"/>
      <c r="J47" s="7">
        <f t="shared" si="1"/>
        <v>0</v>
      </c>
      <c r="K47" s="3"/>
      <c r="L47" s="6">
        <f t="shared" si="2"/>
        <v>7688.77</v>
      </c>
      <c r="M47" s="3"/>
      <c r="N47" s="7">
        <f t="shared" si="3"/>
        <v>3.0656977671451355</v>
      </c>
      <c r="O47" s="9"/>
      <c r="P47" s="6">
        <v>36852.18</v>
      </c>
      <c r="Q47" s="3"/>
      <c r="R47" s="7">
        <f t="shared" si="4"/>
        <v>0</v>
      </c>
      <c r="S47" s="3"/>
      <c r="T47" s="6">
        <v>21096</v>
      </c>
      <c r="U47" s="3"/>
      <c r="V47" s="7">
        <f t="shared" si="5"/>
        <v>0</v>
      </c>
      <c r="W47" s="3"/>
      <c r="X47" s="6">
        <f t="shared" si="6"/>
        <v>15756.18</v>
      </c>
      <c r="Y47" s="3"/>
      <c r="Z47" s="7">
        <f t="shared" si="7"/>
        <v>0.7468799772468715</v>
      </c>
    </row>
    <row r="48" spans="1:26" s="69" customFormat="1" ht="15" customHeight="1" outlineLevel="1" collapsed="1" x14ac:dyDescent="0.3">
      <c r="A48" s="20"/>
      <c r="B48" s="11" t="str">
        <f>CONCATENATE("     ","Depreciation                                      ")</f>
        <v xml:space="preserve">     Depreciation                                      </v>
      </c>
      <c r="C48" s="11"/>
      <c r="D48" s="2">
        <f>SUM(OSRRefD22_5x_0)</f>
        <v>2002.06</v>
      </c>
      <c r="E48" s="2"/>
      <c r="F48" s="5">
        <f t="shared" si="0"/>
        <v>0</v>
      </c>
      <c r="G48" s="2"/>
      <c r="H48" s="2">
        <f>SUM(OSRRefH22_5x_0)</f>
        <v>1960</v>
      </c>
      <c r="I48" s="2"/>
      <c r="J48" s="5">
        <f t="shared" si="1"/>
        <v>0</v>
      </c>
      <c r="K48" s="2"/>
      <c r="L48" s="2">
        <f t="shared" si="2"/>
        <v>42.059999999999945</v>
      </c>
      <c r="M48" s="2"/>
      <c r="N48" s="5">
        <f t="shared" si="3"/>
        <v>2.145918367346936E-2</v>
      </c>
      <c r="O48" s="11"/>
      <c r="P48" s="2">
        <f>SUM(OSRRefP22_5x_0)</f>
        <v>50358.86</v>
      </c>
      <c r="Q48" s="2"/>
      <c r="R48" s="5">
        <f t="shared" si="4"/>
        <v>0</v>
      </c>
      <c r="S48" s="2"/>
      <c r="T48" s="2">
        <f>SUM(OSRRefT22_5x_0)</f>
        <v>49857</v>
      </c>
      <c r="U48" s="2"/>
      <c r="V48" s="5">
        <f t="shared" si="5"/>
        <v>0</v>
      </c>
      <c r="W48" s="2"/>
      <c r="X48" s="2">
        <f t="shared" si="6"/>
        <v>501.86000000000058</v>
      </c>
      <c r="Y48" s="2"/>
      <c r="Z48" s="5">
        <f t="shared" si="7"/>
        <v>1.006598872776141E-2</v>
      </c>
    </row>
    <row r="49" spans="1:26" s="70" customFormat="1" ht="15" hidden="1" customHeight="1" outlineLevel="2" x14ac:dyDescent="0.3">
      <c r="A49" s="21"/>
      <c r="B49" s="9" t="str">
        <f>CONCATENATE("          ","6322"," - ","EQUIPMENT DEPRECIATION EXPENSE")</f>
        <v xml:space="preserve">          6322 - EQUIPMENT DEPRECIATION EXPENSE</v>
      </c>
      <c r="C49" s="9"/>
      <c r="D49" s="6">
        <v>2002.06</v>
      </c>
      <c r="E49" s="3"/>
      <c r="F49" s="7">
        <f t="shared" si="0"/>
        <v>0</v>
      </c>
      <c r="G49" s="3"/>
      <c r="H49" s="6">
        <v>1460</v>
      </c>
      <c r="I49" s="3"/>
      <c r="J49" s="7">
        <f t="shared" si="1"/>
        <v>0</v>
      </c>
      <c r="K49" s="3"/>
      <c r="L49" s="6">
        <f t="shared" si="2"/>
        <v>542.05999999999995</v>
      </c>
      <c r="M49" s="3"/>
      <c r="N49" s="7">
        <f t="shared" si="3"/>
        <v>0.3712739726027397</v>
      </c>
      <c r="O49" s="9"/>
      <c r="P49" s="6">
        <v>50358.86</v>
      </c>
      <c r="Q49" s="3"/>
      <c r="R49" s="7">
        <f t="shared" si="4"/>
        <v>0</v>
      </c>
      <c r="S49" s="3"/>
      <c r="T49" s="6">
        <v>43857</v>
      </c>
      <c r="U49" s="3"/>
      <c r="V49" s="7">
        <f t="shared" si="5"/>
        <v>0</v>
      </c>
      <c r="W49" s="3"/>
      <c r="X49" s="6">
        <f t="shared" si="6"/>
        <v>6501.8600000000006</v>
      </c>
      <c r="Y49" s="3"/>
      <c r="Z49" s="7">
        <f t="shared" si="7"/>
        <v>0.14825136238228789</v>
      </c>
    </row>
    <row r="50" spans="1:26" s="70" customFormat="1" ht="15" hidden="1" customHeight="1" outlineLevel="2" x14ac:dyDescent="0.3">
      <c r="A50" s="21"/>
      <c r="B50" s="9" t="str">
        <f>CONCATENATE("          ","6324"," - ","FURNITURE + FIXT DEPRECIATION")</f>
        <v xml:space="preserve">          6324 - FURNITURE + FIXT DEPRECIATION</v>
      </c>
      <c r="C50" s="9"/>
      <c r="D50" s="6"/>
      <c r="E50" s="3"/>
      <c r="F50" s="7">
        <f t="shared" ref="F50:F81" si="8">IF(D$12=0,0,D50/D$12)</f>
        <v>0</v>
      </c>
      <c r="G50" s="3"/>
      <c r="H50" s="6">
        <v>500</v>
      </c>
      <c r="I50" s="3"/>
      <c r="J50" s="7">
        <f t="shared" ref="J50:J81" si="9">IF(H$12=0,0,H50/H$12)</f>
        <v>0</v>
      </c>
      <c r="K50" s="3"/>
      <c r="L50" s="6">
        <f t="shared" ref="L50:L81" si="10">+D50-H50</f>
        <v>-500</v>
      </c>
      <c r="M50" s="3"/>
      <c r="N50" s="7">
        <f t="shared" ref="N50:N81" si="11">IF(H50=0,0,L50/H50)</f>
        <v>-1</v>
      </c>
      <c r="O50" s="9"/>
      <c r="P50" s="6"/>
      <c r="Q50" s="3"/>
      <c r="R50" s="7">
        <f t="shared" ref="R50:R81" si="12">IF(P$12=0,0,P50/P$12)</f>
        <v>0</v>
      </c>
      <c r="S50" s="3"/>
      <c r="T50" s="6">
        <v>6000</v>
      </c>
      <c r="U50" s="3"/>
      <c r="V50" s="7">
        <f t="shared" ref="V50:V81" si="13">IF(T$12=0,0,T50/T$12)</f>
        <v>0</v>
      </c>
      <c r="W50" s="3"/>
      <c r="X50" s="6">
        <f t="shared" ref="X50:X81" si="14">+P50-T50</f>
        <v>-6000</v>
      </c>
      <c r="Y50" s="3"/>
      <c r="Z50" s="7">
        <f t="shared" ref="Z50:Z81" si="15">IF(T50=0,0,X50/T50)</f>
        <v>-1</v>
      </c>
    </row>
    <row r="51" spans="1:26" s="69" customFormat="1" ht="15" customHeight="1" outlineLevel="1" collapsed="1" x14ac:dyDescent="0.3">
      <c r="A51" s="20"/>
      <c r="B51" s="11" t="str">
        <f>CONCATENATE("     ","Donations                                         ")</f>
        <v xml:space="preserve">     Donations                                         </v>
      </c>
      <c r="C51" s="11"/>
      <c r="D51" s="2">
        <f>SUM(OSRRefD22_6x_0)</f>
        <v>2469.2399999999998</v>
      </c>
      <c r="E51" s="2"/>
      <c r="F51" s="5">
        <f t="shared" si="8"/>
        <v>0</v>
      </c>
      <c r="G51" s="2"/>
      <c r="H51" s="2">
        <f>SUM(OSRRefH22_6x_0)</f>
        <v>300</v>
      </c>
      <c r="I51" s="2"/>
      <c r="J51" s="5">
        <f t="shared" si="9"/>
        <v>0</v>
      </c>
      <c r="K51" s="2"/>
      <c r="L51" s="2">
        <f t="shared" si="10"/>
        <v>2169.2399999999998</v>
      </c>
      <c r="M51" s="2"/>
      <c r="N51" s="5">
        <f t="shared" si="11"/>
        <v>7.2307999999999995</v>
      </c>
      <c r="O51" s="11"/>
      <c r="P51" s="2">
        <f>SUM(OSRRefP22_6x_0)</f>
        <v>27769.24</v>
      </c>
      <c r="Q51" s="2"/>
      <c r="R51" s="5">
        <f t="shared" si="12"/>
        <v>0</v>
      </c>
      <c r="S51" s="2"/>
      <c r="T51" s="2">
        <f>SUM(OSRRefT22_6x_0)</f>
        <v>64250</v>
      </c>
      <c r="U51" s="2"/>
      <c r="V51" s="5">
        <f t="shared" si="13"/>
        <v>0</v>
      </c>
      <c r="W51" s="2"/>
      <c r="X51" s="2">
        <f t="shared" si="14"/>
        <v>-36480.759999999995</v>
      </c>
      <c r="Y51" s="2"/>
      <c r="Z51" s="5">
        <f t="shared" si="15"/>
        <v>-0.56779392996108946</v>
      </c>
    </row>
    <row r="52" spans="1:26" s="70" customFormat="1" ht="15" hidden="1" customHeight="1" outlineLevel="2" x14ac:dyDescent="0.3">
      <c r="A52" s="21"/>
      <c r="B52" s="9" t="str">
        <f>CONCATENATE("          ","6399"," - ","DONATION-ON CAMPUS")</f>
        <v xml:space="preserve">          6399 - DONATION-ON CAMPUS</v>
      </c>
      <c r="C52" s="9"/>
      <c r="D52" s="6">
        <v>2469.2399999999998</v>
      </c>
      <c r="E52" s="3"/>
      <c r="F52" s="7">
        <f t="shared" si="8"/>
        <v>0</v>
      </c>
      <c r="G52" s="3"/>
      <c r="H52" s="6">
        <v>300</v>
      </c>
      <c r="I52" s="3"/>
      <c r="J52" s="7">
        <f t="shared" si="9"/>
        <v>0</v>
      </c>
      <c r="K52" s="3"/>
      <c r="L52" s="6">
        <f t="shared" si="10"/>
        <v>2169.2399999999998</v>
      </c>
      <c r="M52" s="3"/>
      <c r="N52" s="7">
        <f t="shared" si="11"/>
        <v>7.2307999999999995</v>
      </c>
      <c r="O52" s="9"/>
      <c r="P52" s="6">
        <v>27769.24</v>
      </c>
      <c r="Q52" s="3"/>
      <c r="R52" s="7">
        <f t="shared" si="12"/>
        <v>0</v>
      </c>
      <c r="S52" s="3"/>
      <c r="T52" s="6">
        <v>64250</v>
      </c>
      <c r="U52" s="3"/>
      <c r="V52" s="7">
        <f t="shared" si="13"/>
        <v>0</v>
      </c>
      <c r="W52" s="3"/>
      <c r="X52" s="6">
        <f t="shared" si="14"/>
        <v>-36480.759999999995</v>
      </c>
      <c r="Y52" s="3"/>
      <c r="Z52" s="7">
        <f t="shared" si="15"/>
        <v>-0.56779392996108946</v>
      </c>
    </row>
    <row r="53" spans="1:26" s="69" customFormat="1" ht="15" customHeight="1" outlineLevel="1" collapsed="1" x14ac:dyDescent="0.3">
      <c r="A53" s="20"/>
      <c r="B53" s="11" t="str">
        <f>CONCATENATE("     ","Employees' Appreciation                           ")</f>
        <v xml:space="preserve">     Employees' Appreciation                           </v>
      </c>
      <c r="C53" s="11"/>
      <c r="D53" s="2">
        <f>SUM(OSRRefD22_7x_0)</f>
        <v>0</v>
      </c>
      <c r="E53" s="2"/>
      <c r="F53" s="5">
        <f t="shared" si="8"/>
        <v>0</v>
      </c>
      <c r="G53" s="2"/>
      <c r="H53" s="2">
        <f>SUM(OSRRefH22_7x_0)</f>
        <v>2250</v>
      </c>
      <c r="I53" s="2"/>
      <c r="J53" s="5">
        <f t="shared" si="9"/>
        <v>0</v>
      </c>
      <c r="K53" s="2"/>
      <c r="L53" s="2">
        <f t="shared" si="10"/>
        <v>-2250</v>
      </c>
      <c r="M53" s="2"/>
      <c r="N53" s="5">
        <f t="shared" si="11"/>
        <v>-1</v>
      </c>
      <c r="O53" s="11"/>
      <c r="P53" s="2">
        <f>SUM(OSRRefP22_7x_0)</f>
        <v>895.18</v>
      </c>
      <c r="Q53" s="2"/>
      <c r="R53" s="5">
        <f t="shared" si="12"/>
        <v>0</v>
      </c>
      <c r="S53" s="2"/>
      <c r="T53" s="2">
        <f>SUM(OSRRefT22_7x_0)</f>
        <v>21000</v>
      </c>
      <c r="U53" s="2"/>
      <c r="V53" s="5">
        <f t="shared" si="13"/>
        <v>0</v>
      </c>
      <c r="W53" s="2"/>
      <c r="X53" s="2">
        <f t="shared" si="14"/>
        <v>-20104.82</v>
      </c>
      <c r="Y53" s="2"/>
      <c r="Z53" s="5">
        <f t="shared" si="15"/>
        <v>-0.95737238095238097</v>
      </c>
    </row>
    <row r="54" spans="1:26" s="70" customFormat="1" ht="15" hidden="1" customHeight="1" outlineLevel="2" x14ac:dyDescent="0.3">
      <c r="A54" s="21"/>
      <c r="B54" s="9" t="str">
        <f>CONCATENATE("          ","6277"," - ","EMPLOYEE APPRECIATION")</f>
        <v xml:space="preserve">          6277 - EMPLOYEE APPRECIATION</v>
      </c>
      <c r="C54" s="9"/>
      <c r="D54" s="6"/>
      <c r="E54" s="3"/>
      <c r="F54" s="7">
        <f t="shared" si="8"/>
        <v>0</v>
      </c>
      <c r="G54" s="3"/>
      <c r="H54" s="6">
        <v>2250</v>
      </c>
      <c r="I54" s="3"/>
      <c r="J54" s="7">
        <f t="shared" si="9"/>
        <v>0</v>
      </c>
      <c r="K54" s="3"/>
      <c r="L54" s="6">
        <f t="shared" si="10"/>
        <v>-2250</v>
      </c>
      <c r="M54" s="3"/>
      <c r="N54" s="7">
        <f t="shared" si="11"/>
        <v>-1</v>
      </c>
      <c r="O54" s="9"/>
      <c r="P54" s="6">
        <v>895.18</v>
      </c>
      <c r="Q54" s="3"/>
      <c r="R54" s="7">
        <f t="shared" si="12"/>
        <v>0</v>
      </c>
      <c r="S54" s="3"/>
      <c r="T54" s="6">
        <v>21000</v>
      </c>
      <c r="U54" s="3"/>
      <c r="V54" s="7">
        <f t="shared" si="13"/>
        <v>0</v>
      </c>
      <c r="W54" s="3"/>
      <c r="X54" s="6">
        <f t="shared" si="14"/>
        <v>-20104.82</v>
      </c>
      <c r="Y54" s="3"/>
      <c r="Z54" s="7">
        <f t="shared" si="15"/>
        <v>-0.95737238095238097</v>
      </c>
    </row>
    <row r="55" spans="1:26" s="69" customFormat="1" ht="15" customHeight="1" outlineLevel="1" collapsed="1" x14ac:dyDescent="0.3">
      <c r="A55" s="20"/>
      <c r="B55" s="11" t="str">
        <f>CONCATENATE("     ","Equipment Rental                                  ")</f>
        <v xml:space="preserve">     Equipment Rental                                  </v>
      </c>
      <c r="C55" s="11"/>
      <c r="D55" s="2">
        <f>SUM(OSRRefD22_8x_0)</f>
        <v>-19.62</v>
      </c>
      <c r="E55" s="2"/>
      <c r="F55" s="5">
        <f t="shared" si="8"/>
        <v>0</v>
      </c>
      <c r="G55" s="2"/>
      <c r="H55" s="2">
        <f>SUM(OSRRefH22_8x_0)</f>
        <v>284</v>
      </c>
      <c r="I55" s="2"/>
      <c r="J55" s="5">
        <f t="shared" si="9"/>
        <v>0</v>
      </c>
      <c r="K55" s="2"/>
      <c r="L55" s="2">
        <f t="shared" si="10"/>
        <v>-303.62</v>
      </c>
      <c r="M55" s="2"/>
      <c r="N55" s="5">
        <f t="shared" si="11"/>
        <v>-1.0690845070422534</v>
      </c>
      <c r="O55" s="11"/>
      <c r="P55" s="2">
        <f>SUM(OSRRefP22_8x_0)</f>
        <v>2279.0500000000002</v>
      </c>
      <c r="Q55" s="2"/>
      <c r="R55" s="5">
        <f t="shared" si="12"/>
        <v>0</v>
      </c>
      <c r="S55" s="2"/>
      <c r="T55" s="2">
        <f>SUM(OSRRefT22_8x_0)</f>
        <v>3408</v>
      </c>
      <c r="U55" s="2"/>
      <c r="V55" s="5">
        <f t="shared" si="13"/>
        <v>0</v>
      </c>
      <c r="W55" s="2"/>
      <c r="X55" s="2">
        <f t="shared" si="14"/>
        <v>-1128.9499999999998</v>
      </c>
      <c r="Y55" s="2"/>
      <c r="Z55" s="5">
        <f t="shared" si="15"/>
        <v>-0.33126467136150228</v>
      </c>
    </row>
    <row r="56" spans="1:26" s="70" customFormat="1" ht="15" hidden="1" customHeight="1" outlineLevel="2" x14ac:dyDescent="0.3">
      <c r="A56" s="21"/>
      <c r="B56" s="9" t="str">
        <f>CONCATENATE("          ","6351"," - ","EQUIPMENT RENTAL")</f>
        <v xml:space="preserve">          6351 - EQUIPMENT RENTAL</v>
      </c>
      <c r="C56" s="9"/>
      <c r="D56" s="6">
        <v>-19.62</v>
      </c>
      <c r="E56" s="3"/>
      <c r="F56" s="7">
        <f t="shared" si="8"/>
        <v>0</v>
      </c>
      <c r="G56" s="3"/>
      <c r="H56" s="6">
        <v>284</v>
      </c>
      <c r="I56" s="3"/>
      <c r="J56" s="7">
        <f t="shared" si="9"/>
        <v>0</v>
      </c>
      <c r="K56" s="3"/>
      <c r="L56" s="6">
        <f t="shared" si="10"/>
        <v>-303.62</v>
      </c>
      <c r="M56" s="3"/>
      <c r="N56" s="7">
        <f t="shared" si="11"/>
        <v>-1.0690845070422534</v>
      </c>
      <c r="O56" s="9"/>
      <c r="P56" s="6">
        <v>2279.0500000000002</v>
      </c>
      <c r="Q56" s="3"/>
      <c r="R56" s="7">
        <f t="shared" si="12"/>
        <v>0</v>
      </c>
      <c r="S56" s="3"/>
      <c r="T56" s="6">
        <v>3408</v>
      </c>
      <c r="U56" s="3"/>
      <c r="V56" s="7">
        <f t="shared" si="13"/>
        <v>0</v>
      </c>
      <c r="W56" s="3"/>
      <c r="X56" s="6">
        <f t="shared" si="14"/>
        <v>-1128.9499999999998</v>
      </c>
      <c r="Y56" s="3"/>
      <c r="Z56" s="7">
        <f t="shared" si="15"/>
        <v>-0.33126467136150228</v>
      </c>
    </row>
    <row r="57" spans="1:26" s="69" customFormat="1" ht="15" customHeight="1" outlineLevel="1" collapsed="1" x14ac:dyDescent="0.3">
      <c r="A57" s="20"/>
      <c r="B57" s="11" t="str">
        <f>CONCATENATE("     ","Freight out/Postage                               ")</f>
        <v xml:space="preserve">     Freight out/Postage                               </v>
      </c>
      <c r="C57" s="11"/>
      <c r="D57" s="2">
        <f>SUM(OSRRefD22_9x_0)</f>
        <v>129.72</v>
      </c>
      <c r="E57" s="2"/>
      <c r="F57" s="5">
        <f t="shared" si="8"/>
        <v>0</v>
      </c>
      <c r="G57" s="2"/>
      <c r="H57" s="2">
        <f>SUM(OSRRefH22_9x_0)</f>
        <v>285</v>
      </c>
      <c r="I57" s="2"/>
      <c r="J57" s="5">
        <f t="shared" si="9"/>
        <v>0</v>
      </c>
      <c r="K57" s="2"/>
      <c r="L57" s="2">
        <f t="shared" si="10"/>
        <v>-155.28</v>
      </c>
      <c r="M57" s="2"/>
      <c r="N57" s="5">
        <f t="shared" si="11"/>
        <v>-0.54484210526315791</v>
      </c>
      <c r="O57" s="11"/>
      <c r="P57" s="2">
        <f>SUM(OSRRefP22_9x_0)</f>
        <v>1875.96</v>
      </c>
      <c r="Q57" s="2"/>
      <c r="R57" s="5">
        <f t="shared" si="12"/>
        <v>0</v>
      </c>
      <c r="S57" s="2"/>
      <c r="T57" s="2">
        <f>SUM(OSRRefT22_9x_0)</f>
        <v>2705</v>
      </c>
      <c r="U57" s="2"/>
      <c r="V57" s="5">
        <f t="shared" si="13"/>
        <v>0</v>
      </c>
      <c r="W57" s="2"/>
      <c r="X57" s="2">
        <f t="shared" si="14"/>
        <v>-829.04</v>
      </c>
      <c r="Y57" s="2"/>
      <c r="Z57" s="5">
        <f t="shared" si="15"/>
        <v>-0.30648428835489833</v>
      </c>
    </row>
    <row r="58" spans="1:26" s="70" customFormat="1" ht="15" hidden="1" customHeight="1" outlineLevel="2" x14ac:dyDescent="0.3">
      <c r="A58" s="21"/>
      <c r="B58" s="9" t="str">
        <f>CONCATENATE("          ","6307"," - ","POSTAGE")</f>
        <v xml:space="preserve">          6307 - POSTAGE</v>
      </c>
      <c r="C58" s="9"/>
      <c r="D58" s="6">
        <v>129.72</v>
      </c>
      <c r="E58" s="3"/>
      <c r="F58" s="7">
        <f t="shared" si="8"/>
        <v>0</v>
      </c>
      <c r="G58" s="3"/>
      <c r="H58" s="6">
        <v>285</v>
      </c>
      <c r="I58" s="3"/>
      <c r="J58" s="7">
        <f t="shared" si="9"/>
        <v>0</v>
      </c>
      <c r="K58" s="3"/>
      <c r="L58" s="6">
        <f t="shared" si="10"/>
        <v>-155.28</v>
      </c>
      <c r="M58" s="3"/>
      <c r="N58" s="7">
        <f t="shared" si="11"/>
        <v>-0.54484210526315791</v>
      </c>
      <c r="O58" s="9"/>
      <c r="P58" s="6">
        <v>1875.96</v>
      </c>
      <c r="Q58" s="3"/>
      <c r="R58" s="7">
        <f t="shared" si="12"/>
        <v>0</v>
      </c>
      <c r="S58" s="3"/>
      <c r="T58" s="6">
        <v>2705</v>
      </c>
      <c r="U58" s="3"/>
      <c r="V58" s="7">
        <f t="shared" si="13"/>
        <v>0</v>
      </c>
      <c r="W58" s="3"/>
      <c r="X58" s="6">
        <f t="shared" si="14"/>
        <v>-829.04</v>
      </c>
      <c r="Y58" s="3"/>
      <c r="Z58" s="7">
        <f t="shared" si="15"/>
        <v>-0.30648428835489833</v>
      </c>
    </row>
    <row r="59" spans="1:26" s="69" customFormat="1" ht="15" customHeight="1" outlineLevel="1" collapsed="1" x14ac:dyDescent="0.3">
      <c r="A59" s="20"/>
      <c r="B59" s="11" t="str">
        <f>CONCATENATE("     ","General                                           ")</f>
        <v xml:space="preserve">     General                                           </v>
      </c>
      <c r="C59" s="11"/>
      <c r="D59" s="2">
        <f>SUM(OSRRefD22_10x_0)</f>
        <v>7230.63</v>
      </c>
      <c r="E59" s="2"/>
      <c r="F59" s="5">
        <f t="shared" si="8"/>
        <v>0</v>
      </c>
      <c r="G59" s="2"/>
      <c r="H59" s="2">
        <f>SUM(OSRRefH22_10x_0)</f>
        <v>0</v>
      </c>
      <c r="I59" s="2"/>
      <c r="J59" s="5">
        <f t="shared" si="9"/>
        <v>0</v>
      </c>
      <c r="K59" s="2"/>
      <c r="L59" s="2">
        <f t="shared" si="10"/>
        <v>7230.63</v>
      </c>
      <c r="M59" s="2"/>
      <c r="N59" s="5">
        <f t="shared" si="11"/>
        <v>0</v>
      </c>
      <c r="O59" s="11"/>
      <c r="P59" s="2">
        <f>SUM(OSRRefP22_10x_0)</f>
        <v>8564.02</v>
      </c>
      <c r="Q59" s="2"/>
      <c r="R59" s="5">
        <f t="shared" si="12"/>
        <v>0</v>
      </c>
      <c r="S59" s="2"/>
      <c r="T59" s="2">
        <f>SUM(OSRRefT22_10x_0)</f>
        <v>-750</v>
      </c>
      <c r="U59" s="2"/>
      <c r="V59" s="5">
        <f t="shared" si="13"/>
        <v>0</v>
      </c>
      <c r="W59" s="2"/>
      <c r="X59" s="2">
        <f t="shared" si="14"/>
        <v>9314.02</v>
      </c>
      <c r="Y59" s="2"/>
      <c r="Z59" s="5">
        <f t="shared" si="15"/>
        <v>-12.418693333333334</v>
      </c>
    </row>
    <row r="60" spans="1:26" s="70" customFormat="1" ht="15" hidden="1" customHeight="1" outlineLevel="2" x14ac:dyDescent="0.3">
      <c r="A60" s="21"/>
      <c r="B60" s="9" t="str">
        <f>CONCATENATE("          ","6279"," - ","GENERAL EXPENSE")</f>
        <v xml:space="preserve">          6279 - GENERAL EXPENSE</v>
      </c>
      <c r="C60" s="9"/>
      <c r="D60" s="6">
        <v>7230.63</v>
      </c>
      <c r="E60" s="3"/>
      <c r="F60" s="7">
        <f t="shared" si="8"/>
        <v>0</v>
      </c>
      <c r="G60" s="3"/>
      <c r="H60" s="6">
        <v>0</v>
      </c>
      <c r="I60" s="3"/>
      <c r="J60" s="7">
        <f t="shared" si="9"/>
        <v>0</v>
      </c>
      <c r="K60" s="3"/>
      <c r="L60" s="6">
        <f t="shared" si="10"/>
        <v>7230.63</v>
      </c>
      <c r="M60" s="3"/>
      <c r="N60" s="7">
        <f t="shared" si="11"/>
        <v>0</v>
      </c>
      <c r="O60" s="9"/>
      <c r="P60" s="6">
        <v>8564.02</v>
      </c>
      <c r="Q60" s="3"/>
      <c r="R60" s="7">
        <f t="shared" si="12"/>
        <v>0</v>
      </c>
      <c r="S60" s="3"/>
      <c r="T60" s="6">
        <v>-750</v>
      </c>
      <c r="U60" s="3"/>
      <c r="V60" s="7">
        <f t="shared" si="13"/>
        <v>0</v>
      </c>
      <c r="W60" s="3"/>
      <c r="X60" s="6">
        <f t="shared" si="14"/>
        <v>9314.02</v>
      </c>
      <c r="Y60" s="3"/>
      <c r="Z60" s="7">
        <f t="shared" si="15"/>
        <v>-12.418693333333334</v>
      </c>
    </row>
    <row r="61" spans="1:26" s="69" customFormat="1" ht="15" customHeight="1" outlineLevel="1" collapsed="1" x14ac:dyDescent="0.3">
      <c r="A61" s="20"/>
      <c r="B61" s="11" t="str">
        <f>CONCATENATE("     ","Insurance                                         ")</f>
        <v xml:space="preserve">     Insurance                                         </v>
      </c>
      <c r="C61" s="11"/>
      <c r="D61" s="2">
        <f>SUM(OSRRefD22_11x_0)</f>
        <v>-166.18</v>
      </c>
      <c r="E61" s="2"/>
      <c r="F61" s="5">
        <f t="shared" si="8"/>
        <v>0</v>
      </c>
      <c r="G61" s="2"/>
      <c r="H61" s="2">
        <f>SUM(OSRRefH22_11x_0)</f>
        <v>530</v>
      </c>
      <c r="I61" s="2"/>
      <c r="J61" s="5">
        <f t="shared" si="9"/>
        <v>0</v>
      </c>
      <c r="K61" s="2"/>
      <c r="L61" s="2">
        <f t="shared" si="10"/>
        <v>-696.18000000000006</v>
      </c>
      <c r="M61" s="2"/>
      <c r="N61" s="5">
        <f t="shared" si="11"/>
        <v>-1.3135471698113208</v>
      </c>
      <c r="O61" s="11"/>
      <c r="P61" s="2">
        <f>SUM(OSRRefP22_11x_0)</f>
        <v>5719.48</v>
      </c>
      <c r="Q61" s="2"/>
      <c r="R61" s="5">
        <f t="shared" si="12"/>
        <v>0</v>
      </c>
      <c r="S61" s="2"/>
      <c r="T61" s="2">
        <f>SUM(OSRRefT22_11x_0)</f>
        <v>6360</v>
      </c>
      <c r="U61" s="2"/>
      <c r="V61" s="5">
        <f t="shared" si="13"/>
        <v>0</v>
      </c>
      <c r="W61" s="2"/>
      <c r="X61" s="2">
        <f t="shared" si="14"/>
        <v>-640.52000000000044</v>
      </c>
      <c r="Y61" s="2"/>
      <c r="Z61" s="5">
        <f t="shared" si="15"/>
        <v>-0.10071069182389944</v>
      </c>
    </row>
    <row r="62" spans="1:26" s="70" customFormat="1" ht="15" hidden="1" customHeight="1" outlineLevel="2" x14ac:dyDescent="0.3">
      <c r="A62" s="21"/>
      <c r="B62" s="9" t="str">
        <f>CONCATENATE("          ","6314"," - ","LIABILITY INSURANCE")</f>
        <v xml:space="preserve">          6314 - LIABILITY INSURANCE</v>
      </c>
      <c r="C62" s="9"/>
      <c r="D62" s="6">
        <v>-166.18</v>
      </c>
      <c r="E62" s="3"/>
      <c r="F62" s="7">
        <f t="shared" si="8"/>
        <v>0</v>
      </c>
      <c r="G62" s="3"/>
      <c r="H62" s="6">
        <v>530</v>
      </c>
      <c r="I62" s="3"/>
      <c r="J62" s="7">
        <f t="shared" si="9"/>
        <v>0</v>
      </c>
      <c r="K62" s="3"/>
      <c r="L62" s="6">
        <f t="shared" si="10"/>
        <v>-696.18000000000006</v>
      </c>
      <c r="M62" s="3"/>
      <c r="N62" s="7">
        <f t="shared" si="11"/>
        <v>-1.3135471698113208</v>
      </c>
      <c r="O62" s="9"/>
      <c r="P62" s="6">
        <v>5719.48</v>
      </c>
      <c r="Q62" s="3"/>
      <c r="R62" s="7">
        <f t="shared" si="12"/>
        <v>0</v>
      </c>
      <c r="S62" s="3"/>
      <c r="T62" s="6">
        <v>6360</v>
      </c>
      <c r="U62" s="3"/>
      <c r="V62" s="7">
        <f t="shared" si="13"/>
        <v>0</v>
      </c>
      <c r="W62" s="3"/>
      <c r="X62" s="6">
        <f t="shared" si="14"/>
        <v>-640.52000000000044</v>
      </c>
      <c r="Y62" s="3"/>
      <c r="Z62" s="7">
        <f t="shared" si="15"/>
        <v>-0.10071069182389944</v>
      </c>
    </row>
    <row r="63" spans="1:26" s="69" customFormat="1" ht="15" customHeight="1" outlineLevel="1" collapsed="1" x14ac:dyDescent="0.3">
      <c r="A63" s="20"/>
      <c r="B63" s="11" t="str">
        <f>CONCATENATE("     ","Professional Services                             ")</f>
        <v xml:space="preserve">     Professional Services                             </v>
      </c>
      <c r="C63" s="11"/>
      <c r="D63" s="2">
        <f>SUM(OSRRefD22_12x_0)</f>
        <v>1245</v>
      </c>
      <c r="E63" s="2"/>
      <c r="F63" s="5">
        <f t="shared" si="8"/>
        <v>0</v>
      </c>
      <c r="G63" s="2"/>
      <c r="H63" s="2">
        <f>SUM(OSRRefH22_12x_0)</f>
        <v>1674</v>
      </c>
      <c r="I63" s="2"/>
      <c r="J63" s="5">
        <f t="shared" si="9"/>
        <v>0</v>
      </c>
      <c r="K63" s="2"/>
      <c r="L63" s="2">
        <f t="shared" si="10"/>
        <v>-429</v>
      </c>
      <c r="M63" s="2"/>
      <c r="N63" s="5">
        <f t="shared" si="11"/>
        <v>-0.25627240143369173</v>
      </c>
      <c r="O63" s="11"/>
      <c r="P63" s="2">
        <f>SUM(OSRRefP22_12x_0)</f>
        <v>119590.64</v>
      </c>
      <c r="Q63" s="2"/>
      <c r="R63" s="5">
        <f t="shared" si="12"/>
        <v>0</v>
      </c>
      <c r="S63" s="2"/>
      <c r="T63" s="2">
        <f>SUM(OSRRefT22_12x_0)</f>
        <v>151500</v>
      </c>
      <c r="U63" s="2"/>
      <c r="V63" s="5">
        <f t="shared" si="13"/>
        <v>0</v>
      </c>
      <c r="W63" s="2"/>
      <c r="X63" s="2">
        <f t="shared" si="14"/>
        <v>-31909.360000000001</v>
      </c>
      <c r="Y63" s="2"/>
      <c r="Z63" s="5">
        <f t="shared" si="15"/>
        <v>-0.21062283828382838</v>
      </c>
    </row>
    <row r="64" spans="1:26" s="70" customFormat="1" ht="15" hidden="1" customHeight="1" outlineLevel="2" x14ac:dyDescent="0.3">
      <c r="A64" s="21"/>
      <c r="B64" s="9" t="str">
        <f>CONCATENATE("          ","6331"," - ","INDIRECT COSTS-AUXILIARY ORGAN")</f>
        <v xml:space="preserve">          6331 - INDIRECT COSTS-AUXILIARY ORGAN</v>
      </c>
      <c r="C64" s="9"/>
      <c r="D64" s="6"/>
      <c r="E64" s="3"/>
      <c r="F64" s="7">
        <f t="shared" si="8"/>
        <v>0</v>
      </c>
      <c r="G64" s="3"/>
      <c r="H64" s="6">
        <v>0</v>
      </c>
      <c r="I64" s="3"/>
      <c r="J64" s="7">
        <f t="shared" si="9"/>
        <v>0</v>
      </c>
      <c r="K64" s="3"/>
      <c r="L64" s="6">
        <f t="shared" si="10"/>
        <v>0</v>
      </c>
      <c r="M64" s="3"/>
      <c r="N64" s="7">
        <f t="shared" si="11"/>
        <v>0</v>
      </c>
      <c r="O64" s="9"/>
      <c r="P64" s="6">
        <v>89851</v>
      </c>
      <c r="Q64" s="3"/>
      <c r="R64" s="7">
        <f t="shared" si="12"/>
        <v>0</v>
      </c>
      <c r="S64" s="3"/>
      <c r="T64" s="6">
        <v>103000</v>
      </c>
      <c r="U64" s="3"/>
      <c r="V64" s="7">
        <f t="shared" si="13"/>
        <v>0</v>
      </c>
      <c r="W64" s="3"/>
      <c r="X64" s="6">
        <f t="shared" si="14"/>
        <v>-13149</v>
      </c>
      <c r="Y64" s="3"/>
      <c r="Z64" s="7">
        <f t="shared" si="15"/>
        <v>-0.12766019417475727</v>
      </c>
    </row>
    <row r="65" spans="1:26" s="70" customFormat="1" ht="15" hidden="1" customHeight="1" outlineLevel="2" x14ac:dyDescent="0.3">
      <c r="A65" s="21"/>
      <c r="B65" s="9" t="str">
        <f>CONCATENATE("          ","6332"," - ","CONSULTANT FEES")</f>
        <v xml:space="preserve">          6332 - CONSULTANT FEES</v>
      </c>
      <c r="C65" s="9"/>
      <c r="D65" s="6"/>
      <c r="E65" s="3"/>
      <c r="F65" s="7">
        <f t="shared" si="8"/>
        <v>0</v>
      </c>
      <c r="G65" s="3"/>
      <c r="H65" s="6">
        <v>0</v>
      </c>
      <c r="I65" s="3"/>
      <c r="J65" s="7">
        <f t="shared" si="9"/>
        <v>0</v>
      </c>
      <c r="K65" s="3"/>
      <c r="L65" s="6">
        <f t="shared" si="10"/>
        <v>0</v>
      </c>
      <c r="M65" s="3"/>
      <c r="N65" s="7">
        <f t="shared" si="11"/>
        <v>0</v>
      </c>
      <c r="O65" s="9"/>
      <c r="P65" s="6"/>
      <c r="Q65" s="3"/>
      <c r="R65" s="7">
        <f t="shared" si="12"/>
        <v>0</v>
      </c>
      <c r="S65" s="3"/>
      <c r="T65" s="6">
        <v>19000</v>
      </c>
      <c r="U65" s="3"/>
      <c r="V65" s="7">
        <f t="shared" si="13"/>
        <v>0</v>
      </c>
      <c r="W65" s="3"/>
      <c r="X65" s="6">
        <f t="shared" si="14"/>
        <v>-19000</v>
      </c>
      <c r="Y65" s="3"/>
      <c r="Z65" s="7">
        <f t="shared" si="15"/>
        <v>-1</v>
      </c>
    </row>
    <row r="66" spans="1:26" s="70" customFormat="1" ht="15" hidden="1" customHeight="1" outlineLevel="2" x14ac:dyDescent="0.3">
      <c r="A66" s="21"/>
      <c r="B66" s="9" t="str">
        <f>CONCATENATE("          ","6334"," - ","LEGAL COUNCIL EXPENSE")</f>
        <v xml:space="preserve">          6334 - LEGAL COUNCIL EXPENSE</v>
      </c>
      <c r="C66" s="9"/>
      <c r="D66" s="6"/>
      <c r="E66" s="3"/>
      <c r="F66" s="7">
        <f t="shared" si="8"/>
        <v>0</v>
      </c>
      <c r="G66" s="3"/>
      <c r="H66" s="6">
        <v>837</v>
      </c>
      <c r="I66" s="3"/>
      <c r="J66" s="7">
        <f t="shared" si="9"/>
        <v>0</v>
      </c>
      <c r="K66" s="3"/>
      <c r="L66" s="6">
        <f t="shared" si="10"/>
        <v>-837</v>
      </c>
      <c r="M66" s="3"/>
      <c r="N66" s="7">
        <f t="shared" si="11"/>
        <v>-1</v>
      </c>
      <c r="O66" s="9"/>
      <c r="P66" s="6">
        <v>3455</v>
      </c>
      <c r="Q66" s="3"/>
      <c r="R66" s="7">
        <f t="shared" si="12"/>
        <v>0</v>
      </c>
      <c r="S66" s="3"/>
      <c r="T66" s="6">
        <v>14500</v>
      </c>
      <c r="U66" s="3"/>
      <c r="V66" s="7">
        <f t="shared" si="13"/>
        <v>0</v>
      </c>
      <c r="W66" s="3"/>
      <c r="X66" s="6">
        <f t="shared" si="14"/>
        <v>-11045</v>
      </c>
      <c r="Y66" s="3"/>
      <c r="Z66" s="7">
        <f t="shared" si="15"/>
        <v>-0.76172413793103444</v>
      </c>
    </row>
    <row r="67" spans="1:26" s="70" customFormat="1" ht="15" hidden="1" customHeight="1" outlineLevel="2" x14ac:dyDescent="0.3">
      <c r="A67" s="21"/>
      <c r="B67" s="9" t="str">
        <f>CONCATENATE("          ","6336"," - ","PROFESSIONAL SERVICES")</f>
        <v xml:space="preserve">          6336 - PROFESSIONAL SERVICES</v>
      </c>
      <c r="C67" s="9"/>
      <c r="D67" s="6">
        <v>1245</v>
      </c>
      <c r="E67" s="3"/>
      <c r="F67" s="7">
        <f t="shared" si="8"/>
        <v>0</v>
      </c>
      <c r="G67" s="3"/>
      <c r="H67" s="6">
        <v>837</v>
      </c>
      <c r="I67" s="3"/>
      <c r="J67" s="7">
        <f t="shared" si="9"/>
        <v>0</v>
      </c>
      <c r="K67" s="3"/>
      <c r="L67" s="6">
        <f t="shared" si="10"/>
        <v>408</v>
      </c>
      <c r="M67" s="3"/>
      <c r="N67" s="7">
        <f t="shared" si="11"/>
        <v>0.48745519713261648</v>
      </c>
      <c r="O67" s="9"/>
      <c r="P67" s="6">
        <v>26284.639999999999</v>
      </c>
      <c r="Q67" s="3"/>
      <c r="R67" s="7">
        <f t="shared" si="12"/>
        <v>0</v>
      </c>
      <c r="S67" s="3"/>
      <c r="T67" s="6">
        <v>15000</v>
      </c>
      <c r="U67" s="3"/>
      <c r="V67" s="7">
        <f t="shared" si="13"/>
        <v>0</v>
      </c>
      <c r="W67" s="3"/>
      <c r="X67" s="6">
        <f t="shared" si="14"/>
        <v>11284.64</v>
      </c>
      <c r="Y67" s="3"/>
      <c r="Z67" s="7">
        <f t="shared" si="15"/>
        <v>0.75230933333333327</v>
      </c>
    </row>
    <row r="68" spans="1:26" s="69" customFormat="1" ht="15" customHeight="1" outlineLevel="1" collapsed="1" x14ac:dyDescent="0.3">
      <c r="A68" s="20"/>
      <c r="B68" s="11" t="str">
        <f>CONCATENATE("     ","Repair and Maintenance                            ")</f>
        <v xml:space="preserve">     Repair and Maintenance                            </v>
      </c>
      <c r="C68" s="11"/>
      <c r="D68" s="2">
        <f>SUM(OSRRefD22_13x_0)</f>
        <v>19794.41</v>
      </c>
      <c r="E68" s="2"/>
      <c r="F68" s="5">
        <f t="shared" si="8"/>
        <v>0</v>
      </c>
      <c r="G68" s="2"/>
      <c r="H68" s="2">
        <f>SUM(OSRRefH22_13x_0)</f>
        <v>22307</v>
      </c>
      <c r="I68" s="2"/>
      <c r="J68" s="5">
        <f t="shared" si="9"/>
        <v>0</v>
      </c>
      <c r="K68" s="2"/>
      <c r="L68" s="2">
        <f t="shared" si="10"/>
        <v>-2512.59</v>
      </c>
      <c r="M68" s="2"/>
      <c r="N68" s="5">
        <f t="shared" si="11"/>
        <v>-0.11263684045366926</v>
      </c>
      <c r="O68" s="11"/>
      <c r="P68" s="2">
        <f>SUM(OSRRefP22_13x_0)</f>
        <v>287958.22000000003</v>
      </c>
      <c r="Q68" s="2"/>
      <c r="R68" s="5">
        <f t="shared" si="12"/>
        <v>0</v>
      </c>
      <c r="S68" s="2"/>
      <c r="T68" s="2">
        <f>SUM(OSRRefT22_13x_0)</f>
        <v>308284</v>
      </c>
      <c r="U68" s="2"/>
      <c r="V68" s="5">
        <f t="shared" si="13"/>
        <v>0</v>
      </c>
      <c r="W68" s="2"/>
      <c r="X68" s="2">
        <f t="shared" si="14"/>
        <v>-20325.77999999997</v>
      </c>
      <c r="Y68" s="2"/>
      <c r="Z68" s="5">
        <f t="shared" si="15"/>
        <v>-6.5931997768291478E-2</v>
      </c>
    </row>
    <row r="69" spans="1:26" s="70" customFormat="1" ht="15" hidden="1" customHeight="1" outlineLevel="2" x14ac:dyDescent="0.3">
      <c r="A69" s="21"/>
      <c r="B69" s="9" t="str">
        <f>CONCATENATE("          ","6371"," - ","COMPUTER SOFTWARE MAINTENANCE")</f>
        <v xml:space="preserve">          6371 - COMPUTER SOFTWARE MAINTENANCE</v>
      </c>
      <c r="C69" s="9"/>
      <c r="D69" s="6">
        <v>9046.75</v>
      </c>
      <c r="E69" s="3"/>
      <c r="F69" s="7">
        <f t="shared" si="8"/>
        <v>0</v>
      </c>
      <c r="G69" s="3"/>
      <c r="H69" s="6">
        <v>9600</v>
      </c>
      <c r="I69" s="3"/>
      <c r="J69" s="7">
        <f t="shared" si="9"/>
        <v>0</v>
      </c>
      <c r="K69" s="3"/>
      <c r="L69" s="6">
        <f t="shared" si="10"/>
        <v>-553.25</v>
      </c>
      <c r="M69" s="3"/>
      <c r="N69" s="7">
        <f t="shared" si="11"/>
        <v>-5.7630208333333335E-2</v>
      </c>
      <c r="O69" s="9"/>
      <c r="P69" s="6">
        <v>128314.65</v>
      </c>
      <c r="Q69" s="3"/>
      <c r="R69" s="7">
        <f t="shared" si="12"/>
        <v>0</v>
      </c>
      <c r="S69" s="3"/>
      <c r="T69" s="6">
        <v>149200</v>
      </c>
      <c r="U69" s="3"/>
      <c r="V69" s="7">
        <f t="shared" si="13"/>
        <v>0</v>
      </c>
      <c r="W69" s="3"/>
      <c r="X69" s="6">
        <f t="shared" si="14"/>
        <v>-20885.350000000006</v>
      </c>
      <c r="Y69" s="3"/>
      <c r="Z69" s="7">
        <f t="shared" si="15"/>
        <v>-0.13998223860589817</v>
      </c>
    </row>
    <row r="70" spans="1:26" s="70" customFormat="1" ht="15" hidden="1" customHeight="1" outlineLevel="2" x14ac:dyDescent="0.3">
      <c r="A70" s="21"/>
      <c r="B70" s="9" t="str">
        <f>CONCATENATE("          ","6372"," - ","COMPUTER HARDWARE MAINTENANCE")</f>
        <v xml:space="preserve">          6372 - COMPUTER HARDWARE MAINTENANCE</v>
      </c>
      <c r="C70" s="9"/>
      <c r="D70" s="6"/>
      <c r="E70" s="3"/>
      <c r="F70" s="7">
        <f t="shared" si="8"/>
        <v>0</v>
      </c>
      <c r="G70" s="3"/>
      <c r="H70" s="6"/>
      <c r="I70" s="3"/>
      <c r="J70" s="7">
        <f t="shared" si="9"/>
        <v>0</v>
      </c>
      <c r="K70" s="3"/>
      <c r="L70" s="6">
        <f t="shared" si="10"/>
        <v>0</v>
      </c>
      <c r="M70" s="3"/>
      <c r="N70" s="7">
        <f t="shared" si="11"/>
        <v>0</v>
      </c>
      <c r="O70" s="9"/>
      <c r="P70" s="6">
        <v>4760.47</v>
      </c>
      <c r="Q70" s="3"/>
      <c r="R70" s="7">
        <f t="shared" si="12"/>
        <v>0</v>
      </c>
      <c r="S70" s="3"/>
      <c r="T70" s="6">
        <v>3000</v>
      </c>
      <c r="U70" s="3"/>
      <c r="V70" s="7">
        <f t="shared" si="13"/>
        <v>0</v>
      </c>
      <c r="W70" s="3"/>
      <c r="X70" s="6">
        <f t="shared" si="14"/>
        <v>1760.4700000000003</v>
      </c>
      <c r="Y70" s="3"/>
      <c r="Z70" s="7">
        <f t="shared" si="15"/>
        <v>0.58682333333333336</v>
      </c>
    </row>
    <row r="71" spans="1:26" s="70" customFormat="1" ht="15" hidden="1" customHeight="1" outlineLevel="2" x14ac:dyDescent="0.3">
      <c r="A71" s="21"/>
      <c r="B71" s="9" t="str">
        <f>CONCATENATE("          ","6373"," - ","MAINTENANCE CONTRACTS")</f>
        <v xml:space="preserve">          6373 - MAINTENANCE CONTRACTS</v>
      </c>
      <c r="C71" s="9"/>
      <c r="D71" s="6">
        <v>10747.66</v>
      </c>
      <c r="E71" s="3"/>
      <c r="F71" s="7">
        <f t="shared" si="8"/>
        <v>0</v>
      </c>
      <c r="G71" s="3"/>
      <c r="H71" s="6">
        <v>12557</v>
      </c>
      <c r="I71" s="3"/>
      <c r="J71" s="7">
        <f t="shared" si="9"/>
        <v>0</v>
      </c>
      <c r="K71" s="3"/>
      <c r="L71" s="6">
        <f t="shared" si="10"/>
        <v>-1809.3400000000001</v>
      </c>
      <c r="M71" s="3"/>
      <c r="N71" s="7">
        <f t="shared" si="11"/>
        <v>-0.14409014892092062</v>
      </c>
      <c r="O71" s="9"/>
      <c r="P71" s="6">
        <v>152938.41</v>
      </c>
      <c r="Q71" s="3"/>
      <c r="R71" s="7">
        <f t="shared" si="12"/>
        <v>0</v>
      </c>
      <c r="S71" s="3"/>
      <c r="T71" s="6">
        <v>154284</v>
      </c>
      <c r="U71" s="3"/>
      <c r="V71" s="7">
        <f t="shared" si="13"/>
        <v>0</v>
      </c>
      <c r="W71" s="3"/>
      <c r="X71" s="6">
        <f t="shared" si="14"/>
        <v>-1345.5899999999965</v>
      </c>
      <c r="Y71" s="3"/>
      <c r="Z71" s="7">
        <f t="shared" si="15"/>
        <v>-8.7215135723730033E-3</v>
      </c>
    </row>
    <row r="72" spans="1:26" s="70" customFormat="1" ht="15" hidden="1" customHeight="1" outlineLevel="2" x14ac:dyDescent="0.3">
      <c r="A72" s="21"/>
      <c r="B72" s="9" t="str">
        <f>CONCATENATE("          ","6375"," - ","OUTSIDE REPAIRS &amp; MAINTENANCE")</f>
        <v xml:space="preserve">          6375 - OUTSIDE REPAIRS &amp; MAINTENANCE</v>
      </c>
      <c r="C72" s="9"/>
      <c r="D72" s="6"/>
      <c r="E72" s="3"/>
      <c r="F72" s="7">
        <f t="shared" si="8"/>
        <v>0</v>
      </c>
      <c r="G72" s="3"/>
      <c r="H72" s="6">
        <v>150</v>
      </c>
      <c r="I72" s="3"/>
      <c r="J72" s="7">
        <f t="shared" si="9"/>
        <v>0</v>
      </c>
      <c r="K72" s="3"/>
      <c r="L72" s="6">
        <f t="shared" si="10"/>
        <v>-150</v>
      </c>
      <c r="M72" s="3"/>
      <c r="N72" s="7">
        <f t="shared" si="11"/>
        <v>-1</v>
      </c>
      <c r="O72" s="9"/>
      <c r="P72" s="6">
        <v>1944.69</v>
      </c>
      <c r="Q72" s="3"/>
      <c r="R72" s="7">
        <f t="shared" si="12"/>
        <v>0</v>
      </c>
      <c r="S72" s="3"/>
      <c r="T72" s="6">
        <v>1800</v>
      </c>
      <c r="U72" s="3"/>
      <c r="V72" s="7">
        <f t="shared" si="13"/>
        <v>0</v>
      </c>
      <c r="W72" s="3"/>
      <c r="X72" s="6">
        <f t="shared" si="14"/>
        <v>144.69000000000005</v>
      </c>
      <c r="Y72" s="3"/>
      <c r="Z72" s="7">
        <f t="shared" si="15"/>
        <v>8.0383333333333362E-2</v>
      </c>
    </row>
    <row r="73" spans="1:26" s="69" customFormat="1" ht="15" customHeight="1" outlineLevel="1" collapsed="1" x14ac:dyDescent="0.3">
      <c r="A73" s="20"/>
      <c r="B73" s="11" t="str">
        <f>CONCATENATE("     ","Services                                          ")</f>
        <v xml:space="preserve">     Services                                          </v>
      </c>
      <c r="C73" s="11"/>
      <c r="D73" s="2">
        <f>SUM(OSRRefD22_14x_0)</f>
        <v>2225.33</v>
      </c>
      <c r="E73" s="2"/>
      <c r="F73" s="5">
        <f t="shared" si="8"/>
        <v>0</v>
      </c>
      <c r="G73" s="2"/>
      <c r="H73" s="2">
        <f>SUM(OSRRefH22_14x_0)</f>
        <v>650</v>
      </c>
      <c r="I73" s="2"/>
      <c r="J73" s="5">
        <f t="shared" si="9"/>
        <v>0</v>
      </c>
      <c r="K73" s="2"/>
      <c r="L73" s="2">
        <f t="shared" si="10"/>
        <v>1575.33</v>
      </c>
      <c r="M73" s="2"/>
      <c r="N73" s="5">
        <f t="shared" si="11"/>
        <v>2.4235846153846152</v>
      </c>
      <c r="O73" s="11"/>
      <c r="P73" s="2">
        <f>SUM(OSRRefP22_14x_0)</f>
        <v>11291.15</v>
      </c>
      <c r="Q73" s="2"/>
      <c r="R73" s="5">
        <f t="shared" si="12"/>
        <v>0</v>
      </c>
      <c r="S73" s="2"/>
      <c r="T73" s="2">
        <f>SUM(OSRRefT22_14x_0)</f>
        <v>7800</v>
      </c>
      <c r="U73" s="2"/>
      <c r="V73" s="5">
        <f t="shared" si="13"/>
        <v>0</v>
      </c>
      <c r="W73" s="2"/>
      <c r="X73" s="2">
        <f t="shared" si="14"/>
        <v>3491.1499999999996</v>
      </c>
      <c r="Y73" s="2"/>
      <c r="Z73" s="5">
        <f t="shared" si="15"/>
        <v>0.44758333333333328</v>
      </c>
    </row>
    <row r="74" spans="1:26" s="70" customFormat="1" ht="15" hidden="1" customHeight="1" outlineLevel="2" x14ac:dyDescent="0.3">
      <c r="A74" s="21"/>
      <c r="B74" s="9" t="str">
        <f>CONCATENATE("          ","6281"," - ","STORAGE FEE")</f>
        <v xml:space="preserve">          6281 - STORAGE FEE</v>
      </c>
      <c r="C74" s="9"/>
      <c r="D74" s="6">
        <v>2225.33</v>
      </c>
      <c r="E74" s="3"/>
      <c r="F74" s="7">
        <f t="shared" si="8"/>
        <v>0</v>
      </c>
      <c r="G74" s="3"/>
      <c r="H74" s="6">
        <v>625</v>
      </c>
      <c r="I74" s="3"/>
      <c r="J74" s="7">
        <f t="shared" si="9"/>
        <v>0</v>
      </c>
      <c r="K74" s="3"/>
      <c r="L74" s="6">
        <f t="shared" si="10"/>
        <v>1600.33</v>
      </c>
      <c r="M74" s="3"/>
      <c r="N74" s="7">
        <f t="shared" si="11"/>
        <v>2.5605279999999997</v>
      </c>
      <c r="O74" s="9"/>
      <c r="P74" s="6">
        <v>11291.15</v>
      </c>
      <c r="Q74" s="3"/>
      <c r="R74" s="7">
        <f t="shared" si="12"/>
        <v>0</v>
      </c>
      <c r="S74" s="3"/>
      <c r="T74" s="6">
        <v>7500</v>
      </c>
      <c r="U74" s="3"/>
      <c r="V74" s="7">
        <f t="shared" si="13"/>
        <v>0</v>
      </c>
      <c r="W74" s="3"/>
      <c r="X74" s="6">
        <f t="shared" si="14"/>
        <v>3791.1499999999996</v>
      </c>
      <c r="Y74" s="3"/>
      <c r="Z74" s="7">
        <f t="shared" si="15"/>
        <v>0.50548666666666664</v>
      </c>
    </row>
    <row r="75" spans="1:26" s="70" customFormat="1" ht="15" hidden="1" customHeight="1" outlineLevel="2" x14ac:dyDescent="0.3">
      <c r="A75" s="21"/>
      <c r="B75" s="9" t="str">
        <f>CONCATENATE("          ","6286"," - ","LAUNDRY EXPENSE")</f>
        <v xml:space="preserve">          6286 - LAUNDRY EXPENSE</v>
      </c>
      <c r="C75" s="9"/>
      <c r="D75" s="6"/>
      <c r="E75" s="3"/>
      <c r="F75" s="7">
        <f t="shared" si="8"/>
        <v>0</v>
      </c>
      <c r="G75" s="3"/>
      <c r="H75" s="6">
        <v>25</v>
      </c>
      <c r="I75" s="3"/>
      <c r="J75" s="7">
        <f t="shared" si="9"/>
        <v>0</v>
      </c>
      <c r="K75" s="3"/>
      <c r="L75" s="6">
        <f t="shared" si="10"/>
        <v>-25</v>
      </c>
      <c r="M75" s="3"/>
      <c r="N75" s="7">
        <f t="shared" si="11"/>
        <v>-1</v>
      </c>
      <c r="O75" s="9"/>
      <c r="P75" s="6"/>
      <c r="Q75" s="3"/>
      <c r="R75" s="7">
        <f t="shared" si="12"/>
        <v>0</v>
      </c>
      <c r="S75" s="3"/>
      <c r="T75" s="6">
        <v>300</v>
      </c>
      <c r="U75" s="3"/>
      <c r="V75" s="7">
        <f t="shared" si="13"/>
        <v>0</v>
      </c>
      <c r="W75" s="3"/>
      <c r="X75" s="6">
        <f t="shared" si="14"/>
        <v>-300</v>
      </c>
      <c r="Y75" s="3"/>
      <c r="Z75" s="7">
        <f t="shared" si="15"/>
        <v>-1</v>
      </c>
    </row>
    <row r="76" spans="1:26" s="69" customFormat="1" ht="15" customHeight="1" outlineLevel="1" collapsed="1" x14ac:dyDescent="0.3">
      <c r="A76" s="20"/>
      <c r="B76" s="11" t="str">
        <f>CONCATENATE("     ","Subscriptions &amp; Dues                              ")</f>
        <v xml:space="preserve">     Subscriptions &amp; Dues                              </v>
      </c>
      <c r="C76" s="11"/>
      <c r="D76" s="2">
        <f>SUM(OSRRefD22_15x_0)</f>
        <v>1103.31</v>
      </c>
      <c r="E76" s="2"/>
      <c r="F76" s="5">
        <f t="shared" si="8"/>
        <v>0</v>
      </c>
      <c r="G76" s="2"/>
      <c r="H76" s="2">
        <f>SUM(OSRRefH22_15x_0)</f>
        <v>230</v>
      </c>
      <c r="I76" s="2"/>
      <c r="J76" s="5">
        <f t="shared" si="9"/>
        <v>0</v>
      </c>
      <c r="K76" s="2"/>
      <c r="L76" s="2">
        <f t="shared" si="10"/>
        <v>873.31</v>
      </c>
      <c r="M76" s="2"/>
      <c r="N76" s="5">
        <f t="shared" si="11"/>
        <v>3.7969999999999997</v>
      </c>
      <c r="O76" s="11"/>
      <c r="P76" s="2">
        <f>SUM(OSRRefP22_15x_0)</f>
        <v>9456.2100000000009</v>
      </c>
      <c r="Q76" s="2"/>
      <c r="R76" s="5">
        <f t="shared" si="12"/>
        <v>0</v>
      </c>
      <c r="S76" s="2"/>
      <c r="T76" s="2">
        <f>SUM(OSRRefT22_15x_0)</f>
        <v>10273</v>
      </c>
      <c r="U76" s="2"/>
      <c r="V76" s="5">
        <f t="shared" si="13"/>
        <v>0</v>
      </c>
      <c r="W76" s="2"/>
      <c r="X76" s="2">
        <f t="shared" si="14"/>
        <v>-816.78999999999905</v>
      </c>
      <c r="Y76" s="2"/>
      <c r="Z76" s="5">
        <f t="shared" si="15"/>
        <v>-7.950842013043892E-2</v>
      </c>
    </row>
    <row r="77" spans="1:26" s="70" customFormat="1" ht="15" hidden="1" customHeight="1" outlineLevel="2" x14ac:dyDescent="0.3">
      <c r="A77" s="21"/>
      <c r="B77" s="9" t="str">
        <f>CONCATENATE("          ","6258"," - ","MEMBERSHIP DUES")</f>
        <v xml:space="preserve">          6258 - MEMBERSHIP DUES</v>
      </c>
      <c r="C77" s="9"/>
      <c r="D77" s="6">
        <v>1103.31</v>
      </c>
      <c r="E77" s="3"/>
      <c r="F77" s="7">
        <f t="shared" si="8"/>
        <v>0</v>
      </c>
      <c r="G77" s="3"/>
      <c r="H77" s="6">
        <v>230</v>
      </c>
      <c r="I77" s="3"/>
      <c r="J77" s="7">
        <f t="shared" si="9"/>
        <v>0</v>
      </c>
      <c r="K77" s="3"/>
      <c r="L77" s="6">
        <f t="shared" si="10"/>
        <v>873.31</v>
      </c>
      <c r="M77" s="3"/>
      <c r="N77" s="7">
        <f t="shared" si="11"/>
        <v>3.7969999999999997</v>
      </c>
      <c r="O77" s="9"/>
      <c r="P77" s="6">
        <v>8177.31</v>
      </c>
      <c r="Q77" s="3"/>
      <c r="R77" s="7">
        <f t="shared" si="12"/>
        <v>0</v>
      </c>
      <c r="S77" s="3"/>
      <c r="T77" s="6">
        <v>9673</v>
      </c>
      <c r="U77" s="3"/>
      <c r="V77" s="7">
        <f t="shared" si="13"/>
        <v>0</v>
      </c>
      <c r="W77" s="3"/>
      <c r="X77" s="6">
        <f t="shared" si="14"/>
        <v>-1495.6899999999996</v>
      </c>
      <c r="Y77" s="3"/>
      <c r="Z77" s="7">
        <f t="shared" si="15"/>
        <v>-0.15462524552879145</v>
      </c>
    </row>
    <row r="78" spans="1:26" s="70" customFormat="1" ht="15" hidden="1" customHeight="1" outlineLevel="2" x14ac:dyDescent="0.3">
      <c r="A78" s="21"/>
      <c r="B78" s="9" t="str">
        <f>CONCATENATE("          ","6275"," - ","SUBSCRIPTIONS")</f>
        <v xml:space="preserve">          6275 - SUBSCRIPTIONS</v>
      </c>
      <c r="C78" s="9"/>
      <c r="D78" s="6"/>
      <c r="E78" s="3"/>
      <c r="F78" s="7">
        <f t="shared" si="8"/>
        <v>0</v>
      </c>
      <c r="G78" s="3"/>
      <c r="H78" s="6"/>
      <c r="I78" s="3"/>
      <c r="J78" s="7">
        <f t="shared" si="9"/>
        <v>0</v>
      </c>
      <c r="K78" s="3"/>
      <c r="L78" s="6">
        <f t="shared" si="10"/>
        <v>0</v>
      </c>
      <c r="M78" s="3"/>
      <c r="N78" s="7">
        <f t="shared" si="11"/>
        <v>0</v>
      </c>
      <c r="O78" s="9"/>
      <c r="P78" s="6">
        <v>1278.9000000000001</v>
      </c>
      <c r="Q78" s="3"/>
      <c r="R78" s="7">
        <f t="shared" si="12"/>
        <v>0</v>
      </c>
      <c r="S78" s="3"/>
      <c r="T78" s="6">
        <v>600</v>
      </c>
      <c r="U78" s="3"/>
      <c r="V78" s="7">
        <f t="shared" si="13"/>
        <v>0</v>
      </c>
      <c r="W78" s="3"/>
      <c r="X78" s="6">
        <f t="shared" si="14"/>
        <v>678.90000000000009</v>
      </c>
      <c r="Y78" s="3"/>
      <c r="Z78" s="7">
        <f t="shared" si="15"/>
        <v>1.1315000000000002</v>
      </c>
    </row>
    <row r="79" spans="1:26" s="69" customFormat="1" ht="15" customHeight="1" outlineLevel="1" collapsed="1" x14ac:dyDescent="0.3">
      <c r="A79" s="20"/>
      <c r="B79" s="11" t="str">
        <f>CONCATENATE("     ","Supplies                                          ")</f>
        <v xml:space="preserve">     Supplies                                          </v>
      </c>
      <c r="C79" s="11"/>
      <c r="D79" s="2">
        <f>SUM(OSRRefD22_16x_0)</f>
        <v>2396.1</v>
      </c>
      <c r="E79" s="2"/>
      <c r="F79" s="5">
        <f t="shared" si="8"/>
        <v>0</v>
      </c>
      <c r="G79" s="2"/>
      <c r="H79" s="2">
        <f>SUM(OSRRefH22_16x_0)</f>
        <v>2776</v>
      </c>
      <c r="I79" s="2"/>
      <c r="J79" s="5">
        <f t="shared" si="9"/>
        <v>0</v>
      </c>
      <c r="K79" s="2"/>
      <c r="L79" s="2">
        <f t="shared" si="10"/>
        <v>-379.90000000000009</v>
      </c>
      <c r="M79" s="2"/>
      <c r="N79" s="5">
        <f t="shared" si="11"/>
        <v>-0.13685158501440925</v>
      </c>
      <c r="O79" s="11"/>
      <c r="P79" s="2">
        <f>SUM(OSRRefP22_16x_0)</f>
        <v>48280.72</v>
      </c>
      <c r="Q79" s="2"/>
      <c r="R79" s="5">
        <f t="shared" si="12"/>
        <v>0</v>
      </c>
      <c r="S79" s="2"/>
      <c r="T79" s="2">
        <f>SUM(OSRRefT22_16x_0)</f>
        <v>38400</v>
      </c>
      <c r="U79" s="2"/>
      <c r="V79" s="5">
        <f t="shared" si="13"/>
        <v>0</v>
      </c>
      <c r="W79" s="2"/>
      <c r="X79" s="2">
        <f t="shared" si="14"/>
        <v>9880.7200000000012</v>
      </c>
      <c r="Y79" s="2"/>
      <c r="Z79" s="5">
        <f t="shared" si="15"/>
        <v>0.25731041666666671</v>
      </c>
    </row>
    <row r="80" spans="1:26" s="70" customFormat="1" ht="15" hidden="1" customHeight="1" outlineLevel="2" x14ac:dyDescent="0.3">
      <c r="A80" s="21"/>
      <c r="B80" s="9" t="str">
        <f>CONCATENATE("          ","6234"," - ","EXPENDABLE SUPPLIES &amp; EQUIPMEN")</f>
        <v xml:space="preserve">          6234 - EXPENDABLE SUPPLIES &amp; EQUIPMEN</v>
      </c>
      <c r="C80" s="9"/>
      <c r="D80" s="6"/>
      <c r="E80" s="3"/>
      <c r="F80" s="7">
        <f t="shared" si="8"/>
        <v>0</v>
      </c>
      <c r="G80" s="3"/>
      <c r="H80" s="6">
        <v>125</v>
      </c>
      <c r="I80" s="3"/>
      <c r="J80" s="7">
        <f t="shared" si="9"/>
        <v>0</v>
      </c>
      <c r="K80" s="3"/>
      <c r="L80" s="6">
        <f t="shared" si="10"/>
        <v>-125</v>
      </c>
      <c r="M80" s="3"/>
      <c r="N80" s="7">
        <f t="shared" si="11"/>
        <v>-1</v>
      </c>
      <c r="O80" s="9"/>
      <c r="P80" s="6">
        <v>2895.51</v>
      </c>
      <c r="Q80" s="3"/>
      <c r="R80" s="7">
        <f t="shared" si="12"/>
        <v>0</v>
      </c>
      <c r="S80" s="3"/>
      <c r="T80" s="6">
        <v>1500</v>
      </c>
      <c r="U80" s="3"/>
      <c r="V80" s="7">
        <f t="shared" si="13"/>
        <v>0</v>
      </c>
      <c r="W80" s="3"/>
      <c r="X80" s="6">
        <f t="shared" si="14"/>
        <v>1395.5100000000002</v>
      </c>
      <c r="Y80" s="3"/>
      <c r="Z80" s="7">
        <f t="shared" si="15"/>
        <v>0.93034000000000017</v>
      </c>
    </row>
    <row r="81" spans="1:26" s="70" customFormat="1" ht="15" hidden="1" customHeight="1" outlineLevel="2" x14ac:dyDescent="0.3">
      <c r="A81" s="21"/>
      <c r="B81" s="9" t="str">
        <f>CONCATENATE("          ","6235"," - ","COVID-19 EXPENSES")</f>
        <v xml:space="preserve">          6235 - COVID-19 EXPENSES</v>
      </c>
      <c r="C81" s="9"/>
      <c r="D81" s="6"/>
      <c r="E81" s="3"/>
      <c r="F81" s="7">
        <f t="shared" si="8"/>
        <v>0</v>
      </c>
      <c r="G81" s="3"/>
      <c r="H81" s="6"/>
      <c r="I81" s="3"/>
      <c r="J81" s="7">
        <f t="shared" si="9"/>
        <v>0</v>
      </c>
      <c r="K81" s="3"/>
      <c r="L81" s="6">
        <f t="shared" si="10"/>
        <v>0</v>
      </c>
      <c r="M81" s="3"/>
      <c r="N81" s="7">
        <f t="shared" si="11"/>
        <v>0</v>
      </c>
      <c r="O81" s="9"/>
      <c r="P81" s="6">
        <v>2636.13</v>
      </c>
      <c r="Q81" s="3"/>
      <c r="R81" s="7">
        <f t="shared" si="12"/>
        <v>0</v>
      </c>
      <c r="S81" s="3"/>
      <c r="T81" s="6"/>
      <c r="U81" s="3"/>
      <c r="V81" s="7">
        <f t="shared" si="13"/>
        <v>0</v>
      </c>
      <c r="W81" s="3"/>
      <c r="X81" s="6">
        <f t="shared" si="14"/>
        <v>2636.13</v>
      </c>
      <c r="Y81" s="3"/>
      <c r="Z81" s="7">
        <f t="shared" si="15"/>
        <v>0</v>
      </c>
    </row>
    <row r="82" spans="1:26" s="70" customFormat="1" ht="15" hidden="1" customHeight="1" outlineLevel="2" x14ac:dyDescent="0.3">
      <c r="A82" s="21"/>
      <c r="B82" s="9" t="str">
        <f>CONCATENATE("          ","6241"," - ","OFFICE EXPENSE")</f>
        <v xml:space="preserve">          6241 - OFFICE EXPENSE</v>
      </c>
      <c r="C82" s="9"/>
      <c r="D82" s="6">
        <v>2371.1</v>
      </c>
      <c r="E82" s="3"/>
      <c r="F82" s="7">
        <f t="shared" ref="F82:F93" si="16">IF(D$12=0,0,D82/D$12)</f>
        <v>0</v>
      </c>
      <c r="G82" s="3"/>
      <c r="H82" s="6">
        <v>2238</v>
      </c>
      <c r="I82" s="3"/>
      <c r="J82" s="7">
        <f t="shared" ref="J82:J93" si="17">IF(H$12=0,0,H82/H$12)</f>
        <v>0</v>
      </c>
      <c r="K82" s="3"/>
      <c r="L82" s="6">
        <f t="shared" ref="L82:L93" si="18">+D82-H82</f>
        <v>133.09999999999991</v>
      </c>
      <c r="M82" s="3"/>
      <c r="N82" s="7">
        <f t="shared" ref="N82:N93" si="19">IF(H82=0,0,L82/H82)</f>
        <v>5.9472743521000855E-2</v>
      </c>
      <c r="O82" s="9"/>
      <c r="P82" s="6">
        <v>29624.29</v>
      </c>
      <c r="Q82" s="3"/>
      <c r="R82" s="7">
        <f t="shared" ref="R82:R93" si="20">IF(P$12=0,0,P82/P$12)</f>
        <v>0</v>
      </c>
      <c r="S82" s="3"/>
      <c r="T82" s="6">
        <v>26900</v>
      </c>
      <c r="U82" s="3"/>
      <c r="V82" s="7">
        <f t="shared" ref="V82:V93" si="21">IF(T$12=0,0,T82/T$12)</f>
        <v>0</v>
      </c>
      <c r="W82" s="3"/>
      <c r="X82" s="6">
        <f t="shared" ref="X82:X93" si="22">+P82-T82</f>
        <v>2724.2900000000009</v>
      </c>
      <c r="Y82" s="3"/>
      <c r="Z82" s="7">
        <f t="shared" ref="Z82:Z93" si="23">IF(T82=0,0,X82/T82)</f>
        <v>0.1012747211895911</v>
      </c>
    </row>
    <row r="83" spans="1:26" s="70" customFormat="1" ht="15" hidden="1" customHeight="1" outlineLevel="2" x14ac:dyDescent="0.3">
      <c r="A83" s="21"/>
      <c r="B83" s="9" t="str">
        <f>CONCATENATE("          ","6244"," - ","SAFETY SUPPLY EXPENSE")</f>
        <v xml:space="preserve">          6244 - SAFETY SUPPLY EXPENSE</v>
      </c>
      <c r="C83" s="9"/>
      <c r="D83" s="6">
        <v>25</v>
      </c>
      <c r="E83" s="3"/>
      <c r="F83" s="7">
        <f t="shared" si="16"/>
        <v>0</v>
      </c>
      <c r="G83" s="3"/>
      <c r="H83" s="6">
        <v>413</v>
      </c>
      <c r="I83" s="3"/>
      <c r="J83" s="7">
        <f t="shared" si="17"/>
        <v>0</v>
      </c>
      <c r="K83" s="3"/>
      <c r="L83" s="6">
        <f t="shared" si="18"/>
        <v>-388</v>
      </c>
      <c r="M83" s="3"/>
      <c r="N83" s="7">
        <f t="shared" si="19"/>
        <v>-0.93946731234866832</v>
      </c>
      <c r="O83" s="9"/>
      <c r="P83" s="6">
        <v>1278.6300000000001</v>
      </c>
      <c r="Q83" s="3"/>
      <c r="R83" s="7">
        <f t="shared" si="20"/>
        <v>0</v>
      </c>
      <c r="S83" s="3"/>
      <c r="T83" s="6">
        <v>5000</v>
      </c>
      <c r="U83" s="3"/>
      <c r="V83" s="7">
        <f t="shared" si="21"/>
        <v>0</v>
      </c>
      <c r="W83" s="3"/>
      <c r="X83" s="6">
        <f t="shared" si="22"/>
        <v>-3721.37</v>
      </c>
      <c r="Y83" s="3"/>
      <c r="Z83" s="7">
        <f t="shared" si="23"/>
        <v>-0.74427399999999999</v>
      </c>
    </row>
    <row r="84" spans="1:26" s="70" customFormat="1" ht="15" hidden="1" customHeight="1" outlineLevel="2" x14ac:dyDescent="0.3">
      <c r="A84" s="21"/>
      <c r="B84" s="9" t="str">
        <f>CONCATENATE("          ","6247"," - ","STORE SUPPLIES")</f>
        <v xml:space="preserve">          6247 - STORE SUPPLIES</v>
      </c>
      <c r="C84" s="9"/>
      <c r="D84" s="6"/>
      <c r="E84" s="3"/>
      <c r="F84" s="7">
        <f t="shared" si="16"/>
        <v>0</v>
      </c>
      <c r="G84" s="3"/>
      <c r="H84" s="6"/>
      <c r="I84" s="3"/>
      <c r="J84" s="7">
        <f t="shared" si="17"/>
        <v>0</v>
      </c>
      <c r="K84" s="3"/>
      <c r="L84" s="6">
        <f t="shared" si="18"/>
        <v>0</v>
      </c>
      <c r="M84" s="3"/>
      <c r="N84" s="7">
        <f t="shared" si="19"/>
        <v>0</v>
      </c>
      <c r="O84" s="9"/>
      <c r="P84" s="6"/>
      <c r="Q84" s="3"/>
      <c r="R84" s="7">
        <f t="shared" si="20"/>
        <v>0</v>
      </c>
      <c r="S84" s="3"/>
      <c r="T84" s="6">
        <v>5000</v>
      </c>
      <c r="U84" s="3"/>
      <c r="V84" s="7">
        <f t="shared" si="21"/>
        <v>0</v>
      </c>
      <c r="W84" s="3"/>
      <c r="X84" s="6">
        <f t="shared" si="22"/>
        <v>-5000</v>
      </c>
      <c r="Y84" s="3"/>
      <c r="Z84" s="7">
        <f t="shared" si="23"/>
        <v>-1</v>
      </c>
    </row>
    <row r="85" spans="1:26" s="70" customFormat="1" ht="15" hidden="1" customHeight="1" outlineLevel="2" x14ac:dyDescent="0.3">
      <c r="A85" s="21"/>
      <c r="B85" s="9" t="str">
        <f>CONCATENATE("          ","6248"," - ","UNIFORMS")</f>
        <v xml:space="preserve">          6248 - UNIFORMS</v>
      </c>
      <c r="C85" s="9"/>
      <c r="D85" s="6"/>
      <c r="E85" s="3"/>
      <c r="F85" s="7">
        <f t="shared" si="16"/>
        <v>0</v>
      </c>
      <c r="G85" s="3"/>
      <c r="H85" s="6"/>
      <c r="I85" s="3"/>
      <c r="J85" s="7">
        <f t="shared" si="17"/>
        <v>0</v>
      </c>
      <c r="K85" s="3"/>
      <c r="L85" s="6">
        <f t="shared" si="18"/>
        <v>0</v>
      </c>
      <c r="M85" s="3"/>
      <c r="N85" s="7">
        <f t="shared" si="19"/>
        <v>0</v>
      </c>
      <c r="O85" s="9"/>
      <c r="P85" s="6">
        <v>11846.16</v>
      </c>
      <c r="Q85" s="3"/>
      <c r="R85" s="7">
        <f t="shared" si="20"/>
        <v>0</v>
      </c>
      <c r="S85" s="3"/>
      <c r="T85" s="6"/>
      <c r="U85" s="3"/>
      <c r="V85" s="7">
        <f t="shared" si="21"/>
        <v>0</v>
      </c>
      <c r="W85" s="3"/>
      <c r="X85" s="6">
        <f t="shared" si="22"/>
        <v>11846.16</v>
      </c>
      <c r="Y85" s="3"/>
      <c r="Z85" s="7">
        <f t="shared" si="23"/>
        <v>0</v>
      </c>
    </row>
    <row r="86" spans="1:26" s="69" customFormat="1" ht="15" customHeight="1" outlineLevel="1" collapsed="1" x14ac:dyDescent="0.3">
      <c r="A86" s="20"/>
      <c r="B86" s="11" t="str">
        <f>CONCATENATE("     ","Telephone/Data Lines                              ")</f>
        <v xml:space="preserve">     Telephone/Data Lines                              </v>
      </c>
      <c r="C86" s="11"/>
      <c r="D86" s="2">
        <f>SUM(OSRRefD22_17x_0)</f>
        <v>1546.5</v>
      </c>
      <c r="E86" s="2"/>
      <c r="F86" s="5">
        <f t="shared" si="16"/>
        <v>0</v>
      </c>
      <c r="G86" s="2"/>
      <c r="H86" s="2">
        <f>SUM(OSRRefH22_17x_0)</f>
        <v>1885</v>
      </c>
      <c r="I86" s="2"/>
      <c r="J86" s="5">
        <f t="shared" si="17"/>
        <v>0</v>
      </c>
      <c r="K86" s="2"/>
      <c r="L86" s="2">
        <f t="shared" si="18"/>
        <v>-338.5</v>
      </c>
      <c r="M86" s="2"/>
      <c r="N86" s="5">
        <f t="shared" si="19"/>
        <v>-0.17957559681697613</v>
      </c>
      <c r="O86" s="11"/>
      <c r="P86" s="2">
        <f>SUM(OSRRefP22_17x_0)</f>
        <v>27816.33</v>
      </c>
      <c r="Q86" s="2"/>
      <c r="R86" s="5">
        <f t="shared" si="20"/>
        <v>0</v>
      </c>
      <c r="S86" s="2"/>
      <c r="T86" s="2">
        <f>SUM(OSRRefT22_17x_0)</f>
        <v>21840</v>
      </c>
      <c r="U86" s="2"/>
      <c r="V86" s="5">
        <f t="shared" si="21"/>
        <v>0</v>
      </c>
      <c r="W86" s="2"/>
      <c r="X86" s="2">
        <f t="shared" si="22"/>
        <v>5976.3300000000017</v>
      </c>
      <c r="Y86" s="2"/>
      <c r="Z86" s="5">
        <f t="shared" si="23"/>
        <v>0.2736414835164836</v>
      </c>
    </row>
    <row r="87" spans="1:26" s="70" customFormat="1" ht="15" hidden="1" customHeight="1" outlineLevel="2" x14ac:dyDescent="0.3">
      <c r="A87" s="21"/>
      <c r="B87" s="9" t="str">
        <f>CONCATENATE("          ","6303"," - ","DATA PHONE LINES")</f>
        <v xml:space="preserve">          6303 - DATA PHONE LINES</v>
      </c>
      <c r="C87" s="9"/>
      <c r="D87" s="6">
        <v>271.97000000000003</v>
      </c>
      <c r="E87" s="3"/>
      <c r="F87" s="7">
        <f t="shared" si="16"/>
        <v>0</v>
      </c>
      <c r="G87" s="3"/>
      <c r="H87" s="6">
        <v>316</v>
      </c>
      <c r="I87" s="3"/>
      <c r="J87" s="7">
        <f t="shared" si="17"/>
        <v>0</v>
      </c>
      <c r="K87" s="3"/>
      <c r="L87" s="6">
        <f t="shared" si="18"/>
        <v>-44.029999999999973</v>
      </c>
      <c r="M87" s="3"/>
      <c r="N87" s="7">
        <f t="shared" si="19"/>
        <v>-0.1393354430379746</v>
      </c>
      <c r="O87" s="9"/>
      <c r="P87" s="6">
        <v>2139.7399999999998</v>
      </c>
      <c r="Q87" s="3"/>
      <c r="R87" s="7">
        <f t="shared" si="20"/>
        <v>0</v>
      </c>
      <c r="S87" s="3"/>
      <c r="T87" s="6">
        <v>3012</v>
      </c>
      <c r="U87" s="3"/>
      <c r="V87" s="7">
        <f t="shared" si="21"/>
        <v>0</v>
      </c>
      <c r="W87" s="3"/>
      <c r="X87" s="6">
        <f t="shared" si="22"/>
        <v>-872.26000000000022</v>
      </c>
      <c r="Y87" s="3"/>
      <c r="Z87" s="7">
        <f t="shared" si="23"/>
        <v>-0.2895949535192564</v>
      </c>
    </row>
    <row r="88" spans="1:26" s="70" customFormat="1" ht="15" hidden="1" customHeight="1" outlineLevel="2" x14ac:dyDescent="0.3">
      <c r="A88" s="21"/>
      <c r="B88" s="9" t="str">
        <f>CONCATENATE("          ","6309"," - ","TELEPHONE")</f>
        <v xml:space="preserve">          6309 - TELEPHONE</v>
      </c>
      <c r="C88" s="9"/>
      <c r="D88" s="6">
        <v>1274.53</v>
      </c>
      <c r="E88" s="3"/>
      <c r="F88" s="7">
        <f t="shared" si="16"/>
        <v>0</v>
      </c>
      <c r="G88" s="3"/>
      <c r="H88" s="6">
        <v>1569</v>
      </c>
      <c r="I88" s="3"/>
      <c r="J88" s="7">
        <f t="shared" si="17"/>
        <v>0</v>
      </c>
      <c r="K88" s="3"/>
      <c r="L88" s="6">
        <f t="shared" si="18"/>
        <v>-294.47000000000003</v>
      </c>
      <c r="M88" s="3"/>
      <c r="N88" s="7">
        <f t="shared" si="19"/>
        <v>-0.1876800509878904</v>
      </c>
      <c r="O88" s="9"/>
      <c r="P88" s="6">
        <v>25676.59</v>
      </c>
      <c r="Q88" s="3"/>
      <c r="R88" s="7">
        <f t="shared" si="20"/>
        <v>0</v>
      </c>
      <c r="S88" s="3"/>
      <c r="T88" s="6">
        <v>18828</v>
      </c>
      <c r="U88" s="3"/>
      <c r="V88" s="7">
        <f t="shared" si="21"/>
        <v>0</v>
      </c>
      <c r="W88" s="3"/>
      <c r="X88" s="6">
        <f t="shared" si="22"/>
        <v>6848.59</v>
      </c>
      <c r="Y88" s="3"/>
      <c r="Z88" s="7">
        <f t="shared" si="23"/>
        <v>0.36374495432334819</v>
      </c>
    </row>
    <row r="89" spans="1:26" s="69" customFormat="1" ht="15" customHeight="1" outlineLevel="1" collapsed="1" x14ac:dyDescent="0.3">
      <c r="A89" s="20"/>
      <c r="B89" s="11" t="str">
        <f>CONCATENATE("     ","Training                                          ")</f>
        <v xml:space="preserve">     Training                                          </v>
      </c>
      <c r="C89" s="11"/>
      <c r="D89" s="2">
        <f>SUM(OSRRefD22_18x_0)</f>
        <v>2103.9899999999998</v>
      </c>
      <c r="E89" s="2"/>
      <c r="F89" s="5">
        <f t="shared" si="16"/>
        <v>0</v>
      </c>
      <c r="G89" s="2"/>
      <c r="H89" s="2">
        <f>SUM(OSRRefH22_18x_0)</f>
        <v>337</v>
      </c>
      <c r="I89" s="2"/>
      <c r="J89" s="5">
        <f t="shared" si="17"/>
        <v>0</v>
      </c>
      <c r="K89" s="2"/>
      <c r="L89" s="2">
        <f t="shared" si="18"/>
        <v>1766.9899999999998</v>
      </c>
      <c r="M89" s="2"/>
      <c r="N89" s="5">
        <f t="shared" si="19"/>
        <v>5.2432937685459935</v>
      </c>
      <c r="O89" s="11"/>
      <c r="P89" s="2">
        <f>SUM(OSRRefP22_18x_0)</f>
        <v>3911.98</v>
      </c>
      <c r="Q89" s="2"/>
      <c r="R89" s="5">
        <f t="shared" si="20"/>
        <v>0</v>
      </c>
      <c r="S89" s="2"/>
      <c r="T89" s="2">
        <f>SUM(OSRRefT22_18x_0)</f>
        <v>12050</v>
      </c>
      <c r="U89" s="2"/>
      <c r="V89" s="5">
        <f t="shared" si="21"/>
        <v>0</v>
      </c>
      <c r="W89" s="2"/>
      <c r="X89" s="2">
        <f t="shared" si="22"/>
        <v>-8138.02</v>
      </c>
      <c r="Y89" s="2"/>
      <c r="Z89" s="5">
        <f t="shared" si="23"/>
        <v>-0.67535435684647305</v>
      </c>
    </row>
    <row r="90" spans="1:26" s="70" customFormat="1" ht="15" hidden="1" customHeight="1" outlineLevel="2" x14ac:dyDescent="0.3">
      <c r="A90" s="21"/>
      <c r="B90" s="9" t="str">
        <f>CONCATENATE("          ","6376"," - ","TRAINING")</f>
        <v xml:space="preserve">          6376 - TRAINING</v>
      </c>
      <c r="C90" s="9"/>
      <c r="D90" s="6">
        <v>2103.9899999999998</v>
      </c>
      <c r="E90" s="3"/>
      <c r="F90" s="7">
        <f t="shared" si="16"/>
        <v>0</v>
      </c>
      <c r="G90" s="3"/>
      <c r="H90" s="6">
        <v>337</v>
      </c>
      <c r="I90" s="3"/>
      <c r="J90" s="7">
        <f t="shared" si="17"/>
        <v>0</v>
      </c>
      <c r="K90" s="3"/>
      <c r="L90" s="6">
        <f t="shared" si="18"/>
        <v>1766.9899999999998</v>
      </c>
      <c r="M90" s="3"/>
      <c r="N90" s="7">
        <f t="shared" si="19"/>
        <v>5.2432937685459935</v>
      </c>
      <c r="O90" s="9"/>
      <c r="P90" s="6">
        <v>3911.98</v>
      </c>
      <c r="Q90" s="3"/>
      <c r="R90" s="7">
        <f t="shared" si="20"/>
        <v>0</v>
      </c>
      <c r="S90" s="3"/>
      <c r="T90" s="6">
        <v>12050</v>
      </c>
      <c r="U90" s="3"/>
      <c r="V90" s="7">
        <f t="shared" si="21"/>
        <v>0</v>
      </c>
      <c r="W90" s="3"/>
      <c r="X90" s="6">
        <f t="shared" si="22"/>
        <v>-8138.02</v>
      </c>
      <c r="Y90" s="3"/>
      <c r="Z90" s="7">
        <f t="shared" si="23"/>
        <v>-0.67535435684647305</v>
      </c>
    </row>
    <row r="91" spans="1:26" s="69" customFormat="1" ht="15" customHeight="1" outlineLevel="1" collapsed="1" x14ac:dyDescent="0.3">
      <c r="A91" s="20"/>
      <c r="B91" s="11" t="str">
        <f>CONCATENATE("     ","Travel                                            ")</f>
        <v xml:space="preserve">     Travel                                            </v>
      </c>
      <c r="C91" s="11"/>
      <c r="D91" s="2">
        <f>SUM(OSRRefD22_19x_0)</f>
        <v>0</v>
      </c>
      <c r="E91" s="2"/>
      <c r="F91" s="5">
        <f t="shared" si="16"/>
        <v>0</v>
      </c>
      <c r="G91" s="2"/>
      <c r="H91" s="2">
        <f>SUM(OSRRefH22_19x_0)</f>
        <v>0</v>
      </c>
      <c r="I91" s="2"/>
      <c r="J91" s="5">
        <f t="shared" si="17"/>
        <v>0</v>
      </c>
      <c r="K91" s="2"/>
      <c r="L91" s="2">
        <f t="shared" si="18"/>
        <v>0</v>
      </c>
      <c r="M91" s="2"/>
      <c r="N91" s="5">
        <f t="shared" si="19"/>
        <v>0</v>
      </c>
      <c r="O91" s="11"/>
      <c r="P91" s="2">
        <f>SUM(OSRRefP22_19x_0)</f>
        <v>30.4</v>
      </c>
      <c r="Q91" s="2"/>
      <c r="R91" s="5">
        <f t="shared" si="20"/>
        <v>0</v>
      </c>
      <c r="S91" s="2"/>
      <c r="T91" s="2">
        <f>SUM(OSRRefT22_19x_0)</f>
        <v>7720</v>
      </c>
      <c r="U91" s="2"/>
      <c r="V91" s="5">
        <f t="shared" si="21"/>
        <v>0</v>
      </c>
      <c r="W91" s="2"/>
      <c r="X91" s="2">
        <f t="shared" si="22"/>
        <v>-7689.6</v>
      </c>
      <c r="Y91" s="2"/>
      <c r="Z91" s="5">
        <f t="shared" si="23"/>
        <v>-0.99606217616580317</v>
      </c>
    </row>
    <row r="92" spans="1:26" s="70" customFormat="1" ht="15" hidden="1" customHeight="1" outlineLevel="2" x14ac:dyDescent="0.3">
      <c r="A92" s="21"/>
      <c r="B92" s="9" t="str">
        <f>CONCATENATE("          ","6292"," - ","TRAVEL/CONFERENCE")</f>
        <v xml:space="preserve">          6292 - TRAVEL/CONFERENCE</v>
      </c>
      <c r="C92" s="9"/>
      <c r="D92" s="6"/>
      <c r="E92" s="3"/>
      <c r="F92" s="7">
        <f t="shared" si="16"/>
        <v>0</v>
      </c>
      <c r="G92" s="3"/>
      <c r="H92" s="6"/>
      <c r="I92" s="3"/>
      <c r="J92" s="7">
        <f t="shared" si="17"/>
        <v>0</v>
      </c>
      <c r="K92" s="3"/>
      <c r="L92" s="6">
        <f t="shared" si="18"/>
        <v>0</v>
      </c>
      <c r="M92" s="3"/>
      <c r="N92" s="7">
        <f t="shared" si="19"/>
        <v>0</v>
      </c>
      <c r="O92" s="9"/>
      <c r="P92" s="6">
        <v>0</v>
      </c>
      <c r="Q92" s="3"/>
      <c r="R92" s="7">
        <f t="shared" si="20"/>
        <v>0</v>
      </c>
      <c r="S92" s="3"/>
      <c r="T92" s="6">
        <v>6220</v>
      </c>
      <c r="U92" s="3"/>
      <c r="V92" s="7">
        <f t="shared" si="21"/>
        <v>0</v>
      </c>
      <c r="W92" s="3"/>
      <c r="X92" s="6">
        <f t="shared" si="22"/>
        <v>-6220</v>
      </c>
      <c r="Y92" s="3"/>
      <c r="Z92" s="7">
        <f t="shared" si="23"/>
        <v>-1</v>
      </c>
    </row>
    <row r="93" spans="1:26" s="70" customFormat="1" ht="15" hidden="1" customHeight="1" outlineLevel="2" x14ac:dyDescent="0.3">
      <c r="A93" s="21"/>
      <c r="B93" s="9" t="str">
        <f>CONCATENATE("          ","6294"," - ","TRAVEL OPERATIONAL")</f>
        <v xml:space="preserve">          6294 - TRAVEL OPERATIONAL</v>
      </c>
      <c r="C93" s="9"/>
      <c r="D93" s="6"/>
      <c r="E93" s="3"/>
      <c r="F93" s="7">
        <f t="shared" si="16"/>
        <v>0</v>
      </c>
      <c r="G93" s="3"/>
      <c r="H93" s="6"/>
      <c r="I93" s="3"/>
      <c r="J93" s="7">
        <f t="shared" si="17"/>
        <v>0</v>
      </c>
      <c r="K93" s="3"/>
      <c r="L93" s="6">
        <f t="shared" si="18"/>
        <v>0</v>
      </c>
      <c r="M93" s="3"/>
      <c r="N93" s="7">
        <f t="shared" si="19"/>
        <v>0</v>
      </c>
      <c r="O93" s="9"/>
      <c r="P93" s="6">
        <v>30.4</v>
      </c>
      <c r="Q93" s="3"/>
      <c r="R93" s="7">
        <f t="shared" si="20"/>
        <v>0</v>
      </c>
      <c r="S93" s="3"/>
      <c r="T93" s="6">
        <v>1500</v>
      </c>
      <c r="U93" s="3"/>
      <c r="V93" s="7">
        <f t="shared" si="21"/>
        <v>0</v>
      </c>
      <c r="W93" s="3"/>
      <c r="X93" s="6">
        <f t="shared" si="22"/>
        <v>-1469.6</v>
      </c>
      <c r="Y93" s="3"/>
      <c r="Z93" s="7">
        <f t="shared" si="23"/>
        <v>-0.97973333333333323</v>
      </c>
    </row>
    <row r="94" spans="1:26" s="65" customFormat="1" ht="15" customHeight="1" x14ac:dyDescent="0.3">
      <c r="A94" s="36"/>
      <c r="B94" s="36"/>
      <c r="C94" s="36"/>
      <c r="D94" s="2"/>
      <c r="E94" s="2"/>
      <c r="F94" s="5"/>
      <c r="G94" s="2"/>
      <c r="H94" s="2"/>
      <c r="I94" s="2"/>
      <c r="J94" s="5"/>
      <c r="K94" s="2"/>
      <c r="L94" s="2"/>
      <c r="M94" s="2"/>
      <c r="N94" s="5"/>
      <c r="O94" s="36"/>
      <c r="P94" s="2"/>
      <c r="Q94" s="2"/>
      <c r="R94" s="5"/>
      <c r="S94" s="2"/>
      <c r="T94" s="2"/>
      <c r="U94" s="2"/>
      <c r="V94" s="5"/>
      <c r="W94" s="2"/>
      <c r="X94" s="2"/>
      <c r="Y94" s="2"/>
      <c r="Z94" s="5"/>
    </row>
    <row r="95" spans="1:26" s="63" customFormat="1" ht="15" customHeight="1" x14ac:dyDescent="0.3">
      <c r="A95" s="13"/>
      <c r="B95" s="28" t="s">
        <v>291</v>
      </c>
      <c r="C95" s="13"/>
      <c r="D95" s="8">
        <f>SUM(0)</f>
        <v>0</v>
      </c>
      <c r="E95" s="8"/>
      <c r="F95" s="14">
        <f>IF(D$12=0,0,D95/D$12)</f>
        <v>0</v>
      </c>
      <c r="G95" s="8"/>
      <c r="H95" s="8">
        <f>SUM(0)</f>
        <v>0</v>
      </c>
      <c r="I95" s="8"/>
      <c r="J95" s="14">
        <f>IF(H$12=0,0,H95/H$12)</f>
        <v>0</v>
      </c>
      <c r="K95" s="8"/>
      <c r="L95" s="8">
        <f>+D95-H95</f>
        <v>0</v>
      </c>
      <c r="M95" s="8"/>
      <c r="N95" s="14">
        <f>IF(H95=0,0,L95/H95)</f>
        <v>0</v>
      </c>
      <c r="O95" s="13"/>
      <c r="P95" s="8">
        <f>SUM(0)</f>
        <v>0</v>
      </c>
      <c r="Q95" s="8"/>
      <c r="R95" s="14">
        <f>IF(P$12=0,0,P95/P$12)</f>
        <v>0</v>
      </c>
      <c r="S95" s="8"/>
      <c r="T95" s="8">
        <f>SUM(0)</f>
        <v>0</v>
      </c>
      <c r="U95" s="8"/>
      <c r="V95" s="14">
        <f>IF(T$12=0,0,T95/T$12)</f>
        <v>0</v>
      </c>
      <c r="W95" s="8"/>
      <c r="X95" s="8">
        <f>+P95-T95</f>
        <v>0</v>
      </c>
      <c r="Y95" s="8"/>
      <c r="Z95" s="14">
        <f>IF(T95=0,0,X95/T95)</f>
        <v>0</v>
      </c>
    </row>
    <row r="96" spans="1:26" ht="15" customHeight="1" x14ac:dyDescent="0.3">
      <c r="A96" s="12"/>
      <c r="B96" s="13"/>
      <c r="C96" s="13"/>
      <c r="D96" s="4"/>
      <c r="E96" s="4"/>
      <c r="F96" s="10"/>
      <c r="G96" s="4"/>
      <c r="H96" s="4"/>
      <c r="I96" s="4"/>
      <c r="J96" s="10"/>
      <c r="K96" s="4"/>
      <c r="L96" s="4"/>
      <c r="M96" s="4"/>
      <c r="N96" s="10"/>
      <c r="O96" s="13"/>
      <c r="P96" s="4"/>
      <c r="Q96" s="4"/>
      <c r="R96" s="10"/>
      <c r="S96" s="4"/>
      <c r="T96" s="4"/>
      <c r="U96" s="4"/>
      <c r="V96" s="10"/>
      <c r="W96" s="4"/>
      <c r="X96" s="4"/>
      <c r="Y96" s="4"/>
      <c r="Z96" s="10"/>
    </row>
    <row r="97" spans="1:26" s="63" customFormat="1" ht="15" customHeight="1" x14ac:dyDescent="0.3">
      <c r="A97" s="13"/>
      <c r="B97" s="27" t="s">
        <v>292</v>
      </c>
      <c r="C97" s="27"/>
      <c r="D97" s="23">
        <f>+D16-D18+D95</f>
        <v>5588405.4200000027</v>
      </c>
      <c r="E97" s="15"/>
      <c r="F97" s="22">
        <f>IF(D$12=0,0,D97/D$12)</f>
        <v>0</v>
      </c>
      <c r="G97" s="15"/>
      <c r="H97" s="23">
        <f>+H16-H18+H95</f>
        <v>215603.10673616</v>
      </c>
      <c r="I97" s="15"/>
      <c r="J97" s="22">
        <f>IF(H$12=0,0,H97/H$12)</f>
        <v>0</v>
      </c>
      <c r="K97" s="17"/>
      <c r="L97" s="23">
        <f>+D97-H97</f>
        <v>5372802.3132638428</v>
      </c>
      <c r="M97" s="17"/>
      <c r="N97" s="22">
        <f>IF(H97=0,0,L97/H97)</f>
        <v>24.919874275460707</v>
      </c>
      <c r="O97" s="28"/>
      <c r="P97" s="23">
        <f>+P16-P18+P95</f>
        <v>2882939.4799999995</v>
      </c>
      <c r="Q97" s="15"/>
      <c r="R97" s="22">
        <f>IF(P$12=0,0,P97/P$12)</f>
        <v>0</v>
      </c>
      <c r="S97" s="15"/>
      <c r="T97" s="23">
        <f>+T16-T18+T95</f>
        <v>-2640336.0192823811</v>
      </c>
      <c r="U97" s="15"/>
      <c r="V97" s="22">
        <f>IF(T$12=0,0,T97/T$12)</f>
        <v>0</v>
      </c>
      <c r="W97" s="17"/>
      <c r="X97" s="23">
        <f>+P97-T97</f>
        <v>5523275.4992823806</v>
      </c>
      <c r="Y97" s="17"/>
      <c r="Z97" s="22">
        <f>IF(T97=0,0,X97/T97)</f>
        <v>-2.0918835553300354</v>
      </c>
    </row>
    <row r="98" spans="1:26" ht="15" customHeight="1" x14ac:dyDescent="0.3">
      <c r="A98" s="12"/>
      <c r="B98" s="13"/>
      <c r="C98" s="12"/>
      <c r="D98" s="4"/>
      <c r="E98" s="4"/>
      <c r="F98" s="10"/>
      <c r="G98" s="4"/>
      <c r="H98" s="4"/>
      <c r="I98" s="4"/>
      <c r="J98" s="10"/>
      <c r="K98" s="4"/>
      <c r="L98" s="4"/>
      <c r="M98" s="4"/>
      <c r="N98" s="10"/>
      <c r="P98" s="4"/>
      <c r="Q98" s="4"/>
      <c r="R98" s="10"/>
      <c r="S98" s="4"/>
      <c r="T98" s="4"/>
      <c r="U98" s="4"/>
      <c r="V98" s="10"/>
      <c r="W98" s="4"/>
      <c r="X98" s="4"/>
      <c r="Y98" s="4"/>
      <c r="Z98" s="10"/>
    </row>
    <row r="99" spans="1:26" s="63" customFormat="1" ht="15" customHeight="1" x14ac:dyDescent="0.3">
      <c r="A99" s="49"/>
      <c r="B99" s="13" t="s">
        <v>293</v>
      </c>
      <c r="C99" s="13"/>
      <c r="D99" s="8"/>
      <c r="E99" s="8"/>
      <c r="F99" s="14">
        <f>IF(D$12=0,0,D99/D$12)</f>
        <v>0</v>
      </c>
      <c r="G99" s="8"/>
      <c r="H99" s="8"/>
      <c r="I99" s="8"/>
      <c r="J99" s="14">
        <f>IF(H$12=0,0,H99/H$12)</f>
        <v>0</v>
      </c>
      <c r="K99" s="8"/>
      <c r="L99" s="8">
        <f>+D99-H99</f>
        <v>0</v>
      </c>
      <c r="M99" s="8"/>
      <c r="N99" s="14">
        <f>IF(H99=0,0,L99/H99)</f>
        <v>0</v>
      </c>
      <c r="O99" s="13"/>
      <c r="P99" s="8"/>
      <c r="Q99" s="8"/>
      <c r="R99" s="14">
        <f>IF(P$12=0,0,P99/P$12)</f>
        <v>0</v>
      </c>
      <c r="S99" s="8"/>
      <c r="T99" s="8"/>
      <c r="U99" s="8"/>
      <c r="V99" s="14">
        <f>IF(T$12=0,0,T99/T$12)</f>
        <v>0</v>
      </c>
      <c r="W99" s="8"/>
      <c r="X99" s="8">
        <f>+P99-T99</f>
        <v>0</v>
      </c>
      <c r="Y99" s="8"/>
      <c r="Z99" s="14">
        <f>IF(T99=0,0,X99/T99)</f>
        <v>0</v>
      </c>
    </row>
    <row r="100" spans="1:26" ht="15" customHeight="1" x14ac:dyDescent="0.3">
      <c r="A100" s="12"/>
      <c r="B100" s="13"/>
      <c r="C100" s="13"/>
      <c r="D100" s="4"/>
      <c r="E100" s="4"/>
      <c r="F100" s="10"/>
      <c r="G100" s="4"/>
      <c r="H100" s="4"/>
      <c r="I100" s="4"/>
      <c r="J100" s="10"/>
      <c r="K100" s="4"/>
      <c r="L100" s="4"/>
      <c r="M100" s="4"/>
      <c r="N100" s="10"/>
      <c r="O100" s="13"/>
      <c r="P100" s="4"/>
      <c r="Q100" s="4"/>
      <c r="R100" s="10"/>
      <c r="S100" s="4"/>
      <c r="T100" s="4"/>
      <c r="U100" s="4"/>
      <c r="V100" s="10"/>
      <c r="W100" s="4"/>
      <c r="X100" s="4"/>
      <c r="Y100" s="4"/>
      <c r="Z100" s="10"/>
    </row>
    <row r="101" spans="1:26" s="63" customFormat="1" ht="15" customHeight="1" x14ac:dyDescent="0.3">
      <c r="A101" s="13"/>
      <c r="B101" s="27" t="s">
        <v>294</v>
      </c>
      <c r="C101" s="27"/>
      <c r="D101" s="30">
        <f>+D97-D99</f>
        <v>5588405.4200000027</v>
      </c>
      <c r="E101" s="15"/>
      <c r="F101" s="35">
        <f>IF(D$12=0,0,D101/D$12)</f>
        <v>0</v>
      </c>
      <c r="G101" s="15"/>
      <c r="H101" s="30">
        <f>+H97-H99</f>
        <v>215603.10673616</v>
      </c>
      <c r="I101" s="15"/>
      <c r="J101" s="35">
        <f>IF(H$12=0,0,H101/H$12)</f>
        <v>0</v>
      </c>
      <c r="K101" s="17"/>
      <c r="L101" s="30">
        <f>D101-H101</f>
        <v>5372802.3132638428</v>
      </c>
      <c r="M101" s="17"/>
      <c r="N101" s="35">
        <f>IF(H101=0,0,L101/H101)</f>
        <v>24.919874275460707</v>
      </c>
      <c r="O101" s="28"/>
      <c r="P101" s="30">
        <f>+P97-P99</f>
        <v>2882939.4799999995</v>
      </c>
      <c r="Q101" s="15"/>
      <c r="R101" s="35">
        <f>IF(P$12=0,0,P101/P$12)</f>
        <v>0</v>
      </c>
      <c r="S101" s="15"/>
      <c r="T101" s="30">
        <f>+T97-T99</f>
        <v>-2640336.0192823811</v>
      </c>
      <c r="U101" s="15"/>
      <c r="V101" s="35">
        <f>IF(T$12=0,0,T101/T$12)</f>
        <v>0</v>
      </c>
      <c r="W101" s="17"/>
      <c r="X101" s="30">
        <f>P101-T101</f>
        <v>5523275.4992823806</v>
      </c>
      <c r="Y101" s="17"/>
      <c r="Z101" s="35">
        <f>IF(T101=0,0,X101/T101)</f>
        <v>-2.0918835553300354</v>
      </c>
    </row>
    <row r="102" spans="1:26" ht="15" customHeight="1" x14ac:dyDescent="0.3">
      <c r="A102" s="12"/>
      <c r="B102" s="12"/>
      <c r="C102" s="12"/>
      <c r="D102" s="4"/>
      <c r="E102" s="4"/>
      <c r="F102" s="10"/>
      <c r="G102" s="4"/>
      <c r="H102" s="4"/>
      <c r="I102" s="4"/>
      <c r="J102" s="10"/>
      <c r="K102" s="4"/>
      <c r="L102" s="4"/>
      <c r="M102" s="4"/>
      <c r="N102" s="10"/>
      <c r="P102" s="4"/>
      <c r="Q102" s="4"/>
      <c r="R102" s="10"/>
      <c r="S102" s="4"/>
      <c r="T102" s="4"/>
      <c r="U102" s="4"/>
      <c r="V102" s="10"/>
      <c r="W102" s="4"/>
      <c r="X102" s="4"/>
      <c r="Y102" s="4"/>
      <c r="Z102" s="10"/>
    </row>
    <row r="103" spans="1:26" ht="15" customHeight="1" x14ac:dyDescent="0.3">
      <c r="A103" s="12"/>
      <c r="B103" s="12"/>
      <c r="C103" s="12"/>
      <c r="D103" s="4"/>
      <c r="E103" s="4"/>
      <c r="F103" s="10"/>
      <c r="G103" s="4"/>
      <c r="H103" s="4"/>
      <c r="I103" s="4"/>
      <c r="J103" s="10"/>
      <c r="K103" s="4"/>
      <c r="L103" s="4"/>
      <c r="M103" s="4"/>
      <c r="N103" s="10"/>
      <c r="P103" s="4"/>
      <c r="Q103" s="4"/>
      <c r="R103" s="10"/>
      <c r="S103" s="4"/>
      <c r="T103" s="4"/>
      <c r="U103" s="4"/>
      <c r="V103" s="10"/>
      <c r="W103" s="4"/>
      <c r="X103" s="4"/>
      <c r="Y103" s="4"/>
      <c r="Z103" s="10"/>
    </row>
    <row r="104" spans="1:26" s="63" customFormat="1" ht="15" customHeight="1" x14ac:dyDescent="0.3">
      <c r="A104" s="13"/>
      <c r="B104" s="27" t="s">
        <v>297</v>
      </c>
      <c r="C104" s="27"/>
      <c r="D104" s="33">
        <f>SUM(D101:D103)</f>
        <v>5588405.4200000027</v>
      </c>
      <c r="E104" s="15"/>
      <c r="F104" s="31">
        <f>IF(D$12=0,0,D104/D$12)</f>
        <v>0</v>
      </c>
      <c r="G104" s="15"/>
      <c r="H104" s="33">
        <f>SUM(H101:H103)</f>
        <v>215603.10673616</v>
      </c>
      <c r="I104" s="15"/>
      <c r="J104" s="31">
        <f>IF(H$12=0,0,H104/H$12)</f>
        <v>0</v>
      </c>
      <c r="K104" s="17"/>
      <c r="L104" s="33">
        <f>+D104-H104</f>
        <v>5372802.3132638428</v>
      </c>
      <c r="M104" s="17"/>
      <c r="N104" s="31">
        <f>IF(H104=0,0,L104/H104)</f>
        <v>24.919874275460707</v>
      </c>
      <c r="O104" s="28"/>
      <c r="P104" s="33">
        <f>SUM(P101:P103)</f>
        <v>2882939.4799999995</v>
      </c>
      <c r="Q104" s="15"/>
      <c r="R104" s="31">
        <f>IF(P$12=0,0,P104/P$12)</f>
        <v>0</v>
      </c>
      <c r="S104" s="15"/>
      <c r="T104" s="33">
        <f>SUM(T101:T103)</f>
        <v>-2640336.0192823811</v>
      </c>
      <c r="U104" s="15"/>
      <c r="V104" s="31">
        <f>IF(T$12=0,0,T104/T$12)</f>
        <v>0</v>
      </c>
      <c r="W104" s="17"/>
      <c r="X104" s="33">
        <f>+P104-T104</f>
        <v>5523275.4992823806</v>
      </c>
      <c r="Y104" s="17"/>
      <c r="Z104" s="31">
        <f>IF(T104=0,0,X104/T104)</f>
        <v>-2.0918835553300354</v>
      </c>
    </row>
    <row r="105" spans="1:26" ht="15" customHeight="1" x14ac:dyDescent="0.3">
      <c r="A105" s="12"/>
      <c r="C105" s="12"/>
      <c r="D105" s="19"/>
      <c r="E105" s="19"/>
      <c r="G105" s="19"/>
      <c r="H105" s="19"/>
      <c r="I105" s="19"/>
      <c r="J105" s="41"/>
      <c r="K105" s="19"/>
      <c r="L105" s="19"/>
      <c r="M105" s="19"/>
      <c r="P105" s="19"/>
      <c r="Q105" s="19"/>
      <c r="R105" s="41"/>
      <c r="S105" s="19"/>
      <c r="T105" s="19"/>
      <c r="U105" s="19"/>
      <c r="V105" s="41"/>
      <c r="W105" s="19"/>
      <c r="X105" s="19"/>
    </row>
    <row r="106" spans="1:26" ht="15" customHeight="1" x14ac:dyDescent="0.3">
      <c r="A106" s="12"/>
      <c r="B106" s="50">
        <v>44767.799507835647</v>
      </c>
      <c r="D106" s="19"/>
      <c r="E106" s="19"/>
      <c r="G106" s="19"/>
      <c r="H106" s="19"/>
      <c r="I106" s="19"/>
      <c r="J106" s="41"/>
      <c r="K106" s="19"/>
      <c r="L106" s="19"/>
      <c r="M106" s="19"/>
      <c r="P106" s="19"/>
      <c r="Q106" s="19"/>
      <c r="R106" s="41"/>
      <c r="S106" s="19"/>
      <c r="T106" s="19"/>
      <c r="U106" s="19"/>
      <c r="V106" s="41"/>
      <c r="W106" s="19"/>
      <c r="X106" s="19"/>
    </row>
    <row r="107" spans="1:26" ht="15" customHeight="1" x14ac:dyDescent="0.3">
      <c r="A107" s="12"/>
      <c r="B107" s="57" t="s">
        <v>298</v>
      </c>
      <c r="D107" s="19"/>
      <c r="E107" s="19"/>
      <c r="G107" s="19"/>
      <c r="H107" s="19"/>
      <c r="I107" s="19"/>
      <c r="J107" s="41"/>
      <c r="K107" s="19"/>
      <c r="L107" s="19"/>
      <c r="M107" s="19"/>
      <c r="P107" s="19"/>
      <c r="Q107" s="19"/>
      <c r="R107" s="41"/>
      <c r="S107" s="19"/>
      <c r="T107" s="19"/>
      <c r="U107" s="19"/>
      <c r="V107" s="41"/>
      <c r="W107" s="19"/>
      <c r="X107" s="19"/>
    </row>
    <row r="108" spans="1:26" ht="15" customHeight="1" x14ac:dyDescent="0.3">
      <c r="A108" s="12"/>
      <c r="B108" s="51"/>
      <c r="D108" s="19"/>
      <c r="E108" s="19"/>
      <c r="G108" s="19"/>
      <c r="H108" s="19"/>
      <c r="I108" s="19"/>
      <c r="J108" s="41"/>
      <c r="K108" s="19"/>
      <c r="L108" s="19"/>
      <c r="M108" s="19"/>
      <c r="P108" s="19"/>
      <c r="Q108" s="19"/>
      <c r="R108" s="41"/>
      <c r="S108" s="19"/>
      <c r="T108" s="19"/>
      <c r="U108" s="19"/>
      <c r="V108" s="41"/>
      <c r="W108" s="19"/>
      <c r="X108" s="19"/>
    </row>
    <row r="109" spans="1:26" ht="15" customHeight="1" x14ac:dyDescent="0.3">
      <c r="D109" s="19"/>
      <c r="E109" s="19"/>
      <c r="G109" s="19"/>
      <c r="H109" s="19"/>
      <c r="I109" s="19"/>
      <c r="J109" s="41"/>
      <c r="K109" s="19"/>
      <c r="L109" s="19"/>
      <c r="M109" s="19"/>
      <c r="P109" s="19"/>
      <c r="Q109" s="19"/>
      <c r="R109" s="41"/>
      <c r="S109" s="19"/>
      <c r="T109" s="19"/>
      <c r="U109" s="19"/>
      <c r="V109" s="41"/>
      <c r="W109" s="19"/>
      <c r="X109" s="19"/>
    </row>
  </sheetData>
  <pageMargins left="0.25" right="0.25" top="0.75" bottom="0.75" header="0.3" footer="0.3"/>
  <pageSetup scale="55" orientation="landscape" r:id="rId1"/>
  <headerFooter>
    <oddHeader>&amp;RPre-Audit</oddHeader>
    <oddFooter>&amp;L&amp;C&amp;R</oddFooter>
    <evenHeader>&amp;L&amp;C&amp;R</evenHeader>
    <evenFooter>&amp;L&amp;C&amp;R</even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21550D-7971-CB5C-63CE-0161928657E6}">
  <sheetPr>
    <tabColor rgb="FF92D050"/>
    <outlinePr summaryBelow="0" summaryRight="0"/>
  </sheetPr>
  <dimension ref="A2:Z44"/>
  <sheetViews>
    <sheetView showGridLines="0" defaultGridColor="0" colorId="8" zoomScale="80" workbookViewId="0">
      <pane xSplit="3" ySplit="10" topLeftCell="D11" activePane="bottomRight" state="frozen"/>
      <selection activeCell="D78" sqref="D78"/>
      <selection pane="topRight" activeCell="D78" sqref="D78"/>
      <selection pane="bottomLeft" activeCell="D78" sqref="D78"/>
      <selection pane="bottomRight" activeCell="D78" sqref="D78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3" t="s">
        <v>276</v>
      </c>
    </row>
    <row r="3" spans="1:26" ht="15" customHeight="1" x14ac:dyDescent="0.3">
      <c r="D3" s="53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3" t="str">
        <f>CONCATENATE("Period ",RIGHT(202212,2),", ",2022)</f>
        <v>Period 12,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5"/>
      <c r="D5" s="60">
        <v>44742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5"/>
      <c r="B6" s="47"/>
      <c r="C6" s="47"/>
      <c r="D6" s="25" t="str">
        <f>CONCATENATE("Department ","200"," - ","Corporate Expense")</f>
        <v>Department 200 - Corporate Expense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4"/>
    </row>
    <row r="8" spans="1:26" ht="15" customHeight="1" x14ac:dyDescent="0.3">
      <c r="B8" s="54"/>
    </row>
    <row r="9" spans="1:26" ht="15" customHeight="1" x14ac:dyDescent="0.3">
      <c r="B9" s="12"/>
      <c r="C9" s="12"/>
      <c r="D9" s="16" t="s">
        <v>279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280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ht="15" customHeight="1" x14ac:dyDescent="0.3">
      <c r="A10" s="13"/>
      <c r="B10" s="52"/>
      <c r="C10" s="13"/>
      <c r="D10" s="40" t="s">
        <v>281</v>
      </c>
      <c r="E10" s="32"/>
      <c r="F10" s="39" t="s">
        <v>282</v>
      </c>
      <c r="G10" s="32"/>
      <c r="H10" s="45" t="s">
        <v>283</v>
      </c>
      <c r="I10" s="32"/>
      <c r="J10" s="42" t="s">
        <v>284</v>
      </c>
      <c r="K10" s="13"/>
      <c r="L10" s="40" t="s">
        <v>285</v>
      </c>
      <c r="M10" s="13"/>
      <c r="N10" s="39" t="s">
        <v>286</v>
      </c>
      <c r="O10" s="13"/>
      <c r="P10" s="55" t="s">
        <v>281</v>
      </c>
      <c r="Q10" s="32"/>
      <c r="R10" s="39" t="s">
        <v>282</v>
      </c>
      <c r="S10" s="32"/>
      <c r="T10" s="45" t="s">
        <v>283</v>
      </c>
      <c r="U10" s="32"/>
      <c r="V10" s="42" t="s">
        <v>284</v>
      </c>
      <c r="W10" s="13"/>
      <c r="X10" s="40" t="s">
        <v>285</v>
      </c>
      <c r="Y10" s="13"/>
      <c r="Z10" s="39" t="s">
        <v>286</v>
      </c>
    </row>
    <row r="11" spans="1:26" ht="16.5" customHeight="1" x14ac:dyDescent="0.3">
      <c r="A11" s="12"/>
      <c r="B11" s="58"/>
      <c r="C11" s="12"/>
      <c r="D11" s="12"/>
      <c r="E11" s="12"/>
      <c r="F11" s="10"/>
      <c r="G11" s="12"/>
      <c r="H11" s="12"/>
      <c r="I11" s="12"/>
      <c r="J11" s="43"/>
      <c r="K11" s="12"/>
      <c r="L11" s="12"/>
      <c r="M11" s="12"/>
      <c r="N11" s="10"/>
      <c r="P11" s="12"/>
      <c r="Q11" s="12"/>
      <c r="R11" s="10"/>
      <c r="S11" s="12"/>
      <c r="T11" s="12"/>
      <c r="U11" s="12"/>
      <c r="V11" s="43"/>
      <c r="W11" s="12"/>
      <c r="X11" s="12"/>
      <c r="Y11" s="12"/>
      <c r="Z11" s="10"/>
    </row>
    <row r="12" spans="1:26" s="63" customFormat="1" ht="15" customHeight="1" x14ac:dyDescent="0.3">
      <c r="A12" s="13"/>
      <c r="B12" s="28" t="s">
        <v>287</v>
      </c>
      <c r="C12" s="13"/>
      <c r="D12" s="8">
        <f>SUM(0)</f>
        <v>0</v>
      </c>
      <c r="E12" s="8"/>
      <c r="F12" s="14"/>
      <c r="G12" s="8"/>
      <c r="H12" s="8">
        <f>SUM(0)</f>
        <v>0</v>
      </c>
      <c r="I12" s="8"/>
      <c r="J12" s="14"/>
      <c r="K12" s="8"/>
      <c r="L12" s="8">
        <f>+D12-H12</f>
        <v>0</v>
      </c>
      <c r="M12" s="8"/>
      <c r="N12" s="14">
        <f>IF(H12=0,0,L12/H12)</f>
        <v>0</v>
      </c>
      <c r="O12" s="13"/>
      <c r="P12" s="8">
        <f>SUM(0)</f>
        <v>0</v>
      </c>
      <c r="Q12" s="8"/>
      <c r="R12" s="14"/>
      <c r="S12" s="8"/>
      <c r="T12" s="8">
        <f>SUM(0)</f>
        <v>0</v>
      </c>
      <c r="U12" s="8"/>
      <c r="V12" s="14"/>
      <c r="W12" s="8"/>
      <c r="X12" s="8">
        <f>+P12-T12</f>
        <v>0</v>
      </c>
      <c r="Y12" s="8"/>
      <c r="Z12" s="14">
        <f>IF(T12=0,0,X12/T12)</f>
        <v>0</v>
      </c>
    </row>
    <row r="13" spans="1:26" ht="15" customHeight="1" x14ac:dyDescent="0.3">
      <c r="A13" s="12"/>
      <c r="B13" s="13"/>
      <c r="C13" s="12"/>
      <c r="D13" s="4"/>
      <c r="E13" s="4"/>
      <c r="F13" s="10"/>
      <c r="G13" s="4"/>
      <c r="H13" s="4"/>
      <c r="I13" s="4"/>
      <c r="J13" s="10"/>
      <c r="K13" s="4"/>
      <c r="L13" s="4"/>
      <c r="M13" s="4"/>
      <c r="N13" s="10"/>
      <c r="P13" s="4"/>
      <c r="Q13" s="4"/>
      <c r="R13" s="10"/>
      <c r="S13" s="4"/>
      <c r="T13" s="4"/>
      <c r="U13" s="4"/>
      <c r="V13" s="10"/>
      <c r="W13" s="4"/>
      <c r="X13" s="4"/>
      <c r="Y13" s="4"/>
      <c r="Z13" s="10"/>
    </row>
    <row r="14" spans="1:26" s="63" customFormat="1" ht="15" customHeight="1" x14ac:dyDescent="0.3">
      <c r="A14" s="13"/>
      <c r="B14" s="28" t="s">
        <v>288</v>
      </c>
      <c r="C14" s="13"/>
      <c r="D14" s="8">
        <f>SUM(0)</f>
        <v>0</v>
      </c>
      <c r="E14" s="8"/>
      <c r="F14" s="14">
        <f>IF(D$12=0,0,D14/D$12)</f>
        <v>0</v>
      </c>
      <c r="G14" s="8"/>
      <c r="H14" s="8">
        <f>SUM(0)</f>
        <v>0</v>
      </c>
      <c r="I14" s="8"/>
      <c r="J14" s="14">
        <f>IF(H$12=0,0,H14/H$12)</f>
        <v>0</v>
      </c>
      <c r="K14" s="8"/>
      <c r="L14" s="8">
        <f>+D14-H14</f>
        <v>0</v>
      </c>
      <c r="M14" s="8"/>
      <c r="N14" s="14">
        <f>IF(H14=0,0,L14/H14)</f>
        <v>0</v>
      </c>
      <c r="O14" s="13"/>
      <c r="P14" s="8">
        <f>SUM(0)</f>
        <v>0</v>
      </c>
      <c r="Q14" s="8"/>
      <c r="R14" s="14">
        <f>IF(P$12=0,0,P14/P$12)</f>
        <v>0</v>
      </c>
      <c r="S14" s="8"/>
      <c r="T14" s="8">
        <f>SUM(0)</f>
        <v>0</v>
      </c>
      <c r="U14" s="8"/>
      <c r="V14" s="14">
        <f>IF(T$12=0,0,T14/T$12)</f>
        <v>0</v>
      </c>
      <c r="W14" s="8"/>
      <c r="X14" s="8">
        <f>+P14-T14</f>
        <v>0</v>
      </c>
      <c r="Y14" s="8"/>
      <c r="Z14" s="14">
        <f>IF(T14=0,0,X14/T14)</f>
        <v>0</v>
      </c>
    </row>
    <row r="15" spans="1:26" ht="15" customHeight="1" x14ac:dyDescent="0.3">
      <c r="A15" s="12"/>
      <c r="B15" s="13"/>
      <c r="C15" s="13"/>
      <c r="D15" s="4"/>
      <c r="E15" s="4"/>
      <c r="F15" s="10"/>
      <c r="G15" s="4"/>
      <c r="H15" s="4"/>
      <c r="I15" s="4"/>
      <c r="J15" s="10"/>
      <c r="K15" s="4"/>
      <c r="L15" s="4"/>
      <c r="M15" s="4"/>
      <c r="N15" s="10"/>
      <c r="O15" s="13"/>
      <c r="P15" s="4"/>
      <c r="Q15" s="4"/>
      <c r="R15" s="10"/>
      <c r="S15" s="4"/>
      <c r="T15" s="4"/>
      <c r="U15" s="4"/>
      <c r="V15" s="10"/>
      <c r="W15" s="4"/>
      <c r="X15" s="4"/>
      <c r="Y15" s="4"/>
      <c r="Z15" s="10"/>
    </row>
    <row r="16" spans="1:26" s="63" customFormat="1" ht="15" customHeight="1" x14ac:dyDescent="0.3">
      <c r="A16" s="13"/>
      <c r="B16" s="27" t="s">
        <v>289</v>
      </c>
      <c r="C16" s="27"/>
      <c r="D16" s="23">
        <f>D12-D14</f>
        <v>0</v>
      </c>
      <c r="E16" s="15"/>
      <c r="F16" s="22">
        <f>IF(D$12=0,0,D16/D$12)</f>
        <v>0</v>
      </c>
      <c r="G16" s="15"/>
      <c r="H16" s="23">
        <f>H12-H14</f>
        <v>0</v>
      </c>
      <c r="I16" s="15"/>
      <c r="J16" s="22">
        <f>IF(H$12=0,0,H16/H$12)</f>
        <v>0</v>
      </c>
      <c r="K16" s="17"/>
      <c r="L16" s="23">
        <f>+D16-H16</f>
        <v>0</v>
      </c>
      <c r="M16" s="17"/>
      <c r="N16" s="22">
        <f>IF(H16=0,0,L16/H16)</f>
        <v>0</v>
      </c>
      <c r="O16" s="28"/>
      <c r="P16" s="23">
        <f>P12-P14</f>
        <v>0</v>
      </c>
      <c r="Q16" s="15"/>
      <c r="R16" s="22">
        <f>IF(P$12=0,0,P16/P$12)</f>
        <v>0</v>
      </c>
      <c r="S16" s="15"/>
      <c r="T16" s="23">
        <f>T12-T14</f>
        <v>0</v>
      </c>
      <c r="U16" s="15"/>
      <c r="V16" s="22">
        <f>IF(T$12=0,0,T16/T$12)</f>
        <v>0</v>
      </c>
      <c r="W16" s="17"/>
      <c r="X16" s="23">
        <f>+P16-T16</f>
        <v>0</v>
      </c>
      <c r="Y16" s="17"/>
      <c r="Z16" s="22">
        <f>IF(T16=0,0,X16/T16)</f>
        <v>0</v>
      </c>
    </row>
    <row r="17" spans="1:26" ht="15" customHeight="1" x14ac:dyDescent="0.3">
      <c r="A17" s="12"/>
      <c r="B17" s="13"/>
      <c r="C17" s="12"/>
      <c r="D17" s="2"/>
      <c r="E17" s="2"/>
      <c r="F17" s="5"/>
      <c r="G17" s="2"/>
      <c r="H17" s="2"/>
      <c r="I17" s="2"/>
      <c r="J17" s="5"/>
      <c r="K17" s="2"/>
      <c r="L17" s="2"/>
      <c r="M17" s="2"/>
      <c r="N17" s="5"/>
      <c r="O17" s="36"/>
      <c r="P17" s="2"/>
      <c r="Q17" s="2"/>
      <c r="R17" s="5"/>
      <c r="S17" s="2"/>
      <c r="T17" s="2"/>
      <c r="U17" s="2"/>
      <c r="V17" s="5"/>
      <c r="W17" s="2"/>
      <c r="X17" s="2"/>
      <c r="Y17" s="2"/>
      <c r="Z17" s="5"/>
    </row>
    <row r="18" spans="1:26" s="63" customFormat="1" ht="15" customHeight="1" x14ac:dyDescent="0.3">
      <c r="A18" s="13"/>
      <c r="B18" s="28" t="s">
        <v>290</v>
      </c>
      <c r="C18" s="13"/>
      <c r="D18" s="24" cm="1">
        <f t="array" ref="D18">SUM(OSRRefD22x_0)</f>
        <v>-5770176.8500000015</v>
      </c>
      <c r="E18" s="24"/>
      <c r="F18" s="34">
        <f t="shared" ref="F18:F28" si="0">IF(D$12=0,0,D18/D$12)</f>
        <v>0</v>
      </c>
      <c r="G18" s="24"/>
      <c r="H18" s="24" cm="1">
        <f t="array" ref="H18">SUM(OSRRefH22x_0)</f>
        <v>-395492</v>
      </c>
      <c r="I18" s="24"/>
      <c r="J18" s="34">
        <f t="shared" ref="J18:J28" si="1">IF(H$12=0,0,H18/H$12)</f>
        <v>0</v>
      </c>
      <c r="K18" s="8"/>
      <c r="L18" s="24">
        <f t="shared" ref="L18:L28" si="2">+D18-H18</f>
        <v>-5374684.8500000015</v>
      </c>
      <c r="M18" s="8"/>
      <c r="N18" s="34">
        <f t="shared" ref="N18:N28" si="3">IF(H18=0,0,L18/H18)</f>
        <v>13.589869959442925</v>
      </c>
      <c r="O18" s="13"/>
      <c r="P18" s="24" cm="1">
        <f t="array" ref="P18">SUM(OSRRefP22x_0)</f>
        <v>-5392421.0600000005</v>
      </c>
      <c r="Q18" s="24"/>
      <c r="R18" s="34">
        <f t="shared" ref="R18:R28" si="4">IF(P$12=0,0,P18/P$12)</f>
        <v>0</v>
      </c>
      <c r="S18" s="24"/>
      <c r="T18" s="24" cm="1">
        <f t="array" ref="T18">SUM(OSRRefT22x_0)</f>
        <v>121096</v>
      </c>
      <c r="U18" s="24"/>
      <c r="V18" s="34">
        <f t="shared" ref="V18:V28" si="5">IF(T$12=0,0,T18/T$12)</f>
        <v>0</v>
      </c>
      <c r="W18" s="8"/>
      <c r="X18" s="24">
        <f t="shared" ref="X18:X28" si="6">+P18-T18</f>
        <v>-5513517.0600000005</v>
      </c>
      <c r="Y18" s="8"/>
      <c r="Z18" s="34">
        <f t="shared" ref="Z18:Z28" si="7">IF(T18=0,0,X18/T18)</f>
        <v>-45.530133613001261</v>
      </c>
    </row>
    <row r="19" spans="1:26" s="69" customFormat="1" ht="15" customHeight="1" outlineLevel="1" collapsed="1" x14ac:dyDescent="0.3">
      <c r="A19" s="20"/>
      <c r="B19" s="11" t="str">
        <f>CONCATENATE("     ","*Benefits                                         ")</f>
        <v xml:space="preserve">     *Benefits                                         </v>
      </c>
      <c r="C19" s="11"/>
      <c r="D19" s="2">
        <f>SUM(OSRRefD22_0x_0)</f>
        <v>-5780756.2200000007</v>
      </c>
      <c r="E19" s="2"/>
      <c r="F19" s="5">
        <f t="shared" si="0"/>
        <v>0</v>
      </c>
      <c r="G19" s="2"/>
      <c r="H19" s="2">
        <f>SUM(OSRRefH22_0x_0)</f>
        <v>-400000</v>
      </c>
      <c r="I19" s="2"/>
      <c r="J19" s="5">
        <f t="shared" si="1"/>
        <v>0</v>
      </c>
      <c r="K19" s="2"/>
      <c r="L19" s="2">
        <f t="shared" si="2"/>
        <v>-5380756.2200000007</v>
      </c>
      <c r="M19" s="2"/>
      <c r="N19" s="5">
        <f t="shared" si="3"/>
        <v>13.451890550000002</v>
      </c>
      <c r="O19" s="11"/>
      <c r="P19" s="2">
        <f>SUM(OSRRefP22_0x_0)</f>
        <v>-5484334.0600000005</v>
      </c>
      <c r="Q19" s="2"/>
      <c r="R19" s="5">
        <f t="shared" si="4"/>
        <v>0</v>
      </c>
      <c r="S19" s="2"/>
      <c r="T19" s="2">
        <f>SUM(OSRRefT22_0x_0)</f>
        <v>-15000</v>
      </c>
      <c r="U19" s="2"/>
      <c r="V19" s="5">
        <f t="shared" si="5"/>
        <v>0</v>
      </c>
      <c r="W19" s="2"/>
      <c r="X19" s="2">
        <f t="shared" si="6"/>
        <v>-5469334.0600000005</v>
      </c>
      <c r="Y19" s="2"/>
      <c r="Z19" s="5">
        <f t="shared" si="7"/>
        <v>364.62227066666668</v>
      </c>
    </row>
    <row r="20" spans="1:26" s="70" customFormat="1" ht="15" hidden="1" customHeight="1" outlineLevel="2" x14ac:dyDescent="0.3">
      <c r="A20" s="21"/>
      <c r="B20" s="9" t="str">
        <f>CONCATENATE("          ","6115"," - ","P.E.R.S.")</f>
        <v xml:space="preserve">          6115 - P.E.R.S.</v>
      </c>
      <c r="C20" s="9"/>
      <c r="D20" s="6">
        <v>-3112920</v>
      </c>
      <c r="E20" s="3"/>
      <c r="F20" s="7">
        <f t="shared" si="0"/>
        <v>0</v>
      </c>
      <c r="G20" s="3"/>
      <c r="H20" s="6"/>
      <c r="I20" s="3"/>
      <c r="J20" s="7">
        <f t="shared" si="1"/>
        <v>0</v>
      </c>
      <c r="K20" s="3"/>
      <c r="L20" s="6">
        <f t="shared" si="2"/>
        <v>-3112920</v>
      </c>
      <c r="M20" s="3"/>
      <c r="N20" s="7">
        <f t="shared" si="3"/>
        <v>0</v>
      </c>
      <c r="O20" s="9"/>
      <c r="P20" s="6">
        <v>-3112920</v>
      </c>
      <c r="Q20" s="3"/>
      <c r="R20" s="7">
        <f t="shared" si="4"/>
        <v>0</v>
      </c>
      <c r="S20" s="3"/>
      <c r="T20" s="6"/>
      <c r="U20" s="3"/>
      <c r="V20" s="7">
        <f t="shared" si="5"/>
        <v>0</v>
      </c>
      <c r="W20" s="3"/>
      <c r="X20" s="6">
        <f t="shared" si="6"/>
        <v>-3112920</v>
      </c>
      <c r="Y20" s="3"/>
      <c r="Z20" s="7">
        <f t="shared" si="7"/>
        <v>0</v>
      </c>
    </row>
    <row r="21" spans="1:26" s="70" customFormat="1" ht="15" hidden="1" customHeight="1" outlineLevel="2" x14ac:dyDescent="0.3">
      <c r="A21" s="21"/>
      <c r="B21" s="9" t="str">
        <f>CONCATENATE("          ","6120"," - ","RETIREES HEALTH INSURANCE")</f>
        <v xml:space="preserve">          6120 - RETIREES HEALTH INSURANCE</v>
      </c>
      <c r="C21" s="9"/>
      <c r="D21" s="6">
        <v>-2667836.2200000002</v>
      </c>
      <c r="E21" s="3"/>
      <c r="F21" s="7">
        <f t="shared" si="0"/>
        <v>0</v>
      </c>
      <c r="G21" s="3"/>
      <c r="H21" s="6">
        <v>-400000</v>
      </c>
      <c r="I21" s="3"/>
      <c r="J21" s="7">
        <f t="shared" si="1"/>
        <v>0</v>
      </c>
      <c r="K21" s="3"/>
      <c r="L21" s="6">
        <f t="shared" si="2"/>
        <v>-2267836.2200000002</v>
      </c>
      <c r="M21" s="3"/>
      <c r="N21" s="7">
        <f t="shared" si="3"/>
        <v>5.6695905500000006</v>
      </c>
      <c r="O21" s="9"/>
      <c r="P21" s="6">
        <v>-2371414.06</v>
      </c>
      <c r="Q21" s="3"/>
      <c r="R21" s="7">
        <f t="shared" si="4"/>
        <v>0</v>
      </c>
      <c r="S21" s="3"/>
      <c r="T21" s="6">
        <v>-15000</v>
      </c>
      <c r="U21" s="3"/>
      <c r="V21" s="7">
        <f t="shared" si="5"/>
        <v>0</v>
      </c>
      <c r="W21" s="3"/>
      <c r="X21" s="6">
        <f t="shared" si="6"/>
        <v>-2356414.06</v>
      </c>
      <c r="Y21" s="3"/>
      <c r="Z21" s="7">
        <f t="shared" si="7"/>
        <v>157.09427066666666</v>
      </c>
    </row>
    <row r="22" spans="1:26" s="69" customFormat="1" ht="15" customHeight="1" outlineLevel="1" collapsed="1" x14ac:dyDescent="0.3">
      <c r="A22" s="20"/>
      <c r="B22" s="11" t="str">
        <f>CONCATENATE("     ","Bank/card Fees                                    ")</f>
        <v xml:space="preserve">     Bank/card Fees                                    </v>
      </c>
      <c r="C22" s="11"/>
      <c r="D22" s="2">
        <f>SUM(OSRRefD22_1x_0)</f>
        <v>382.6</v>
      </c>
      <c r="E22" s="2"/>
      <c r="F22" s="5">
        <f t="shared" si="0"/>
        <v>0</v>
      </c>
      <c r="G22" s="2"/>
      <c r="H22" s="2">
        <f>SUM(OSRRefH22_1x_0)</f>
        <v>2000</v>
      </c>
      <c r="I22" s="2"/>
      <c r="J22" s="5">
        <f t="shared" si="1"/>
        <v>0</v>
      </c>
      <c r="K22" s="2"/>
      <c r="L22" s="2">
        <f t="shared" si="2"/>
        <v>-1617.4</v>
      </c>
      <c r="M22" s="2"/>
      <c r="N22" s="5">
        <f t="shared" si="3"/>
        <v>-0.80870000000000009</v>
      </c>
      <c r="O22" s="11"/>
      <c r="P22" s="2">
        <f>SUM(OSRRefP22_1x_0)</f>
        <v>13559.82</v>
      </c>
      <c r="Q22" s="2"/>
      <c r="R22" s="5">
        <f t="shared" si="4"/>
        <v>0</v>
      </c>
      <c r="S22" s="2"/>
      <c r="T22" s="2">
        <f>SUM(OSRRefT22_1x_0)</f>
        <v>44000</v>
      </c>
      <c r="U22" s="2"/>
      <c r="V22" s="5">
        <f t="shared" si="5"/>
        <v>0</v>
      </c>
      <c r="W22" s="2"/>
      <c r="X22" s="2">
        <f t="shared" si="6"/>
        <v>-30440.18</v>
      </c>
      <c r="Y22" s="2"/>
      <c r="Z22" s="5">
        <f t="shared" si="7"/>
        <v>-0.6918222727272727</v>
      </c>
    </row>
    <row r="23" spans="1:26" s="70" customFormat="1" ht="15" hidden="1" customHeight="1" outlineLevel="2" x14ac:dyDescent="0.3">
      <c r="A23" s="21"/>
      <c r="B23" s="9" t="str">
        <f>CONCATENATE("          ","6381"," - ","BANK/CREDIT CARD FEES")</f>
        <v xml:space="preserve">          6381 - BANK/CREDIT CARD FEES</v>
      </c>
      <c r="C23" s="9"/>
      <c r="D23" s="6">
        <v>382.6</v>
      </c>
      <c r="E23" s="3"/>
      <c r="F23" s="7">
        <f t="shared" si="0"/>
        <v>0</v>
      </c>
      <c r="G23" s="3"/>
      <c r="H23" s="6">
        <v>2000</v>
      </c>
      <c r="I23" s="3"/>
      <c r="J23" s="7">
        <f t="shared" si="1"/>
        <v>0</v>
      </c>
      <c r="K23" s="3"/>
      <c r="L23" s="6">
        <f t="shared" si="2"/>
        <v>-1617.4</v>
      </c>
      <c r="M23" s="3"/>
      <c r="N23" s="7">
        <f t="shared" si="3"/>
        <v>-0.80870000000000009</v>
      </c>
      <c r="O23" s="9"/>
      <c r="P23" s="6">
        <v>13559.82</v>
      </c>
      <c r="Q23" s="3"/>
      <c r="R23" s="7">
        <f t="shared" si="4"/>
        <v>0</v>
      </c>
      <c r="S23" s="3"/>
      <c r="T23" s="6">
        <v>44000</v>
      </c>
      <c r="U23" s="3"/>
      <c r="V23" s="7">
        <f t="shared" si="5"/>
        <v>0</v>
      </c>
      <c r="W23" s="3"/>
      <c r="X23" s="6">
        <f t="shared" si="6"/>
        <v>-30440.18</v>
      </c>
      <c r="Y23" s="3"/>
      <c r="Z23" s="7">
        <f t="shared" si="7"/>
        <v>-0.6918222727272727</v>
      </c>
    </row>
    <row r="24" spans="1:26" s="69" customFormat="1" ht="15" customHeight="1" outlineLevel="1" collapsed="1" x14ac:dyDescent="0.3">
      <c r="A24" s="20"/>
      <c r="B24" s="11" t="str">
        <f>CONCATENATE("     ","Board                                             ")</f>
        <v xml:space="preserve">     Board                                             </v>
      </c>
      <c r="C24" s="11"/>
      <c r="D24" s="2">
        <f>SUM(OSRRefD22_2x_0)</f>
        <v>10196.77</v>
      </c>
      <c r="E24" s="2"/>
      <c r="F24" s="5">
        <f t="shared" si="0"/>
        <v>0</v>
      </c>
      <c r="G24" s="2"/>
      <c r="H24" s="2">
        <f>SUM(OSRRefH22_2x_0)</f>
        <v>2508</v>
      </c>
      <c r="I24" s="2"/>
      <c r="J24" s="5">
        <f t="shared" si="1"/>
        <v>0</v>
      </c>
      <c r="K24" s="2"/>
      <c r="L24" s="2">
        <f t="shared" si="2"/>
        <v>7688.77</v>
      </c>
      <c r="M24" s="2"/>
      <c r="N24" s="5">
        <f t="shared" si="3"/>
        <v>3.0656977671451355</v>
      </c>
      <c r="O24" s="11"/>
      <c r="P24" s="2">
        <f>SUM(OSRRefP22_2x_0)</f>
        <v>36852.18</v>
      </c>
      <c r="Q24" s="2"/>
      <c r="R24" s="5">
        <f t="shared" si="4"/>
        <v>0</v>
      </c>
      <c r="S24" s="2"/>
      <c r="T24" s="2">
        <f>SUM(OSRRefT22_2x_0)</f>
        <v>21096</v>
      </c>
      <c r="U24" s="2"/>
      <c r="V24" s="5">
        <f t="shared" si="5"/>
        <v>0</v>
      </c>
      <c r="W24" s="2"/>
      <c r="X24" s="2">
        <f t="shared" si="6"/>
        <v>15756.18</v>
      </c>
      <c r="Y24" s="2"/>
      <c r="Z24" s="5">
        <f t="shared" si="7"/>
        <v>0.7468799772468715</v>
      </c>
    </row>
    <row r="25" spans="1:26" s="70" customFormat="1" ht="15" hidden="1" customHeight="1" outlineLevel="2" x14ac:dyDescent="0.3">
      <c r="A25" s="21"/>
      <c r="B25" s="9" t="str">
        <f>CONCATENATE("          ","6397"," - ","BOARD EXPENSES")</f>
        <v xml:space="preserve">          6397 - BOARD EXPENSES</v>
      </c>
      <c r="C25" s="9"/>
      <c r="D25" s="6">
        <v>10196.77</v>
      </c>
      <c r="E25" s="3"/>
      <c r="F25" s="7">
        <f t="shared" si="0"/>
        <v>0</v>
      </c>
      <c r="G25" s="3"/>
      <c r="H25" s="6">
        <v>2508</v>
      </c>
      <c r="I25" s="3"/>
      <c r="J25" s="7">
        <f t="shared" si="1"/>
        <v>0</v>
      </c>
      <c r="K25" s="3"/>
      <c r="L25" s="6">
        <f t="shared" si="2"/>
        <v>7688.77</v>
      </c>
      <c r="M25" s="3"/>
      <c r="N25" s="7">
        <f t="shared" si="3"/>
        <v>3.0656977671451355</v>
      </c>
      <c r="O25" s="9"/>
      <c r="P25" s="6">
        <v>36852.18</v>
      </c>
      <c r="Q25" s="3"/>
      <c r="R25" s="7">
        <f t="shared" si="4"/>
        <v>0</v>
      </c>
      <c r="S25" s="3"/>
      <c r="T25" s="6">
        <v>21096</v>
      </c>
      <c r="U25" s="3"/>
      <c r="V25" s="7">
        <f t="shared" si="5"/>
        <v>0</v>
      </c>
      <c r="W25" s="3"/>
      <c r="X25" s="6">
        <f t="shared" si="6"/>
        <v>15756.18</v>
      </c>
      <c r="Y25" s="3"/>
      <c r="Z25" s="7">
        <f t="shared" si="7"/>
        <v>0.7468799772468715</v>
      </c>
    </row>
    <row r="26" spans="1:26" s="69" customFormat="1" ht="15" customHeight="1" outlineLevel="1" collapsed="1" x14ac:dyDescent="0.3">
      <c r="A26" s="20"/>
      <c r="B26" s="11" t="str">
        <f>CONCATENATE("     ","Professional Services                             ")</f>
        <v xml:space="preserve">     Professional Services                             </v>
      </c>
      <c r="C26" s="11"/>
      <c r="D26" s="2">
        <f>SUM(OSRRefD22_3x_0)</f>
        <v>0</v>
      </c>
      <c r="E26" s="2"/>
      <c r="F26" s="5">
        <f t="shared" si="0"/>
        <v>0</v>
      </c>
      <c r="G26" s="2"/>
      <c r="H26" s="2">
        <f>SUM(OSRRefH22_3x_0)</f>
        <v>0</v>
      </c>
      <c r="I26" s="2"/>
      <c r="J26" s="5">
        <f t="shared" si="1"/>
        <v>0</v>
      </c>
      <c r="K26" s="2"/>
      <c r="L26" s="2">
        <f t="shared" si="2"/>
        <v>0</v>
      </c>
      <c r="M26" s="2"/>
      <c r="N26" s="5">
        <f t="shared" si="3"/>
        <v>0</v>
      </c>
      <c r="O26" s="11"/>
      <c r="P26" s="2">
        <f>SUM(OSRRefP22_3x_0)</f>
        <v>41501</v>
      </c>
      <c r="Q26" s="2"/>
      <c r="R26" s="5">
        <f t="shared" si="4"/>
        <v>0</v>
      </c>
      <c r="S26" s="2"/>
      <c r="T26" s="2">
        <f>SUM(OSRRefT22_3x_0)</f>
        <v>71000</v>
      </c>
      <c r="U26" s="2"/>
      <c r="V26" s="5">
        <f t="shared" si="5"/>
        <v>0</v>
      </c>
      <c r="W26" s="2"/>
      <c r="X26" s="2">
        <f t="shared" si="6"/>
        <v>-29499</v>
      </c>
      <c r="Y26" s="2"/>
      <c r="Z26" s="5">
        <f t="shared" si="7"/>
        <v>-0.41547887323943661</v>
      </c>
    </row>
    <row r="27" spans="1:26" s="70" customFormat="1" ht="15" hidden="1" customHeight="1" outlineLevel="2" x14ac:dyDescent="0.3">
      <c r="A27" s="21"/>
      <c r="B27" s="9" t="str">
        <f>CONCATENATE("          ","6331"," - ","INDIRECT COSTS-AUXILIARY ORGAN")</f>
        <v xml:space="preserve">          6331 - INDIRECT COSTS-AUXILIARY ORGAN</v>
      </c>
      <c r="C27" s="9"/>
      <c r="D27" s="6"/>
      <c r="E27" s="3"/>
      <c r="F27" s="7">
        <f t="shared" si="0"/>
        <v>0</v>
      </c>
      <c r="G27" s="3"/>
      <c r="H27" s="6">
        <v>0</v>
      </c>
      <c r="I27" s="3"/>
      <c r="J27" s="7">
        <f t="shared" si="1"/>
        <v>0</v>
      </c>
      <c r="K27" s="3"/>
      <c r="L27" s="6">
        <f t="shared" si="2"/>
        <v>0</v>
      </c>
      <c r="M27" s="3"/>
      <c r="N27" s="7">
        <f t="shared" si="3"/>
        <v>0</v>
      </c>
      <c r="O27" s="9"/>
      <c r="P27" s="6">
        <v>41501</v>
      </c>
      <c r="Q27" s="3"/>
      <c r="R27" s="7">
        <f t="shared" si="4"/>
        <v>0</v>
      </c>
      <c r="S27" s="3"/>
      <c r="T27" s="6">
        <v>52000</v>
      </c>
      <c r="U27" s="3"/>
      <c r="V27" s="7">
        <f t="shared" si="5"/>
        <v>0</v>
      </c>
      <c r="W27" s="3"/>
      <c r="X27" s="6">
        <f t="shared" si="6"/>
        <v>-10499</v>
      </c>
      <c r="Y27" s="3"/>
      <c r="Z27" s="7">
        <f t="shared" si="7"/>
        <v>-0.20190384615384616</v>
      </c>
    </row>
    <row r="28" spans="1:26" s="70" customFormat="1" ht="15" hidden="1" customHeight="1" outlineLevel="2" x14ac:dyDescent="0.3">
      <c r="A28" s="21"/>
      <c r="B28" s="9" t="str">
        <f>CONCATENATE("          ","6332"," - ","CONSULTANT FEES")</f>
        <v xml:space="preserve">          6332 - CONSULTANT FEES</v>
      </c>
      <c r="C28" s="9"/>
      <c r="D28" s="6"/>
      <c r="E28" s="3"/>
      <c r="F28" s="7">
        <f t="shared" si="0"/>
        <v>0</v>
      </c>
      <c r="G28" s="3"/>
      <c r="H28" s="6"/>
      <c r="I28" s="3"/>
      <c r="J28" s="7">
        <f t="shared" si="1"/>
        <v>0</v>
      </c>
      <c r="K28" s="3"/>
      <c r="L28" s="6">
        <f t="shared" si="2"/>
        <v>0</v>
      </c>
      <c r="M28" s="3"/>
      <c r="N28" s="7">
        <f t="shared" si="3"/>
        <v>0</v>
      </c>
      <c r="O28" s="9"/>
      <c r="P28" s="6"/>
      <c r="Q28" s="3"/>
      <c r="R28" s="7">
        <f t="shared" si="4"/>
        <v>0</v>
      </c>
      <c r="S28" s="3"/>
      <c r="T28" s="6">
        <v>19000</v>
      </c>
      <c r="U28" s="3"/>
      <c r="V28" s="7">
        <f t="shared" si="5"/>
        <v>0</v>
      </c>
      <c r="W28" s="3"/>
      <c r="X28" s="6">
        <f t="shared" si="6"/>
        <v>-19000</v>
      </c>
      <c r="Y28" s="3"/>
      <c r="Z28" s="7">
        <f t="shared" si="7"/>
        <v>-1</v>
      </c>
    </row>
    <row r="29" spans="1:26" s="65" customFormat="1" ht="15" customHeight="1" x14ac:dyDescent="0.3">
      <c r="A29" s="36"/>
      <c r="B29" s="36"/>
      <c r="C29" s="36"/>
      <c r="D29" s="2"/>
      <c r="E29" s="2"/>
      <c r="F29" s="5"/>
      <c r="G29" s="2"/>
      <c r="H29" s="2"/>
      <c r="I29" s="2"/>
      <c r="J29" s="5"/>
      <c r="K29" s="2"/>
      <c r="L29" s="2"/>
      <c r="M29" s="2"/>
      <c r="N29" s="5"/>
      <c r="O29" s="36"/>
      <c r="P29" s="2"/>
      <c r="Q29" s="2"/>
      <c r="R29" s="5"/>
      <c r="S29" s="2"/>
      <c r="T29" s="2"/>
      <c r="U29" s="2"/>
      <c r="V29" s="5"/>
      <c r="W29" s="2"/>
      <c r="X29" s="2"/>
      <c r="Y29" s="2"/>
      <c r="Z29" s="5"/>
    </row>
    <row r="30" spans="1:26" s="63" customFormat="1" ht="15" customHeight="1" x14ac:dyDescent="0.3">
      <c r="A30" s="13"/>
      <c r="B30" s="28" t="s">
        <v>291</v>
      </c>
      <c r="C30" s="13"/>
      <c r="D30" s="8">
        <f>SUM(0)</f>
        <v>0</v>
      </c>
      <c r="E30" s="8"/>
      <c r="F30" s="14">
        <f>IF(D$12=0,0,D30/D$12)</f>
        <v>0</v>
      </c>
      <c r="G30" s="8"/>
      <c r="H30" s="8">
        <f>SUM(0)</f>
        <v>0</v>
      </c>
      <c r="I30" s="8"/>
      <c r="J30" s="14">
        <f>IF(H$12=0,0,H30/H$12)</f>
        <v>0</v>
      </c>
      <c r="K30" s="8"/>
      <c r="L30" s="8">
        <f>+D30-H30</f>
        <v>0</v>
      </c>
      <c r="M30" s="8"/>
      <c r="N30" s="14">
        <f>IF(H30=0,0,L30/H30)</f>
        <v>0</v>
      </c>
      <c r="O30" s="13"/>
      <c r="P30" s="8">
        <f>SUM(0)</f>
        <v>0</v>
      </c>
      <c r="Q30" s="8"/>
      <c r="R30" s="14">
        <f>IF(P$12=0,0,P30/P$12)</f>
        <v>0</v>
      </c>
      <c r="S30" s="8"/>
      <c r="T30" s="8">
        <f>SUM(0)</f>
        <v>0</v>
      </c>
      <c r="U30" s="8"/>
      <c r="V30" s="14">
        <f>IF(T$12=0,0,T30/T$12)</f>
        <v>0</v>
      </c>
      <c r="W30" s="8"/>
      <c r="X30" s="8">
        <f>+P30-T30</f>
        <v>0</v>
      </c>
      <c r="Y30" s="8"/>
      <c r="Z30" s="14">
        <f>IF(T30=0,0,X30/T30)</f>
        <v>0</v>
      </c>
    </row>
    <row r="31" spans="1:26" ht="15" customHeight="1" x14ac:dyDescent="0.3">
      <c r="A31" s="12"/>
      <c r="B31" s="13"/>
      <c r="C31" s="13"/>
      <c r="D31" s="4"/>
      <c r="E31" s="4"/>
      <c r="F31" s="10"/>
      <c r="G31" s="4"/>
      <c r="H31" s="4"/>
      <c r="I31" s="4"/>
      <c r="J31" s="10"/>
      <c r="K31" s="4"/>
      <c r="L31" s="4"/>
      <c r="M31" s="4"/>
      <c r="N31" s="10"/>
      <c r="O31" s="13"/>
      <c r="P31" s="4"/>
      <c r="Q31" s="4"/>
      <c r="R31" s="10"/>
      <c r="S31" s="4"/>
      <c r="T31" s="4"/>
      <c r="U31" s="4"/>
      <c r="V31" s="10"/>
      <c r="W31" s="4"/>
      <c r="X31" s="4"/>
      <c r="Y31" s="4"/>
      <c r="Z31" s="10"/>
    </row>
    <row r="32" spans="1:26" s="63" customFormat="1" ht="15" customHeight="1" x14ac:dyDescent="0.3">
      <c r="A32" s="13"/>
      <c r="B32" s="27" t="s">
        <v>292</v>
      </c>
      <c r="C32" s="27"/>
      <c r="D32" s="23">
        <f>+D16-D18+D30</f>
        <v>5770176.8500000015</v>
      </c>
      <c r="E32" s="15"/>
      <c r="F32" s="22">
        <f>IF(D$12=0,0,D32/D$12)</f>
        <v>0</v>
      </c>
      <c r="G32" s="15"/>
      <c r="H32" s="23">
        <f>+H16-H18+H30</f>
        <v>395492</v>
      </c>
      <c r="I32" s="15"/>
      <c r="J32" s="22">
        <f>IF(H$12=0,0,H32/H$12)</f>
        <v>0</v>
      </c>
      <c r="K32" s="17"/>
      <c r="L32" s="23">
        <f>+D32-H32</f>
        <v>5374684.8500000015</v>
      </c>
      <c r="M32" s="17"/>
      <c r="N32" s="22">
        <f>IF(H32=0,0,L32/H32)</f>
        <v>13.589869959442925</v>
      </c>
      <c r="O32" s="28"/>
      <c r="P32" s="23">
        <f>+P16-P18+P30</f>
        <v>5392421.0600000005</v>
      </c>
      <c r="Q32" s="15"/>
      <c r="R32" s="22">
        <f>IF(P$12=0,0,P32/P$12)</f>
        <v>0</v>
      </c>
      <c r="S32" s="15"/>
      <c r="T32" s="23">
        <f>+T16-T18+T30</f>
        <v>-121096</v>
      </c>
      <c r="U32" s="15"/>
      <c r="V32" s="22">
        <f>IF(T$12=0,0,T32/T$12)</f>
        <v>0</v>
      </c>
      <c r="W32" s="17"/>
      <c r="X32" s="23">
        <f>+P32-T32</f>
        <v>5513517.0600000005</v>
      </c>
      <c r="Y32" s="17"/>
      <c r="Z32" s="22">
        <f>IF(T32=0,0,X32/T32)</f>
        <v>-45.530133613001261</v>
      </c>
    </row>
    <row r="33" spans="1:26" ht="15" customHeight="1" x14ac:dyDescent="0.3">
      <c r="A33" s="12"/>
      <c r="B33" s="13"/>
      <c r="C33" s="12"/>
      <c r="D33" s="4"/>
      <c r="E33" s="4"/>
      <c r="F33" s="10"/>
      <c r="G33" s="4"/>
      <c r="H33" s="4"/>
      <c r="I33" s="4"/>
      <c r="J33" s="10"/>
      <c r="K33" s="4"/>
      <c r="L33" s="4"/>
      <c r="M33" s="4"/>
      <c r="N33" s="10"/>
      <c r="P33" s="4"/>
      <c r="Q33" s="4"/>
      <c r="R33" s="10"/>
      <c r="S33" s="4"/>
      <c r="T33" s="4"/>
      <c r="U33" s="4"/>
      <c r="V33" s="10"/>
      <c r="W33" s="4"/>
      <c r="X33" s="4"/>
      <c r="Y33" s="4"/>
      <c r="Z33" s="10"/>
    </row>
    <row r="34" spans="1:26" s="63" customFormat="1" ht="15" customHeight="1" x14ac:dyDescent="0.3">
      <c r="A34" s="49"/>
      <c r="B34" s="13" t="s">
        <v>293</v>
      </c>
      <c r="C34" s="13"/>
      <c r="D34" s="8"/>
      <c r="E34" s="8"/>
      <c r="F34" s="14">
        <f>IF(D$12=0,0,D34/D$12)</f>
        <v>0</v>
      </c>
      <c r="G34" s="8"/>
      <c r="H34" s="8"/>
      <c r="I34" s="8"/>
      <c r="J34" s="14">
        <f>IF(H$12=0,0,H34/H$12)</f>
        <v>0</v>
      </c>
      <c r="K34" s="8"/>
      <c r="L34" s="8">
        <f>+D34-H34</f>
        <v>0</v>
      </c>
      <c r="M34" s="8"/>
      <c r="N34" s="14">
        <f>IF(H34=0,0,L34/H34)</f>
        <v>0</v>
      </c>
      <c r="O34" s="13"/>
      <c r="P34" s="8"/>
      <c r="Q34" s="8"/>
      <c r="R34" s="14">
        <f>IF(P$12=0,0,P34/P$12)</f>
        <v>0</v>
      </c>
      <c r="S34" s="8"/>
      <c r="T34" s="8"/>
      <c r="U34" s="8"/>
      <c r="V34" s="14">
        <f>IF(T$12=0,0,T34/T$12)</f>
        <v>0</v>
      </c>
      <c r="W34" s="8"/>
      <c r="X34" s="8">
        <f>+P34-T34</f>
        <v>0</v>
      </c>
      <c r="Y34" s="8"/>
      <c r="Z34" s="14">
        <f>IF(T34=0,0,X34/T34)</f>
        <v>0</v>
      </c>
    </row>
    <row r="35" spans="1:26" ht="15" customHeight="1" x14ac:dyDescent="0.3">
      <c r="A35" s="12"/>
      <c r="B35" s="13"/>
      <c r="C35" s="13"/>
      <c r="D35" s="4"/>
      <c r="E35" s="4"/>
      <c r="F35" s="10"/>
      <c r="G35" s="4"/>
      <c r="H35" s="4"/>
      <c r="I35" s="4"/>
      <c r="J35" s="10"/>
      <c r="K35" s="4"/>
      <c r="L35" s="4"/>
      <c r="M35" s="4"/>
      <c r="N35" s="10"/>
      <c r="O35" s="13"/>
      <c r="P35" s="4"/>
      <c r="Q35" s="4"/>
      <c r="R35" s="10"/>
      <c r="S35" s="4"/>
      <c r="T35" s="4"/>
      <c r="U35" s="4"/>
      <c r="V35" s="10"/>
      <c r="W35" s="4"/>
      <c r="X35" s="4"/>
      <c r="Y35" s="4"/>
      <c r="Z35" s="10"/>
    </row>
    <row r="36" spans="1:26" s="63" customFormat="1" ht="15" customHeight="1" x14ac:dyDescent="0.3">
      <c r="A36" s="13"/>
      <c r="B36" s="27" t="s">
        <v>294</v>
      </c>
      <c r="C36" s="27"/>
      <c r="D36" s="30">
        <f>+D32-D34</f>
        <v>5770176.8500000015</v>
      </c>
      <c r="E36" s="15"/>
      <c r="F36" s="35">
        <f>IF(D$12=0,0,D36/D$12)</f>
        <v>0</v>
      </c>
      <c r="G36" s="15"/>
      <c r="H36" s="30">
        <f>+H32-H34</f>
        <v>395492</v>
      </c>
      <c r="I36" s="15"/>
      <c r="J36" s="35">
        <f>IF(H$12=0,0,H36/H$12)</f>
        <v>0</v>
      </c>
      <c r="K36" s="17"/>
      <c r="L36" s="30">
        <f>D36-H36</f>
        <v>5374684.8500000015</v>
      </c>
      <c r="M36" s="17"/>
      <c r="N36" s="35">
        <f>IF(H36=0,0,L36/H36)</f>
        <v>13.589869959442925</v>
      </c>
      <c r="O36" s="28"/>
      <c r="P36" s="30">
        <f>+P32-P34</f>
        <v>5392421.0600000005</v>
      </c>
      <c r="Q36" s="15"/>
      <c r="R36" s="35">
        <f>IF(P$12=0,0,P36/P$12)</f>
        <v>0</v>
      </c>
      <c r="S36" s="15"/>
      <c r="T36" s="30">
        <f>+T32-T34</f>
        <v>-121096</v>
      </c>
      <c r="U36" s="15"/>
      <c r="V36" s="35">
        <f>IF(T$12=0,0,T36/T$12)</f>
        <v>0</v>
      </c>
      <c r="W36" s="17"/>
      <c r="X36" s="30">
        <f>P36-T36</f>
        <v>5513517.0600000005</v>
      </c>
      <c r="Y36" s="17"/>
      <c r="Z36" s="35">
        <f>IF(T36=0,0,X36/T36)</f>
        <v>-45.530133613001261</v>
      </c>
    </row>
    <row r="37" spans="1:26" ht="15" customHeight="1" x14ac:dyDescent="0.3">
      <c r="A37" s="12"/>
      <c r="B37" s="12"/>
      <c r="C37" s="12"/>
      <c r="D37" s="4"/>
      <c r="E37" s="4"/>
      <c r="F37" s="10"/>
      <c r="G37" s="4"/>
      <c r="H37" s="4"/>
      <c r="I37" s="4"/>
      <c r="J37" s="10"/>
      <c r="K37" s="4"/>
      <c r="L37" s="4"/>
      <c r="M37" s="4"/>
      <c r="N37" s="10"/>
      <c r="P37" s="4"/>
      <c r="Q37" s="4"/>
      <c r="R37" s="10"/>
      <c r="S37" s="4"/>
      <c r="T37" s="4"/>
      <c r="U37" s="4"/>
      <c r="V37" s="10"/>
      <c r="W37" s="4"/>
      <c r="X37" s="4"/>
      <c r="Y37" s="4"/>
      <c r="Z37" s="10"/>
    </row>
    <row r="38" spans="1:26" ht="15" customHeight="1" x14ac:dyDescent="0.3">
      <c r="A38" s="12"/>
      <c r="B38" s="12"/>
      <c r="C38" s="12"/>
      <c r="D38" s="4"/>
      <c r="E38" s="4"/>
      <c r="F38" s="10"/>
      <c r="G38" s="4"/>
      <c r="H38" s="4"/>
      <c r="I38" s="4"/>
      <c r="J38" s="10"/>
      <c r="K38" s="4"/>
      <c r="L38" s="4"/>
      <c r="M38" s="4"/>
      <c r="N38" s="10"/>
      <c r="P38" s="4"/>
      <c r="Q38" s="4"/>
      <c r="R38" s="10"/>
      <c r="S38" s="4"/>
      <c r="T38" s="4"/>
      <c r="U38" s="4"/>
      <c r="V38" s="10"/>
      <c r="W38" s="4"/>
      <c r="X38" s="4"/>
      <c r="Y38" s="4"/>
      <c r="Z38" s="10"/>
    </row>
    <row r="39" spans="1:26" s="63" customFormat="1" ht="15" customHeight="1" x14ac:dyDescent="0.3">
      <c r="A39" s="13"/>
      <c r="B39" s="27" t="s">
        <v>297</v>
      </c>
      <c r="C39" s="27"/>
      <c r="D39" s="33">
        <f>SUM(D36:D38)</f>
        <v>5770176.8500000015</v>
      </c>
      <c r="E39" s="15"/>
      <c r="F39" s="31">
        <f>IF(D$12=0,0,D39/D$12)</f>
        <v>0</v>
      </c>
      <c r="G39" s="15"/>
      <c r="H39" s="33">
        <f>SUM(H36:H38)</f>
        <v>395492</v>
      </c>
      <c r="I39" s="15"/>
      <c r="J39" s="31">
        <f>IF(H$12=0,0,H39/H$12)</f>
        <v>0</v>
      </c>
      <c r="K39" s="17"/>
      <c r="L39" s="33">
        <f>+D39-H39</f>
        <v>5374684.8500000015</v>
      </c>
      <c r="M39" s="17"/>
      <c r="N39" s="31">
        <f>IF(H39=0,0,L39/H39)</f>
        <v>13.589869959442925</v>
      </c>
      <c r="O39" s="28"/>
      <c r="P39" s="33">
        <f>SUM(P36:P38)</f>
        <v>5392421.0600000005</v>
      </c>
      <c r="Q39" s="15"/>
      <c r="R39" s="31">
        <f>IF(P$12=0,0,P39/P$12)</f>
        <v>0</v>
      </c>
      <c r="S39" s="15"/>
      <c r="T39" s="33">
        <f>SUM(T36:T38)</f>
        <v>-121096</v>
      </c>
      <c r="U39" s="15"/>
      <c r="V39" s="31">
        <f>IF(T$12=0,0,T39/T$12)</f>
        <v>0</v>
      </c>
      <c r="W39" s="17"/>
      <c r="X39" s="33">
        <f>+P39-T39</f>
        <v>5513517.0600000005</v>
      </c>
      <c r="Y39" s="17"/>
      <c r="Z39" s="31">
        <f>IF(T39=0,0,X39/T39)</f>
        <v>-45.530133613001261</v>
      </c>
    </row>
    <row r="40" spans="1:26" ht="15" customHeight="1" x14ac:dyDescent="0.3">
      <c r="A40" s="12"/>
      <c r="C40" s="12"/>
      <c r="D40" s="19"/>
      <c r="E40" s="19"/>
      <c r="G40" s="19"/>
      <c r="H40" s="19"/>
      <c r="I40" s="19"/>
      <c r="J40" s="41"/>
      <c r="K40" s="19"/>
      <c r="L40" s="19"/>
      <c r="M40" s="19"/>
      <c r="P40" s="19"/>
      <c r="Q40" s="19"/>
      <c r="R40" s="41"/>
      <c r="S40" s="19"/>
      <c r="T40" s="19"/>
      <c r="U40" s="19"/>
      <c r="V40" s="41"/>
      <c r="W40" s="19"/>
      <c r="X40" s="19"/>
    </row>
    <row r="41" spans="1:26" ht="15" customHeight="1" x14ac:dyDescent="0.3">
      <c r="A41" s="12"/>
      <c r="B41" s="50">
        <v>44767.799547766204</v>
      </c>
      <c r="D41" s="19"/>
      <c r="E41" s="19"/>
      <c r="G41" s="19"/>
      <c r="H41" s="19"/>
      <c r="I41" s="19"/>
      <c r="J41" s="41"/>
      <c r="K41" s="19"/>
      <c r="L41" s="19"/>
      <c r="M41" s="19"/>
      <c r="P41" s="19"/>
      <c r="Q41" s="19"/>
      <c r="R41" s="41"/>
      <c r="S41" s="19"/>
      <c r="T41" s="19"/>
      <c r="U41" s="19"/>
      <c r="V41" s="41"/>
      <c r="W41" s="19"/>
      <c r="X41" s="19"/>
    </row>
    <row r="42" spans="1:26" ht="15" customHeight="1" x14ac:dyDescent="0.3">
      <c r="A42" s="12"/>
      <c r="B42" s="57" t="s">
        <v>298</v>
      </c>
      <c r="D42" s="19"/>
      <c r="E42" s="19"/>
      <c r="G42" s="19"/>
      <c r="H42" s="19"/>
      <c r="I42" s="19"/>
      <c r="J42" s="41"/>
      <c r="K42" s="19"/>
      <c r="L42" s="19"/>
      <c r="M42" s="19"/>
      <c r="P42" s="19"/>
      <c r="Q42" s="19"/>
      <c r="R42" s="41"/>
      <c r="S42" s="19"/>
      <c r="T42" s="19"/>
      <c r="U42" s="19"/>
      <c r="V42" s="41"/>
      <c r="W42" s="19"/>
      <c r="X42" s="19"/>
    </row>
    <row r="43" spans="1:26" ht="15" customHeight="1" x14ac:dyDescent="0.3">
      <c r="A43" s="12"/>
      <c r="B43" s="51"/>
      <c r="D43" s="19"/>
      <c r="E43" s="19"/>
      <c r="G43" s="19"/>
      <c r="H43" s="19"/>
      <c r="I43" s="19"/>
      <c r="J43" s="41"/>
      <c r="K43" s="19"/>
      <c r="L43" s="19"/>
      <c r="M43" s="19"/>
      <c r="P43" s="19"/>
      <c r="Q43" s="19"/>
      <c r="R43" s="41"/>
      <c r="S43" s="19"/>
      <c r="T43" s="19"/>
      <c r="U43" s="19"/>
      <c r="V43" s="41"/>
      <c r="W43" s="19"/>
      <c r="X43" s="19"/>
    </row>
    <row r="44" spans="1:26" ht="15" customHeight="1" x14ac:dyDescent="0.3">
      <c r="D44" s="19"/>
      <c r="E44" s="19"/>
      <c r="G44" s="19"/>
      <c r="H44" s="19"/>
      <c r="I44" s="19"/>
      <c r="J44" s="41"/>
      <c r="K44" s="19"/>
      <c r="L44" s="19"/>
      <c r="M44" s="19"/>
      <c r="P44" s="19"/>
      <c r="Q44" s="19"/>
      <c r="R44" s="41"/>
      <c r="S44" s="19"/>
      <c r="T44" s="19"/>
      <c r="U44" s="19"/>
      <c r="V44" s="41"/>
      <c r="W44" s="19"/>
      <c r="X44" s="19"/>
    </row>
  </sheetData>
  <pageMargins left="0.25" right="0.25" top="0.75" bottom="0.75" header="0.3" footer="0.3"/>
  <pageSetup scale="55" orientation="landscape" r:id="rId1"/>
  <headerFooter>
    <oddHeader>&amp;RPre-Audit</oddHeader>
    <oddFooter>&amp;L&amp;C&amp;R</oddFooter>
    <evenHeader>&amp;L&amp;C&amp;R</evenHeader>
    <evenFooter>&amp;L&amp;C&amp;R</even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514366-4676-6AAB-B203-395C48F7F28C}">
  <sheetPr>
    <tabColor rgb="FF92D050"/>
    <outlinePr summaryBelow="0" summaryRight="0"/>
  </sheetPr>
  <dimension ref="A2:Z89"/>
  <sheetViews>
    <sheetView showGridLines="0" defaultGridColor="0" colorId="8" zoomScale="80" workbookViewId="0">
      <pane xSplit="3" ySplit="10" topLeftCell="D11" activePane="bottomRight" state="frozen"/>
      <selection activeCell="D78" sqref="D78"/>
      <selection pane="topRight" activeCell="D78" sqref="D78"/>
      <selection pane="bottomLeft" activeCell="D78" sqref="D78"/>
      <selection pane="bottomRight" activeCell="D78" sqref="D78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3" t="s">
        <v>276</v>
      </c>
    </row>
    <row r="3" spans="1:26" ht="15" customHeight="1" x14ac:dyDescent="0.3">
      <c r="D3" s="53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3" t="str">
        <f>CONCATENATE("Period ",RIGHT(202212,2),", ",2022)</f>
        <v>Period 12,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5"/>
      <c r="D5" s="60">
        <v>44742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5"/>
      <c r="B6" s="47"/>
      <c r="C6" s="47"/>
      <c r="D6" s="25" t="str">
        <f>CONCATENATE("Department ","201"," - ","General Manager")</f>
        <v>Department 201 - General Manager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4"/>
    </row>
    <row r="8" spans="1:26" ht="15" customHeight="1" x14ac:dyDescent="0.3">
      <c r="B8" s="54"/>
    </row>
    <row r="9" spans="1:26" ht="15" customHeight="1" x14ac:dyDescent="0.3">
      <c r="B9" s="12"/>
      <c r="C9" s="12"/>
      <c r="D9" s="16" t="s">
        <v>279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280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ht="15" customHeight="1" x14ac:dyDescent="0.3">
      <c r="A10" s="13"/>
      <c r="B10" s="52"/>
      <c r="C10" s="13"/>
      <c r="D10" s="40" t="s">
        <v>281</v>
      </c>
      <c r="E10" s="32"/>
      <c r="F10" s="39" t="s">
        <v>282</v>
      </c>
      <c r="G10" s="32"/>
      <c r="H10" s="45" t="s">
        <v>283</v>
      </c>
      <c r="I10" s="32"/>
      <c r="J10" s="42" t="s">
        <v>284</v>
      </c>
      <c r="K10" s="13"/>
      <c r="L10" s="40" t="s">
        <v>285</v>
      </c>
      <c r="M10" s="13"/>
      <c r="N10" s="39" t="s">
        <v>286</v>
      </c>
      <c r="O10" s="13"/>
      <c r="P10" s="55" t="s">
        <v>281</v>
      </c>
      <c r="Q10" s="32"/>
      <c r="R10" s="39" t="s">
        <v>282</v>
      </c>
      <c r="S10" s="32"/>
      <c r="T10" s="45" t="s">
        <v>283</v>
      </c>
      <c r="U10" s="32"/>
      <c r="V10" s="42" t="s">
        <v>284</v>
      </c>
      <c r="W10" s="13"/>
      <c r="X10" s="40" t="s">
        <v>285</v>
      </c>
      <c r="Y10" s="13"/>
      <c r="Z10" s="39" t="s">
        <v>286</v>
      </c>
    </row>
    <row r="11" spans="1:26" ht="16.5" customHeight="1" x14ac:dyDescent="0.3">
      <c r="A11" s="12"/>
      <c r="B11" s="58"/>
      <c r="C11" s="12"/>
      <c r="D11" s="12"/>
      <c r="E11" s="12"/>
      <c r="F11" s="10"/>
      <c r="G11" s="12"/>
      <c r="H11" s="12"/>
      <c r="I11" s="12"/>
      <c r="J11" s="43"/>
      <c r="K11" s="12"/>
      <c r="L11" s="12"/>
      <c r="M11" s="12"/>
      <c r="N11" s="10"/>
      <c r="P11" s="12"/>
      <c r="Q11" s="12"/>
      <c r="R11" s="10"/>
      <c r="S11" s="12"/>
      <c r="T11" s="12"/>
      <c r="U11" s="12"/>
      <c r="V11" s="43"/>
      <c r="W11" s="12"/>
      <c r="X11" s="12"/>
      <c r="Y11" s="12"/>
      <c r="Z11" s="10"/>
    </row>
    <row r="12" spans="1:26" s="63" customFormat="1" ht="15" customHeight="1" x14ac:dyDescent="0.3">
      <c r="A12" s="13"/>
      <c r="B12" s="28" t="s">
        <v>287</v>
      </c>
      <c r="C12" s="13"/>
      <c r="D12" s="8">
        <f>SUM(0)</f>
        <v>0</v>
      </c>
      <c r="E12" s="8"/>
      <c r="F12" s="14"/>
      <c r="G12" s="8"/>
      <c r="H12" s="8">
        <f>SUM(0)</f>
        <v>0</v>
      </c>
      <c r="I12" s="8"/>
      <c r="J12" s="14"/>
      <c r="K12" s="8"/>
      <c r="L12" s="8">
        <f>+D12-H12</f>
        <v>0</v>
      </c>
      <c r="M12" s="8"/>
      <c r="N12" s="14">
        <f>IF(H12=0,0,L12/H12)</f>
        <v>0</v>
      </c>
      <c r="O12" s="13"/>
      <c r="P12" s="8">
        <f>SUM(0)</f>
        <v>0</v>
      </c>
      <c r="Q12" s="8"/>
      <c r="R12" s="14"/>
      <c r="S12" s="8"/>
      <c r="T12" s="8">
        <f>SUM(0)</f>
        <v>0</v>
      </c>
      <c r="U12" s="8"/>
      <c r="V12" s="14"/>
      <c r="W12" s="8"/>
      <c r="X12" s="8">
        <f>+P12-T12</f>
        <v>0</v>
      </c>
      <c r="Y12" s="8"/>
      <c r="Z12" s="14">
        <f>IF(T12=0,0,X12/T12)</f>
        <v>0</v>
      </c>
    </row>
    <row r="13" spans="1:26" ht="15" customHeight="1" x14ac:dyDescent="0.3">
      <c r="A13" s="12"/>
      <c r="B13" s="13"/>
      <c r="C13" s="12"/>
      <c r="D13" s="4"/>
      <c r="E13" s="4"/>
      <c r="F13" s="10"/>
      <c r="G13" s="4"/>
      <c r="H13" s="4"/>
      <c r="I13" s="4"/>
      <c r="J13" s="10"/>
      <c r="K13" s="4"/>
      <c r="L13" s="4"/>
      <c r="M13" s="4"/>
      <c r="N13" s="10"/>
      <c r="P13" s="4"/>
      <c r="Q13" s="4"/>
      <c r="R13" s="10"/>
      <c r="S13" s="4"/>
      <c r="T13" s="4"/>
      <c r="U13" s="4"/>
      <c r="V13" s="10"/>
      <c r="W13" s="4"/>
      <c r="X13" s="4"/>
      <c r="Y13" s="4"/>
      <c r="Z13" s="10"/>
    </row>
    <row r="14" spans="1:26" s="63" customFormat="1" ht="15" customHeight="1" x14ac:dyDescent="0.3">
      <c r="A14" s="13"/>
      <c r="B14" s="28" t="s">
        <v>288</v>
      </c>
      <c r="C14" s="13"/>
      <c r="D14" s="8">
        <f>SUM(0)</f>
        <v>0</v>
      </c>
      <c r="E14" s="8"/>
      <c r="F14" s="14">
        <f>IF(D$12=0,0,D14/D$12)</f>
        <v>0</v>
      </c>
      <c r="G14" s="8"/>
      <c r="H14" s="8">
        <f>SUM(0)</f>
        <v>0</v>
      </c>
      <c r="I14" s="8"/>
      <c r="J14" s="14">
        <f>IF(H$12=0,0,H14/H$12)</f>
        <v>0</v>
      </c>
      <c r="K14" s="8"/>
      <c r="L14" s="8">
        <f>+D14-H14</f>
        <v>0</v>
      </c>
      <c r="M14" s="8"/>
      <c r="N14" s="14">
        <f>IF(H14=0,0,L14/H14)</f>
        <v>0</v>
      </c>
      <c r="O14" s="13"/>
      <c r="P14" s="8">
        <f>SUM(0)</f>
        <v>0</v>
      </c>
      <c r="Q14" s="8"/>
      <c r="R14" s="14">
        <f>IF(P$12=0,0,P14/P$12)</f>
        <v>0</v>
      </c>
      <c r="S14" s="8"/>
      <c r="T14" s="8">
        <f>SUM(0)</f>
        <v>0</v>
      </c>
      <c r="U14" s="8"/>
      <c r="V14" s="14">
        <f>IF(T$12=0,0,T14/T$12)</f>
        <v>0</v>
      </c>
      <c r="W14" s="8"/>
      <c r="X14" s="8">
        <f>+P14-T14</f>
        <v>0</v>
      </c>
      <c r="Y14" s="8"/>
      <c r="Z14" s="14">
        <f>IF(T14=0,0,X14/T14)</f>
        <v>0</v>
      </c>
    </row>
    <row r="15" spans="1:26" ht="15" customHeight="1" x14ac:dyDescent="0.3">
      <c r="A15" s="12"/>
      <c r="B15" s="13"/>
      <c r="C15" s="13"/>
      <c r="D15" s="4"/>
      <c r="E15" s="4"/>
      <c r="F15" s="10"/>
      <c r="G15" s="4"/>
      <c r="H15" s="4"/>
      <c r="I15" s="4"/>
      <c r="J15" s="10"/>
      <c r="K15" s="4"/>
      <c r="L15" s="4"/>
      <c r="M15" s="4"/>
      <c r="N15" s="10"/>
      <c r="O15" s="13"/>
      <c r="P15" s="4"/>
      <c r="Q15" s="4"/>
      <c r="R15" s="10"/>
      <c r="S15" s="4"/>
      <c r="T15" s="4"/>
      <c r="U15" s="4"/>
      <c r="V15" s="10"/>
      <c r="W15" s="4"/>
      <c r="X15" s="4"/>
      <c r="Y15" s="4"/>
      <c r="Z15" s="10"/>
    </row>
    <row r="16" spans="1:26" s="63" customFormat="1" ht="15" customHeight="1" x14ac:dyDescent="0.3">
      <c r="A16" s="13"/>
      <c r="B16" s="27" t="s">
        <v>289</v>
      </c>
      <c r="C16" s="27"/>
      <c r="D16" s="23">
        <f>D12-D14</f>
        <v>0</v>
      </c>
      <c r="E16" s="15"/>
      <c r="F16" s="22">
        <f>IF(D$12=0,0,D16/D$12)</f>
        <v>0</v>
      </c>
      <c r="G16" s="15"/>
      <c r="H16" s="23">
        <f>H12-H14</f>
        <v>0</v>
      </c>
      <c r="I16" s="15"/>
      <c r="J16" s="22">
        <f>IF(H$12=0,0,H16/H$12)</f>
        <v>0</v>
      </c>
      <c r="K16" s="17"/>
      <c r="L16" s="23">
        <f>+D16-H16</f>
        <v>0</v>
      </c>
      <c r="M16" s="17"/>
      <c r="N16" s="22">
        <f>IF(H16=0,0,L16/H16)</f>
        <v>0</v>
      </c>
      <c r="O16" s="28"/>
      <c r="P16" s="23">
        <f>P12-P14</f>
        <v>0</v>
      </c>
      <c r="Q16" s="15"/>
      <c r="R16" s="22">
        <f>IF(P$12=0,0,P16/P$12)</f>
        <v>0</v>
      </c>
      <c r="S16" s="15"/>
      <c r="T16" s="23">
        <f>T12-T14</f>
        <v>0</v>
      </c>
      <c r="U16" s="15"/>
      <c r="V16" s="22">
        <f>IF(T$12=0,0,T16/T$12)</f>
        <v>0</v>
      </c>
      <c r="W16" s="17"/>
      <c r="X16" s="23">
        <f>+P16-T16</f>
        <v>0</v>
      </c>
      <c r="Y16" s="17"/>
      <c r="Z16" s="22">
        <f>IF(T16=0,0,X16/T16)</f>
        <v>0</v>
      </c>
    </row>
    <row r="17" spans="1:26" ht="15" customHeight="1" x14ac:dyDescent="0.3">
      <c r="A17" s="12"/>
      <c r="B17" s="13"/>
      <c r="C17" s="12"/>
      <c r="D17" s="2"/>
      <c r="E17" s="2"/>
      <c r="F17" s="5"/>
      <c r="G17" s="2"/>
      <c r="H17" s="2"/>
      <c r="I17" s="2"/>
      <c r="J17" s="5"/>
      <c r="K17" s="2"/>
      <c r="L17" s="2"/>
      <c r="M17" s="2"/>
      <c r="N17" s="5"/>
      <c r="O17" s="36"/>
      <c r="P17" s="2"/>
      <c r="Q17" s="2"/>
      <c r="R17" s="5"/>
      <c r="S17" s="2"/>
      <c r="T17" s="2"/>
      <c r="U17" s="2"/>
      <c r="V17" s="5"/>
      <c r="W17" s="2"/>
      <c r="X17" s="2"/>
      <c r="Y17" s="2"/>
      <c r="Z17" s="5"/>
    </row>
    <row r="18" spans="1:26" s="63" customFormat="1" ht="15" customHeight="1" x14ac:dyDescent="0.3">
      <c r="A18" s="13"/>
      <c r="B18" s="28" t="s">
        <v>290</v>
      </c>
      <c r="C18" s="13"/>
      <c r="D18" s="24" cm="1">
        <f t="array" ref="D18">SUM(OSRRefD22x_0)</f>
        <v>35731.839999999997</v>
      </c>
      <c r="E18" s="24"/>
      <c r="F18" s="34">
        <f t="shared" ref="F18:F49" si="0">IF(D$12=0,0,D18/D$12)</f>
        <v>0</v>
      </c>
      <c r="G18" s="24"/>
      <c r="H18" s="24" cm="1">
        <f t="array" ref="H18">SUM(OSRRefH22x_0)</f>
        <v>31072.382430769179</v>
      </c>
      <c r="I18" s="24"/>
      <c r="J18" s="34">
        <f t="shared" ref="J18:J49" si="1">IF(H$12=0,0,H18/H$12)</f>
        <v>0</v>
      </c>
      <c r="K18" s="8"/>
      <c r="L18" s="24">
        <f t="shared" ref="L18:L49" si="2">+D18-H18</f>
        <v>4659.4575692308172</v>
      </c>
      <c r="M18" s="8"/>
      <c r="N18" s="34">
        <f t="shared" ref="N18:N49" si="3">IF(H18=0,0,L18/H18)</f>
        <v>0.14995495049703128</v>
      </c>
      <c r="O18" s="13"/>
      <c r="P18" s="24" cm="1">
        <f t="array" ref="P18">SUM(OSRRefP22x_0)</f>
        <v>559581.35</v>
      </c>
      <c r="Q18" s="24"/>
      <c r="R18" s="34">
        <f t="shared" ref="R18:R49" si="4">IF(P$12=0,0,P18/P$12)</f>
        <v>0</v>
      </c>
      <c r="S18" s="24"/>
      <c r="T18" s="24" cm="1">
        <f t="array" ref="T18">SUM(OSRRefT22x_0)</f>
        <v>543826.54438846163</v>
      </c>
      <c r="U18" s="24"/>
      <c r="V18" s="34">
        <f t="shared" ref="V18:V49" si="5">IF(T$12=0,0,T18/T$12)</f>
        <v>0</v>
      </c>
      <c r="W18" s="8"/>
      <c r="X18" s="24">
        <f t="shared" ref="X18:X49" si="6">+P18-T18</f>
        <v>15754.805611538352</v>
      </c>
      <c r="Y18" s="8"/>
      <c r="Z18" s="34">
        <f t="shared" ref="Z18:Z49" si="7">IF(T18=0,0,X18/T18)</f>
        <v>2.8970276964422153E-2</v>
      </c>
    </row>
    <row r="19" spans="1:26" s="69" customFormat="1" ht="15" customHeight="1" outlineLevel="1" collapsed="1" x14ac:dyDescent="0.3">
      <c r="A19" s="20"/>
      <c r="B19" s="11" t="str">
        <f>CONCATENATE("     ","*Benefits                                         ")</f>
        <v xml:space="preserve">     *Benefits                                         </v>
      </c>
      <c r="C19" s="11"/>
      <c r="D19" s="2">
        <f>SUM(OSRRefD22_0x_0)</f>
        <v>9914.3999999999978</v>
      </c>
      <c r="E19" s="2"/>
      <c r="F19" s="5">
        <f t="shared" si="0"/>
        <v>0</v>
      </c>
      <c r="G19" s="2"/>
      <c r="H19" s="2">
        <f>SUM(OSRRefH22_0x_0)</f>
        <v>8338.1208923076883</v>
      </c>
      <c r="I19" s="2"/>
      <c r="J19" s="5">
        <f t="shared" si="1"/>
        <v>0</v>
      </c>
      <c r="K19" s="2"/>
      <c r="L19" s="2">
        <f t="shared" si="2"/>
        <v>1576.2791076923095</v>
      </c>
      <c r="M19" s="2"/>
      <c r="N19" s="5">
        <f t="shared" si="3"/>
        <v>0.18904488529861707</v>
      </c>
      <c r="O19" s="11"/>
      <c r="P19" s="2">
        <f>SUM(OSRRefP22_0x_0)</f>
        <v>165029.35</v>
      </c>
      <c r="Q19" s="2"/>
      <c r="R19" s="5">
        <f t="shared" si="4"/>
        <v>0</v>
      </c>
      <c r="S19" s="2"/>
      <c r="T19" s="2">
        <f>SUM(OSRRefT22_0x_0)</f>
        <v>114618.06746538456</v>
      </c>
      <c r="U19" s="2"/>
      <c r="V19" s="5">
        <f t="shared" si="5"/>
        <v>0</v>
      </c>
      <c r="W19" s="2"/>
      <c r="X19" s="2">
        <f t="shared" si="6"/>
        <v>50411.282534615442</v>
      </c>
      <c r="Y19" s="2"/>
      <c r="Z19" s="5">
        <f t="shared" si="7"/>
        <v>0.43981968680321709</v>
      </c>
    </row>
    <row r="20" spans="1:26" s="70" customFormat="1" ht="15" hidden="1" customHeight="1" outlineLevel="2" x14ac:dyDescent="0.3">
      <c r="A20" s="21"/>
      <c r="B20" s="9" t="str">
        <f>CONCATENATE("          ","6111"," - ","F.I.C.A.")</f>
        <v xml:space="preserve">          6111 - F.I.C.A.</v>
      </c>
      <c r="C20" s="9"/>
      <c r="D20" s="6">
        <v>1226.53</v>
      </c>
      <c r="E20" s="3"/>
      <c r="F20" s="7">
        <f t="shared" si="0"/>
        <v>0</v>
      </c>
      <c r="G20" s="3"/>
      <c r="H20" s="6">
        <v>1430.0513538461501</v>
      </c>
      <c r="I20" s="3"/>
      <c r="J20" s="7">
        <f t="shared" si="1"/>
        <v>0</v>
      </c>
      <c r="K20" s="3"/>
      <c r="L20" s="6">
        <f t="shared" si="2"/>
        <v>-203.52135384615008</v>
      </c>
      <c r="M20" s="3"/>
      <c r="N20" s="7">
        <f t="shared" si="3"/>
        <v>-0.14231751419190336</v>
      </c>
      <c r="O20" s="9"/>
      <c r="P20" s="6">
        <v>21010.59</v>
      </c>
      <c r="Q20" s="3"/>
      <c r="R20" s="7">
        <f t="shared" si="4"/>
        <v>0</v>
      </c>
      <c r="S20" s="3"/>
      <c r="T20" s="6">
        <v>20804.8865423077</v>
      </c>
      <c r="U20" s="3"/>
      <c r="V20" s="7">
        <f t="shared" si="5"/>
        <v>0</v>
      </c>
      <c r="W20" s="3"/>
      <c r="X20" s="6">
        <f t="shared" si="6"/>
        <v>205.70345769229971</v>
      </c>
      <c r="Y20" s="3"/>
      <c r="Z20" s="7">
        <f t="shared" si="7"/>
        <v>9.8872664974159891E-3</v>
      </c>
    </row>
    <row r="21" spans="1:26" s="70" customFormat="1" ht="15" hidden="1" customHeight="1" outlineLevel="2" x14ac:dyDescent="0.3">
      <c r="A21" s="21"/>
      <c r="B21" s="9" t="str">
        <f>CONCATENATE("          ","6112"," - ","COMPENSATION INSURANCE")</f>
        <v xml:space="preserve">          6112 - COMPENSATION INSURANCE</v>
      </c>
      <c r="C21" s="9"/>
      <c r="D21" s="6">
        <v>-575.12</v>
      </c>
      <c r="E21" s="3"/>
      <c r="F21" s="7">
        <f t="shared" si="0"/>
        <v>0</v>
      </c>
      <c r="G21" s="3"/>
      <c r="H21" s="6">
        <v>57.927076923076903</v>
      </c>
      <c r="I21" s="3"/>
      <c r="J21" s="7">
        <f t="shared" si="1"/>
        <v>0</v>
      </c>
      <c r="K21" s="3"/>
      <c r="L21" s="6">
        <f t="shared" si="2"/>
        <v>-633.04707692307693</v>
      </c>
      <c r="M21" s="3"/>
      <c r="N21" s="7">
        <f t="shared" si="3"/>
        <v>-10.928344921731837</v>
      </c>
      <c r="O21" s="9"/>
      <c r="P21" s="6">
        <v>3178.47</v>
      </c>
      <c r="Q21" s="3"/>
      <c r="R21" s="7">
        <f t="shared" si="4"/>
        <v>0</v>
      </c>
      <c r="S21" s="3"/>
      <c r="T21" s="6">
        <v>842.74334615384601</v>
      </c>
      <c r="U21" s="3"/>
      <c r="V21" s="7">
        <f t="shared" si="5"/>
        <v>0</v>
      </c>
      <c r="W21" s="3"/>
      <c r="X21" s="6">
        <f t="shared" si="6"/>
        <v>2335.7266538461536</v>
      </c>
      <c r="Y21" s="3"/>
      <c r="Z21" s="7">
        <f t="shared" si="7"/>
        <v>2.7715753135353238</v>
      </c>
    </row>
    <row r="22" spans="1:26" s="70" customFormat="1" ht="15" hidden="1" customHeight="1" outlineLevel="2" x14ac:dyDescent="0.3">
      <c r="A22" s="21"/>
      <c r="B22" s="9" t="str">
        <f>CONCATENATE("          ","6113"," - ","GROUP INSURANCE")</f>
        <v xml:space="preserve">          6113 - GROUP INSURANCE</v>
      </c>
      <c r="C22" s="9"/>
      <c r="D22" s="6">
        <v>3588.59</v>
      </c>
      <c r="E22" s="3"/>
      <c r="F22" s="7">
        <f t="shared" si="0"/>
        <v>0</v>
      </c>
      <c r="G22" s="3"/>
      <c r="H22" s="6">
        <v>3359</v>
      </c>
      <c r="I22" s="3"/>
      <c r="J22" s="7">
        <f t="shared" si="1"/>
        <v>0</v>
      </c>
      <c r="K22" s="3"/>
      <c r="L22" s="6">
        <f t="shared" si="2"/>
        <v>229.59000000000015</v>
      </c>
      <c r="M22" s="3"/>
      <c r="N22" s="7">
        <f t="shared" si="3"/>
        <v>6.8350699612980098E-2</v>
      </c>
      <c r="O22" s="9"/>
      <c r="P22" s="6">
        <v>45187.88</v>
      </c>
      <c r="Q22" s="3"/>
      <c r="R22" s="7">
        <f t="shared" si="4"/>
        <v>0</v>
      </c>
      <c r="S22" s="3"/>
      <c r="T22" s="6">
        <v>43072</v>
      </c>
      <c r="U22" s="3"/>
      <c r="V22" s="7">
        <f t="shared" si="5"/>
        <v>0</v>
      </c>
      <c r="W22" s="3"/>
      <c r="X22" s="6">
        <f t="shared" si="6"/>
        <v>2115.8799999999974</v>
      </c>
      <c r="Y22" s="3"/>
      <c r="Z22" s="7">
        <f t="shared" si="7"/>
        <v>4.9124257057949421E-2</v>
      </c>
    </row>
    <row r="23" spans="1:26" s="70" customFormat="1" ht="15" hidden="1" customHeight="1" outlineLevel="2" x14ac:dyDescent="0.3">
      <c r="A23" s="21"/>
      <c r="B23" s="9" t="str">
        <f>CONCATENATE("          ","6114"," - ","STATE UNEMPLOYMENT INSURANCE")</f>
        <v xml:space="preserve">          6114 - STATE UNEMPLOYMENT INSURANCE</v>
      </c>
      <c r="C23" s="9"/>
      <c r="D23" s="6"/>
      <c r="E23" s="3"/>
      <c r="F23" s="7">
        <f t="shared" si="0"/>
        <v>0</v>
      </c>
      <c r="G23" s="3"/>
      <c r="H23" s="6">
        <v>39.240923076923103</v>
      </c>
      <c r="I23" s="3"/>
      <c r="J23" s="7">
        <f t="shared" si="1"/>
        <v>0</v>
      </c>
      <c r="K23" s="3"/>
      <c r="L23" s="6">
        <f t="shared" si="2"/>
        <v>-39.240923076923103</v>
      </c>
      <c r="M23" s="3"/>
      <c r="N23" s="7">
        <f t="shared" si="3"/>
        <v>-1</v>
      </c>
      <c r="O23" s="9"/>
      <c r="P23" s="6">
        <v>756.53</v>
      </c>
      <c r="Q23" s="3"/>
      <c r="R23" s="7">
        <f t="shared" si="4"/>
        <v>0</v>
      </c>
      <c r="S23" s="3"/>
      <c r="T23" s="6">
        <v>570.89065384615401</v>
      </c>
      <c r="U23" s="3"/>
      <c r="V23" s="7">
        <f t="shared" si="5"/>
        <v>0</v>
      </c>
      <c r="W23" s="3"/>
      <c r="X23" s="6">
        <f t="shared" si="6"/>
        <v>185.63934615384596</v>
      </c>
      <c r="Y23" s="3"/>
      <c r="Z23" s="7">
        <f t="shared" si="7"/>
        <v>0.32517496109486638</v>
      </c>
    </row>
    <row r="24" spans="1:26" s="70" customFormat="1" ht="15" hidden="1" customHeight="1" outlineLevel="2" x14ac:dyDescent="0.3">
      <c r="A24" s="21"/>
      <c r="B24" s="9" t="str">
        <f>CONCATENATE("          ","6115"," - ","P.E.R.S.")</f>
        <v xml:space="preserve">          6115 - P.E.R.S.</v>
      </c>
      <c r="C24" s="9"/>
      <c r="D24" s="6">
        <v>2425.4</v>
      </c>
      <c r="E24" s="3"/>
      <c r="F24" s="7">
        <f t="shared" si="0"/>
        <v>0</v>
      </c>
      <c r="G24" s="3"/>
      <c r="H24" s="6">
        <v>1607.00923076923</v>
      </c>
      <c r="I24" s="3"/>
      <c r="J24" s="7">
        <f t="shared" si="1"/>
        <v>0</v>
      </c>
      <c r="K24" s="3"/>
      <c r="L24" s="6">
        <f t="shared" si="2"/>
        <v>818.39076923077005</v>
      </c>
      <c r="M24" s="3"/>
      <c r="N24" s="7">
        <f t="shared" si="3"/>
        <v>0.50926326592351279</v>
      </c>
      <c r="O24" s="9"/>
      <c r="P24" s="6">
        <v>28723.9</v>
      </c>
      <c r="Q24" s="3"/>
      <c r="R24" s="7">
        <f t="shared" si="4"/>
        <v>0</v>
      </c>
      <c r="S24" s="3"/>
      <c r="T24" s="6">
        <v>23379.331538461502</v>
      </c>
      <c r="U24" s="3"/>
      <c r="V24" s="7">
        <f t="shared" si="5"/>
        <v>0</v>
      </c>
      <c r="W24" s="3"/>
      <c r="X24" s="6">
        <f t="shared" si="6"/>
        <v>5344.5684615384998</v>
      </c>
      <c r="Y24" s="3"/>
      <c r="Z24" s="7">
        <f t="shared" si="7"/>
        <v>0.2286022785872262</v>
      </c>
    </row>
    <row r="25" spans="1:26" s="70" customFormat="1" ht="15" hidden="1" customHeight="1" outlineLevel="2" x14ac:dyDescent="0.3">
      <c r="A25" s="21"/>
      <c r="B25" s="9" t="str">
        <f>CONCATENATE("          ","6116"," - ","EDUCATIONAL BENEFITS")</f>
        <v xml:space="preserve">          6116 - EDUCATIONAL BENEFITS</v>
      </c>
      <c r="C25" s="9"/>
      <c r="D25" s="6"/>
      <c r="E25" s="3"/>
      <c r="F25" s="7">
        <f t="shared" si="0"/>
        <v>0</v>
      </c>
      <c r="G25" s="3"/>
      <c r="H25" s="6">
        <v>0</v>
      </c>
      <c r="I25" s="3"/>
      <c r="J25" s="7">
        <f t="shared" si="1"/>
        <v>0</v>
      </c>
      <c r="K25" s="3"/>
      <c r="L25" s="6">
        <f t="shared" si="2"/>
        <v>0</v>
      </c>
      <c r="M25" s="3"/>
      <c r="N25" s="7">
        <f t="shared" si="3"/>
        <v>0</v>
      </c>
      <c r="O25" s="9"/>
      <c r="P25" s="6"/>
      <c r="Q25" s="3"/>
      <c r="R25" s="7">
        <f t="shared" si="4"/>
        <v>0</v>
      </c>
      <c r="S25" s="3"/>
      <c r="T25" s="6">
        <v>0</v>
      </c>
      <c r="U25" s="3"/>
      <c r="V25" s="7">
        <f t="shared" si="5"/>
        <v>0</v>
      </c>
      <c r="W25" s="3"/>
      <c r="X25" s="6">
        <f t="shared" si="6"/>
        <v>0</v>
      </c>
      <c r="Y25" s="3"/>
      <c r="Z25" s="7">
        <f t="shared" si="7"/>
        <v>0</v>
      </c>
    </row>
    <row r="26" spans="1:26" s="70" customFormat="1" ht="15" hidden="1" customHeight="1" outlineLevel="2" x14ac:dyDescent="0.3">
      <c r="A26" s="21"/>
      <c r="B26" s="9" t="str">
        <f>CONCATENATE("          ","6118"," - ","VACATION")</f>
        <v xml:space="preserve">          6118 - VACATION</v>
      </c>
      <c r="C26" s="9"/>
      <c r="D26" s="6">
        <v>1984.64</v>
      </c>
      <c r="E26" s="3"/>
      <c r="F26" s="7">
        <f t="shared" si="0"/>
        <v>0</v>
      </c>
      <c r="G26" s="3"/>
      <c r="H26" s="6">
        <v>934.30769230769204</v>
      </c>
      <c r="I26" s="3"/>
      <c r="J26" s="7">
        <f t="shared" si="1"/>
        <v>0</v>
      </c>
      <c r="K26" s="3"/>
      <c r="L26" s="6">
        <f t="shared" si="2"/>
        <v>1050.3323076923079</v>
      </c>
      <c r="M26" s="3"/>
      <c r="N26" s="7">
        <f t="shared" si="3"/>
        <v>1.1241824468960981</v>
      </c>
      <c r="O26" s="9"/>
      <c r="P26" s="6">
        <v>30615.81</v>
      </c>
      <c r="Q26" s="3"/>
      <c r="R26" s="7">
        <f t="shared" si="4"/>
        <v>0</v>
      </c>
      <c r="S26" s="3"/>
      <c r="T26" s="6">
        <v>13592.634615384601</v>
      </c>
      <c r="U26" s="3"/>
      <c r="V26" s="7">
        <f t="shared" si="5"/>
        <v>0</v>
      </c>
      <c r="W26" s="3"/>
      <c r="X26" s="6">
        <f t="shared" si="6"/>
        <v>17023.175384615402</v>
      </c>
      <c r="Y26" s="3"/>
      <c r="Z26" s="7">
        <f t="shared" si="7"/>
        <v>1.2523823280990722</v>
      </c>
    </row>
    <row r="27" spans="1:26" s="70" customFormat="1" ht="15" hidden="1" customHeight="1" outlineLevel="2" x14ac:dyDescent="0.3">
      <c r="A27" s="21"/>
      <c r="B27" s="9" t="str">
        <f>CONCATENATE("          ","6119"," - ","SICK LEAVE")</f>
        <v xml:space="preserve">          6119 - SICK LEAVE</v>
      </c>
      <c r="C27" s="9"/>
      <c r="D27" s="6">
        <v>1020.54</v>
      </c>
      <c r="E27" s="3"/>
      <c r="F27" s="7">
        <f t="shared" si="0"/>
        <v>0</v>
      </c>
      <c r="G27" s="3"/>
      <c r="H27" s="6">
        <v>560.58461538461597</v>
      </c>
      <c r="I27" s="3"/>
      <c r="J27" s="7">
        <f t="shared" si="1"/>
        <v>0</v>
      </c>
      <c r="K27" s="3"/>
      <c r="L27" s="6">
        <f t="shared" si="2"/>
        <v>459.95538461538399</v>
      </c>
      <c r="M27" s="3"/>
      <c r="N27" s="7">
        <f t="shared" si="3"/>
        <v>0.82049234315823938</v>
      </c>
      <c r="O27" s="9"/>
      <c r="P27" s="6">
        <v>32887.53</v>
      </c>
      <c r="Q27" s="3"/>
      <c r="R27" s="7">
        <f t="shared" si="4"/>
        <v>0</v>
      </c>
      <c r="S27" s="3"/>
      <c r="T27" s="6">
        <v>8155.5807692307699</v>
      </c>
      <c r="U27" s="3"/>
      <c r="V27" s="7">
        <f t="shared" si="5"/>
        <v>0</v>
      </c>
      <c r="W27" s="3"/>
      <c r="X27" s="6">
        <f t="shared" si="6"/>
        <v>24731.949230769227</v>
      </c>
      <c r="Y27" s="3"/>
      <c r="Z27" s="7">
        <f t="shared" si="7"/>
        <v>3.0325184595163948</v>
      </c>
    </row>
    <row r="28" spans="1:26" s="70" customFormat="1" ht="15" hidden="1" customHeight="1" outlineLevel="2" x14ac:dyDescent="0.3">
      <c r="A28" s="21"/>
      <c r="B28" s="9" t="str">
        <f>CONCATENATE("          ","6156"," - ","EMPLOYEE MEALS")</f>
        <v xml:space="preserve">          6156 - EMPLOYEE MEALS</v>
      </c>
      <c r="C28" s="9"/>
      <c r="D28" s="6">
        <v>243.82</v>
      </c>
      <c r="E28" s="3"/>
      <c r="F28" s="7">
        <f t="shared" si="0"/>
        <v>0</v>
      </c>
      <c r="G28" s="3"/>
      <c r="H28" s="6">
        <v>350</v>
      </c>
      <c r="I28" s="3"/>
      <c r="J28" s="7">
        <f t="shared" si="1"/>
        <v>0</v>
      </c>
      <c r="K28" s="3"/>
      <c r="L28" s="6">
        <f t="shared" si="2"/>
        <v>-106.18</v>
      </c>
      <c r="M28" s="3"/>
      <c r="N28" s="7">
        <f t="shared" si="3"/>
        <v>-0.30337142857142857</v>
      </c>
      <c r="O28" s="9"/>
      <c r="P28" s="6">
        <v>2668.64</v>
      </c>
      <c r="Q28" s="3"/>
      <c r="R28" s="7">
        <f t="shared" si="4"/>
        <v>0</v>
      </c>
      <c r="S28" s="3"/>
      <c r="T28" s="6">
        <v>4200</v>
      </c>
      <c r="U28" s="3"/>
      <c r="V28" s="7">
        <f t="shared" si="5"/>
        <v>0</v>
      </c>
      <c r="W28" s="3"/>
      <c r="X28" s="6">
        <f t="shared" si="6"/>
        <v>-1531.3600000000001</v>
      </c>
      <c r="Y28" s="3"/>
      <c r="Z28" s="7">
        <f t="shared" si="7"/>
        <v>-0.36460952380952383</v>
      </c>
    </row>
    <row r="29" spans="1:26" s="69" customFormat="1" ht="15" customHeight="1" outlineLevel="1" collapsed="1" x14ac:dyDescent="0.3">
      <c r="A29" s="20"/>
      <c r="B29" s="11" t="str">
        <f>CONCATENATE("     ","*Payroll                                          ")</f>
        <v xml:space="preserve">     *Payroll                                          </v>
      </c>
      <c r="C29" s="11"/>
      <c r="D29" s="2">
        <f>SUM(OSRRefD22_1x_0)</f>
        <v>20804.759999999998</v>
      </c>
      <c r="E29" s="2"/>
      <c r="F29" s="5">
        <f t="shared" si="0"/>
        <v>0</v>
      </c>
      <c r="G29" s="2"/>
      <c r="H29" s="2">
        <f>SUM(OSRRefH22_1x_0)</f>
        <v>17191.261538461491</v>
      </c>
      <c r="I29" s="2"/>
      <c r="J29" s="5">
        <f t="shared" si="1"/>
        <v>0</v>
      </c>
      <c r="K29" s="2"/>
      <c r="L29" s="2">
        <f t="shared" si="2"/>
        <v>3613.4984615385074</v>
      </c>
      <c r="M29" s="2"/>
      <c r="N29" s="5">
        <f t="shared" si="3"/>
        <v>0.21019390889110356</v>
      </c>
      <c r="O29" s="11"/>
      <c r="P29" s="2">
        <f>SUM(OSRRefP22_1x_0)</f>
        <v>256087.41</v>
      </c>
      <c r="Q29" s="2"/>
      <c r="R29" s="5">
        <f t="shared" si="4"/>
        <v>0</v>
      </c>
      <c r="S29" s="2"/>
      <c r="T29" s="2">
        <f>SUM(OSRRefT22_1x_0)</f>
        <v>250104.47692307699</v>
      </c>
      <c r="U29" s="2"/>
      <c r="V29" s="5">
        <f t="shared" si="5"/>
        <v>0</v>
      </c>
      <c r="W29" s="2"/>
      <c r="X29" s="2">
        <f t="shared" si="6"/>
        <v>5982.9330769230146</v>
      </c>
      <c r="Y29" s="2"/>
      <c r="Z29" s="5">
        <f t="shared" si="7"/>
        <v>2.3921735230525869E-2</v>
      </c>
    </row>
    <row r="30" spans="1:26" s="70" customFormat="1" ht="15" hidden="1" customHeight="1" outlineLevel="2" x14ac:dyDescent="0.3">
      <c r="A30" s="21"/>
      <c r="B30" s="9" t="str">
        <f>CONCATENATE("          ","6001"," - ","ADMINISTRATIVE SALARIES")</f>
        <v xml:space="preserve">          6001 - ADMINISTRATIVE SALARIES</v>
      </c>
      <c r="C30" s="9"/>
      <c r="D30" s="6">
        <v>17494.62</v>
      </c>
      <c r="E30" s="3"/>
      <c r="F30" s="7">
        <f t="shared" si="0"/>
        <v>0</v>
      </c>
      <c r="G30" s="3"/>
      <c r="H30" s="6">
        <v>12526.1538461538</v>
      </c>
      <c r="I30" s="3"/>
      <c r="J30" s="7">
        <f t="shared" si="1"/>
        <v>0</v>
      </c>
      <c r="K30" s="3"/>
      <c r="L30" s="6">
        <f t="shared" si="2"/>
        <v>4968.4661538461987</v>
      </c>
      <c r="M30" s="3"/>
      <c r="N30" s="7">
        <f t="shared" si="3"/>
        <v>0.39664738393515608</v>
      </c>
      <c r="O30" s="9"/>
      <c r="P30" s="6">
        <v>199530.88</v>
      </c>
      <c r="Q30" s="3"/>
      <c r="R30" s="7">
        <f t="shared" si="4"/>
        <v>0</v>
      </c>
      <c r="S30" s="3"/>
      <c r="T30" s="6">
        <v>189458.07692307699</v>
      </c>
      <c r="U30" s="3"/>
      <c r="V30" s="7">
        <f t="shared" si="5"/>
        <v>0</v>
      </c>
      <c r="W30" s="3"/>
      <c r="X30" s="6">
        <f t="shared" si="6"/>
        <v>10072.80307692301</v>
      </c>
      <c r="Y30" s="3"/>
      <c r="Z30" s="7">
        <f t="shared" si="7"/>
        <v>5.3166395650752485E-2</v>
      </c>
    </row>
    <row r="31" spans="1:26" s="70" customFormat="1" ht="15" hidden="1" customHeight="1" outlineLevel="2" x14ac:dyDescent="0.3">
      <c r="A31" s="21"/>
      <c r="B31" s="9" t="str">
        <f>CONCATENATE("          ","6002"," - ","STAFF SALARIES")</f>
        <v xml:space="preserve">          6002 - STAFF SALARIES</v>
      </c>
      <c r="C31" s="9"/>
      <c r="D31" s="6">
        <v>3310.14</v>
      </c>
      <c r="E31" s="3"/>
      <c r="F31" s="7">
        <f t="shared" si="0"/>
        <v>0</v>
      </c>
      <c r="G31" s="3"/>
      <c r="H31" s="6">
        <v>4665.1076923076898</v>
      </c>
      <c r="I31" s="3"/>
      <c r="J31" s="7">
        <f t="shared" si="1"/>
        <v>0</v>
      </c>
      <c r="K31" s="3"/>
      <c r="L31" s="6">
        <f t="shared" si="2"/>
        <v>-1354.96769230769</v>
      </c>
      <c r="M31" s="3"/>
      <c r="N31" s="7">
        <f t="shared" si="3"/>
        <v>-0.29044724831152352</v>
      </c>
      <c r="O31" s="9"/>
      <c r="P31" s="6">
        <v>56426.43</v>
      </c>
      <c r="Q31" s="3"/>
      <c r="R31" s="7">
        <f t="shared" si="4"/>
        <v>0</v>
      </c>
      <c r="S31" s="3"/>
      <c r="T31" s="6">
        <v>60646.400000000001</v>
      </c>
      <c r="U31" s="3"/>
      <c r="V31" s="7">
        <f t="shared" si="5"/>
        <v>0</v>
      </c>
      <c r="W31" s="3"/>
      <c r="X31" s="6">
        <f t="shared" si="6"/>
        <v>-4219.9700000000012</v>
      </c>
      <c r="Y31" s="3"/>
      <c r="Z31" s="7">
        <f t="shared" si="7"/>
        <v>-6.9583190428450847E-2</v>
      </c>
    </row>
    <row r="32" spans="1:26" s="70" customFormat="1" ht="15" hidden="1" customHeight="1" outlineLevel="2" x14ac:dyDescent="0.3">
      <c r="A32" s="21"/>
      <c r="B32" s="9" t="str">
        <f>CONCATENATE("          ","6003"," - ","STAFF HOURLY-9 MONTH")</f>
        <v xml:space="preserve">          6003 - STAFF HOURLY-9 MONTH</v>
      </c>
      <c r="C32" s="9"/>
      <c r="D32" s="6"/>
      <c r="E32" s="3"/>
      <c r="F32" s="7">
        <f t="shared" si="0"/>
        <v>0</v>
      </c>
      <c r="G32" s="3"/>
      <c r="H32" s="6">
        <v>0</v>
      </c>
      <c r="I32" s="3"/>
      <c r="J32" s="7">
        <f t="shared" si="1"/>
        <v>0</v>
      </c>
      <c r="K32" s="3"/>
      <c r="L32" s="6">
        <f t="shared" si="2"/>
        <v>0</v>
      </c>
      <c r="M32" s="3"/>
      <c r="N32" s="7">
        <f t="shared" si="3"/>
        <v>0</v>
      </c>
      <c r="O32" s="9"/>
      <c r="P32" s="6"/>
      <c r="Q32" s="3"/>
      <c r="R32" s="7">
        <f t="shared" si="4"/>
        <v>0</v>
      </c>
      <c r="S32" s="3"/>
      <c r="T32" s="6">
        <v>0</v>
      </c>
      <c r="U32" s="3"/>
      <c r="V32" s="7">
        <f t="shared" si="5"/>
        <v>0</v>
      </c>
      <c r="W32" s="3"/>
      <c r="X32" s="6">
        <f t="shared" si="6"/>
        <v>0</v>
      </c>
      <c r="Y32" s="3"/>
      <c r="Z32" s="7">
        <f t="shared" si="7"/>
        <v>0</v>
      </c>
    </row>
    <row r="33" spans="1:26" s="70" customFormat="1" ht="15" hidden="1" customHeight="1" outlineLevel="2" x14ac:dyDescent="0.3">
      <c r="A33" s="21"/>
      <c r="B33" s="9" t="str">
        <f>CONCATENATE("          ","6004"," - ","STAFF HOURLY")</f>
        <v xml:space="preserve">          6004 - STAFF HOURLY</v>
      </c>
      <c r="C33" s="9"/>
      <c r="D33" s="6"/>
      <c r="E33" s="3"/>
      <c r="F33" s="7">
        <f t="shared" si="0"/>
        <v>0</v>
      </c>
      <c r="G33" s="3"/>
      <c r="H33" s="6">
        <v>0</v>
      </c>
      <c r="I33" s="3"/>
      <c r="J33" s="7">
        <f t="shared" si="1"/>
        <v>0</v>
      </c>
      <c r="K33" s="3"/>
      <c r="L33" s="6">
        <f t="shared" si="2"/>
        <v>0</v>
      </c>
      <c r="M33" s="3"/>
      <c r="N33" s="7">
        <f t="shared" si="3"/>
        <v>0</v>
      </c>
      <c r="O33" s="9"/>
      <c r="P33" s="6">
        <v>70.88</v>
      </c>
      <c r="Q33" s="3"/>
      <c r="R33" s="7">
        <f t="shared" si="4"/>
        <v>0</v>
      </c>
      <c r="S33" s="3"/>
      <c r="T33" s="6">
        <v>0</v>
      </c>
      <c r="U33" s="3"/>
      <c r="V33" s="7">
        <f t="shared" si="5"/>
        <v>0</v>
      </c>
      <c r="W33" s="3"/>
      <c r="X33" s="6">
        <f t="shared" si="6"/>
        <v>70.88</v>
      </c>
      <c r="Y33" s="3"/>
      <c r="Z33" s="7">
        <f t="shared" si="7"/>
        <v>0</v>
      </c>
    </row>
    <row r="34" spans="1:26" s="70" customFormat="1" ht="15" hidden="1" customHeight="1" outlineLevel="2" x14ac:dyDescent="0.3">
      <c r="A34" s="21"/>
      <c r="B34" s="9" t="str">
        <f>CONCATENATE("          ","6005"," - ","TEMPORARY WAGES-HOURLY")</f>
        <v xml:space="preserve">          6005 - TEMPORARY WAGES-HOURLY</v>
      </c>
      <c r="C34" s="9"/>
      <c r="D34" s="6"/>
      <c r="E34" s="3"/>
      <c r="F34" s="7">
        <f t="shared" si="0"/>
        <v>0</v>
      </c>
      <c r="G34" s="3"/>
      <c r="H34" s="6">
        <v>0</v>
      </c>
      <c r="I34" s="3"/>
      <c r="J34" s="7">
        <f t="shared" si="1"/>
        <v>0</v>
      </c>
      <c r="K34" s="3"/>
      <c r="L34" s="6">
        <f t="shared" si="2"/>
        <v>0</v>
      </c>
      <c r="M34" s="3"/>
      <c r="N34" s="7">
        <f t="shared" si="3"/>
        <v>0</v>
      </c>
      <c r="O34" s="9"/>
      <c r="P34" s="6"/>
      <c r="Q34" s="3"/>
      <c r="R34" s="7">
        <f t="shared" si="4"/>
        <v>0</v>
      </c>
      <c r="S34" s="3"/>
      <c r="T34" s="6">
        <v>0</v>
      </c>
      <c r="U34" s="3"/>
      <c r="V34" s="7">
        <f t="shared" si="5"/>
        <v>0</v>
      </c>
      <c r="W34" s="3"/>
      <c r="X34" s="6">
        <f t="shared" si="6"/>
        <v>0</v>
      </c>
      <c r="Y34" s="3"/>
      <c r="Z34" s="7">
        <f t="shared" si="7"/>
        <v>0</v>
      </c>
    </row>
    <row r="35" spans="1:26" s="70" customFormat="1" ht="15" hidden="1" customHeight="1" outlineLevel="2" x14ac:dyDescent="0.3">
      <c r="A35" s="21"/>
      <c r="B35" s="9" t="str">
        <f>CONCATENATE("          ","6006"," - ","TEMPORARY PART TIME")</f>
        <v xml:space="preserve">          6006 - TEMPORARY PART TIME</v>
      </c>
      <c r="C35" s="9"/>
      <c r="D35" s="6"/>
      <c r="E35" s="3"/>
      <c r="F35" s="7">
        <f t="shared" si="0"/>
        <v>0</v>
      </c>
      <c r="G35" s="3"/>
      <c r="H35" s="6">
        <v>0</v>
      </c>
      <c r="I35" s="3"/>
      <c r="J35" s="7">
        <f t="shared" si="1"/>
        <v>0</v>
      </c>
      <c r="K35" s="3"/>
      <c r="L35" s="6">
        <f t="shared" si="2"/>
        <v>0</v>
      </c>
      <c r="M35" s="3"/>
      <c r="N35" s="7">
        <f t="shared" si="3"/>
        <v>0</v>
      </c>
      <c r="O35" s="9"/>
      <c r="P35" s="6"/>
      <c r="Q35" s="3"/>
      <c r="R35" s="7">
        <f t="shared" si="4"/>
        <v>0</v>
      </c>
      <c r="S35" s="3"/>
      <c r="T35" s="6">
        <v>0</v>
      </c>
      <c r="U35" s="3"/>
      <c r="V35" s="7">
        <f t="shared" si="5"/>
        <v>0</v>
      </c>
      <c r="W35" s="3"/>
      <c r="X35" s="6">
        <f t="shared" si="6"/>
        <v>0</v>
      </c>
      <c r="Y35" s="3"/>
      <c r="Z35" s="7">
        <f t="shared" si="7"/>
        <v>0</v>
      </c>
    </row>
    <row r="36" spans="1:26" s="70" customFormat="1" ht="15" hidden="1" customHeight="1" outlineLevel="2" x14ac:dyDescent="0.3">
      <c r="A36" s="21"/>
      <c r="B36" s="9" t="str">
        <f>CONCATENATE("          ","6007"," - ","STUDENT HOURLY")</f>
        <v xml:space="preserve">          6007 - STUDENT HOURLY</v>
      </c>
      <c r="C36" s="9"/>
      <c r="D36" s="6"/>
      <c r="E36" s="3"/>
      <c r="F36" s="7">
        <f t="shared" si="0"/>
        <v>0</v>
      </c>
      <c r="G36" s="3"/>
      <c r="H36" s="6">
        <v>0</v>
      </c>
      <c r="I36" s="3"/>
      <c r="J36" s="7">
        <f t="shared" si="1"/>
        <v>0</v>
      </c>
      <c r="K36" s="3"/>
      <c r="L36" s="6">
        <f t="shared" si="2"/>
        <v>0</v>
      </c>
      <c r="M36" s="3"/>
      <c r="N36" s="7">
        <f t="shared" si="3"/>
        <v>0</v>
      </c>
      <c r="O36" s="9"/>
      <c r="P36" s="6">
        <v>59.22</v>
      </c>
      <c r="Q36" s="3"/>
      <c r="R36" s="7">
        <f t="shared" si="4"/>
        <v>0</v>
      </c>
      <c r="S36" s="3"/>
      <c r="T36" s="6">
        <v>0</v>
      </c>
      <c r="U36" s="3"/>
      <c r="V36" s="7">
        <f t="shared" si="5"/>
        <v>0</v>
      </c>
      <c r="W36" s="3"/>
      <c r="X36" s="6">
        <f t="shared" si="6"/>
        <v>59.22</v>
      </c>
      <c r="Y36" s="3"/>
      <c r="Z36" s="7">
        <f t="shared" si="7"/>
        <v>0</v>
      </c>
    </row>
    <row r="37" spans="1:26" s="70" customFormat="1" ht="15" hidden="1" customHeight="1" outlineLevel="2" x14ac:dyDescent="0.3">
      <c r="A37" s="21"/>
      <c r="B37" s="9" t="str">
        <f>CONCATENATE("          ","6008"," - ","STUDENT HOURLY-FICA EXEMPT")</f>
        <v xml:space="preserve">          6008 - STUDENT HOURLY-FICA EXEMPT</v>
      </c>
      <c r="C37" s="9"/>
      <c r="D37" s="6"/>
      <c r="E37" s="3"/>
      <c r="F37" s="7">
        <f t="shared" si="0"/>
        <v>0</v>
      </c>
      <c r="G37" s="3"/>
      <c r="H37" s="6">
        <v>0</v>
      </c>
      <c r="I37" s="3"/>
      <c r="J37" s="7">
        <f t="shared" si="1"/>
        <v>0</v>
      </c>
      <c r="K37" s="3"/>
      <c r="L37" s="6">
        <f t="shared" si="2"/>
        <v>0</v>
      </c>
      <c r="M37" s="3"/>
      <c r="N37" s="7">
        <f t="shared" si="3"/>
        <v>0</v>
      </c>
      <c r="O37" s="9"/>
      <c r="P37" s="6"/>
      <c r="Q37" s="3"/>
      <c r="R37" s="7">
        <f t="shared" si="4"/>
        <v>0</v>
      </c>
      <c r="S37" s="3"/>
      <c r="T37" s="6">
        <v>0</v>
      </c>
      <c r="U37" s="3"/>
      <c r="V37" s="7">
        <f t="shared" si="5"/>
        <v>0</v>
      </c>
      <c r="W37" s="3"/>
      <c r="X37" s="6">
        <f t="shared" si="6"/>
        <v>0</v>
      </c>
      <c r="Y37" s="3"/>
      <c r="Z37" s="7">
        <f t="shared" si="7"/>
        <v>0</v>
      </c>
    </row>
    <row r="38" spans="1:26" s="70" customFormat="1" ht="15" hidden="1" customHeight="1" outlineLevel="2" x14ac:dyDescent="0.3">
      <c r="A38" s="21"/>
      <c r="B38" s="9" t="str">
        <f>CONCATENATE("          ","6009"," - ","TEMPORARY-SEASONAL")</f>
        <v xml:space="preserve">          6009 - TEMPORARY-SEASONAL</v>
      </c>
      <c r="C38" s="9"/>
      <c r="D38" s="6"/>
      <c r="E38" s="3"/>
      <c r="F38" s="7">
        <f t="shared" si="0"/>
        <v>0</v>
      </c>
      <c r="G38" s="3"/>
      <c r="H38" s="6">
        <v>0</v>
      </c>
      <c r="I38" s="3"/>
      <c r="J38" s="7">
        <f t="shared" si="1"/>
        <v>0</v>
      </c>
      <c r="K38" s="3"/>
      <c r="L38" s="6">
        <f t="shared" si="2"/>
        <v>0</v>
      </c>
      <c r="M38" s="3"/>
      <c r="N38" s="7">
        <f t="shared" si="3"/>
        <v>0</v>
      </c>
      <c r="O38" s="9"/>
      <c r="P38" s="6"/>
      <c r="Q38" s="3"/>
      <c r="R38" s="7">
        <f t="shared" si="4"/>
        <v>0</v>
      </c>
      <c r="S38" s="3"/>
      <c r="T38" s="6">
        <v>0</v>
      </c>
      <c r="U38" s="3"/>
      <c r="V38" s="7">
        <f t="shared" si="5"/>
        <v>0</v>
      </c>
      <c r="W38" s="3"/>
      <c r="X38" s="6">
        <f t="shared" si="6"/>
        <v>0</v>
      </c>
      <c r="Y38" s="3"/>
      <c r="Z38" s="7">
        <f t="shared" si="7"/>
        <v>0</v>
      </c>
    </row>
    <row r="39" spans="1:26" s="70" customFormat="1" ht="15" hidden="1" customHeight="1" outlineLevel="2" x14ac:dyDescent="0.3">
      <c r="A39" s="21"/>
      <c r="B39" s="9" t="str">
        <f>CONCATENATE("          ","6010"," - ","GRATUITY")</f>
        <v xml:space="preserve">          6010 - GRATUITY</v>
      </c>
      <c r="C39" s="9"/>
      <c r="D39" s="6"/>
      <c r="E39" s="3"/>
      <c r="F39" s="7">
        <f t="shared" si="0"/>
        <v>0</v>
      </c>
      <c r="G39" s="3"/>
      <c r="H39" s="6">
        <v>0</v>
      </c>
      <c r="I39" s="3"/>
      <c r="J39" s="7">
        <f t="shared" si="1"/>
        <v>0</v>
      </c>
      <c r="K39" s="3"/>
      <c r="L39" s="6">
        <f t="shared" si="2"/>
        <v>0</v>
      </c>
      <c r="M39" s="3"/>
      <c r="N39" s="7">
        <f t="shared" si="3"/>
        <v>0</v>
      </c>
      <c r="O39" s="9"/>
      <c r="P39" s="6"/>
      <c r="Q39" s="3"/>
      <c r="R39" s="7">
        <f t="shared" si="4"/>
        <v>0</v>
      </c>
      <c r="S39" s="3"/>
      <c r="T39" s="6">
        <v>0</v>
      </c>
      <c r="U39" s="3"/>
      <c r="V39" s="7">
        <f t="shared" si="5"/>
        <v>0</v>
      </c>
      <c r="W39" s="3"/>
      <c r="X39" s="6">
        <f t="shared" si="6"/>
        <v>0</v>
      </c>
      <c r="Y39" s="3"/>
      <c r="Z39" s="7">
        <f t="shared" si="7"/>
        <v>0</v>
      </c>
    </row>
    <row r="40" spans="1:26" s="69" customFormat="1" ht="15" customHeight="1" outlineLevel="1" collapsed="1" x14ac:dyDescent="0.3">
      <c r="A40" s="20"/>
      <c r="B40" s="11" t="str">
        <f>CONCATENATE("     ","Advertising/Promo                                 ")</f>
        <v xml:space="preserve">     Advertising/Promo                                 </v>
      </c>
      <c r="C40" s="11"/>
      <c r="D40" s="2">
        <f>SUM(OSRRefD22_2x_0)</f>
        <v>0</v>
      </c>
      <c r="E40" s="2"/>
      <c r="F40" s="5">
        <f t="shared" si="0"/>
        <v>0</v>
      </c>
      <c r="G40" s="2"/>
      <c r="H40" s="2">
        <f>SUM(OSRRefH22_2x_0)</f>
        <v>250</v>
      </c>
      <c r="I40" s="2"/>
      <c r="J40" s="5">
        <f t="shared" si="1"/>
        <v>0</v>
      </c>
      <c r="K40" s="2"/>
      <c r="L40" s="2">
        <f t="shared" si="2"/>
        <v>-250</v>
      </c>
      <c r="M40" s="2"/>
      <c r="N40" s="5">
        <f t="shared" si="3"/>
        <v>-1</v>
      </c>
      <c r="O40" s="11"/>
      <c r="P40" s="2">
        <f>SUM(OSRRefP22_2x_0)</f>
        <v>1969.62</v>
      </c>
      <c r="Q40" s="2"/>
      <c r="R40" s="5">
        <f t="shared" si="4"/>
        <v>0</v>
      </c>
      <c r="S40" s="2"/>
      <c r="T40" s="2">
        <f>SUM(OSRRefT22_2x_0)</f>
        <v>2600</v>
      </c>
      <c r="U40" s="2"/>
      <c r="V40" s="5">
        <f t="shared" si="5"/>
        <v>0</v>
      </c>
      <c r="W40" s="2"/>
      <c r="X40" s="2">
        <f t="shared" si="6"/>
        <v>-630.38000000000011</v>
      </c>
      <c r="Y40" s="2"/>
      <c r="Z40" s="5">
        <f t="shared" si="7"/>
        <v>-0.24245384615384619</v>
      </c>
    </row>
    <row r="41" spans="1:26" s="70" customFormat="1" ht="15" hidden="1" customHeight="1" outlineLevel="2" x14ac:dyDescent="0.3">
      <c r="A41" s="21"/>
      <c r="B41" s="9" t="str">
        <f>CONCATENATE("          ","6362"," - ","ADVERTISING EXPENSE")</f>
        <v xml:space="preserve">          6362 - ADVERTISING EXPENSE</v>
      </c>
      <c r="C41" s="9"/>
      <c r="D41" s="6"/>
      <c r="E41" s="3"/>
      <c r="F41" s="7">
        <f t="shared" si="0"/>
        <v>0</v>
      </c>
      <c r="G41" s="3"/>
      <c r="H41" s="6">
        <v>250</v>
      </c>
      <c r="I41" s="3"/>
      <c r="J41" s="7">
        <f t="shared" si="1"/>
        <v>0</v>
      </c>
      <c r="K41" s="3"/>
      <c r="L41" s="6">
        <f t="shared" si="2"/>
        <v>-250</v>
      </c>
      <c r="M41" s="3"/>
      <c r="N41" s="7">
        <f t="shared" si="3"/>
        <v>-1</v>
      </c>
      <c r="O41" s="9"/>
      <c r="P41" s="6">
        <v>1969.62</v>
      </c>
      <c r="Q41" s="3"/>
      <c r="R41" s="7">
        <f t="shared" si="4"/>
        <v>0</v>
      </c>
      <c r="S41" s="3"/>
      <c r="T41" s="6">
        <v>2600</v>
      </c>
      <c r="U41" s="3"/>
      <c r="V41" s="7">
        <f t="shared" si="5"/>
        <v>0</v>
      </c>
      <c r="W41" s="3"/>
      <c r="X41" s="6">
        <f t="shared" si="6"/>
        <v>-630.38000000000011</v>
      </c>
      <c r="Y41" s="3"/>
      <c r="Z41" s="7">
        <f t="shared" si="7"/>
        <v>-0.24245384615384619</v>
      </c>
    </row>
    <row r="42" spans="1:26" s="69" customFormat="1" ht="15" customHeight="1" outlineLevel="1" collapsed="1" x14ac:dyDescent="0.3">
      <c r="A42" s="20"/>
      <c r="B42" s="11" t="str">
        <f>CONCATENATE("     ","Depreciation                                      ")</f>
        <v xml:space="preserve">     Depreciation                                      </v>
      </c>
      <c r="C42" s="11"/>
      <c r="D42" s="2">
        <f>SUM(OSRRefD22_3x_0)</f>
        <v>314.81</v>
      </c>
      <c r="E42" s="2"/>
      <c r="F42" s="5">
        <f t="shared" si="0"/>
        <v>0</v>
      </c>
      <c r="G42" s="2"/>
      <c r="H42" s="2">
        <f>SUM(OSRRefH22_3x_0)</f>
        <v>315</v>
      </c>
      <c r="I42" s="2"/>
      <c r="J42" s="5">
        <f t="shared" si="1"/>
        <v>0</v>
      </c>
      <c r="K42" s="2"/>
      <c r="L42" s="2">
        <f t="shared" si="2"/>
        <v>-0.18999999999999773</v>
      </c>
      <c r="M42" s="2"/>
      <c r="N42" s="5">
        <f t="shared" si="3"/>
        <v>-6.0317460317459593E-4</v>
      </c>
      <c r="O42" s="11"/>
      <c r="P42" s="2">
        <f>SUM(OSRRefP22_3x_0)</f>
        <v>3778.38</v>
      </c>
      <c r="Q42" s="2"/>
      <c r="R42" s="5">
        <f t="shared" si="4"/>
        <v>0</v>
      </c>
      <c r="S42" s="2"/>
      <c r="T42" s="2">
        <f>SUM(OSRRefT22_3x_0)</f>
        <v>3780</v>
      </c>
      <c r="U42" s="2"/>
      <c r="V42" s="5">
        <f t="shared" si="5"/>
        <v>0</v>
      </c>
      <c r="W42" s="2"/>
      <c r="X42" s="2">
        <f t="shared" si="6"/>
        <v>-1.6199999999998909</v>
      </c>
      <c r="Y42" s="2"/>
      <c r="Z42" s="5">
        <f t="shared" si="7"/>
        <v>-4.2857142857139971E-4</v>
      </c>
    </row>
    <row r="43" spans="1:26" s="70" customFormat="1" ht="15" hidden="1" customHeight="1" outlineLevel="2" x14ac:dyDescent="0.3">
      <c r="A43" s="21"/>
      <c r="B43" s="9" t="str">
        <f>CONCATENATE("          ","6322"," - ","EQUIPMENT DEPRECIATION EXPENSE")</f>
        <v xml:space="preserve">          6322 - EQUIPMENT DEPRECIATION EXPENSE</v>
      </c>
      <c r="C43" s="9"/>
      <c r="D43" s="6">
        <v>314.81</v>
      </c>
      <c r="E43" s="3"/>
      <c r="F43" s="7">
        <f t="shared" si="0"/>
        <v>0</v>
      </c>
      <c r="G43" s="3"/>
      <c r="H43" s="6">
        <v>315</v>
      </c>
      <c r="I43" s="3"/>
      <c r="J43" s="7">
        <f t="shared" si="1"/>
        <v>0</v>
      </c>
      <c r="K43" s="3"/>
      <c r="L43" s="6">
        <f t="shared" si="2"/>
        <v>-0.18999999999999773</v>
      </c>
      <c r="M43" s="3"/>
      <c r="N43" s="7">
        <f t="shared" si="3"/>
        <v>-6.0317460317459593E-4</v>
      </c>
      <c r="O43" s="9"/>
      <c r="P43" s="6">
        <v>3778.38</v>
      </c>
      <c r="Q43" s="3"/>
      <c r="R43" s="7">
        <f t="shared" si="4"/>
        <v>0</v>
      </c>
      <c r="S43" s="3"/>
      <c r="T43" s="6">
        <v>3780</v>
      </c>
      <c r="U43" s="3"/>
      <c r="V43" s="7">
        <f t="shared" si="5"/>
        <v>0</v>
      </c>
      <c r="W43" s="3"/>
      <c r="X43" s="6">
        <f t="shared" si="6"/>
        <v>-1.6199999999998909</v>
      </c>
      <c r="Y43" s="3"/>
      <c r="Z43" s="7">
        <f t="shared" si="7"/>
        <v>-4.2857142857139971E-4</v>
      </c>
    </row>
    <row r="44" spans="1:26" s="69" customFormat="1" ht="15" customHeight="1" outlineLevel="1" collapsed="1" x14ac:dyDescent="0.3">
      <c r="A44" s="20"/>
      <c r="B44" s="11" t="str">
        <f>CONCATENATE("     ","Donations                                         ")</f>
        <v xml:space="preserve">     Donations                                         </v>
      </c>
      <c r="C44" s="11"/>
      <c r="D44" s="2">
        <f>SUM(OSRRefD22_4x_0)</f>
        <v>2469.2399999999998</v>
      </c>
      <c r="E44" s="2"/>
      <c r="F44" s="5">
        <f t="shared" si="0"/>
        <v>0</v>
      </c>
      <c r="G44" s="2"/>
      <c r="H44" s="2">
        <f>SUM(OSRRefH22_4x_0)</f>
        <v>300</v>
      </c>
      <c r="I44" s="2"/>
      <c r="J44" s="5">
        <f t="shared" si="1"/>
        <v>0</v>
      </c>
      <c r="K44" s="2"/>
      <c r="L44" s="2">
        <f t="shared" si="2"/>
        <v>2169.2399999999998</v>
      </c>
      <c r="M44" s="2"/>
      <c r="N44" s="5">
        <f t="shared" si="3"/>
        <v>7.2307999999999995</v>
      </c>
      <c r="O44" s="11"/>
      <c r="P44" s="2">
        <f>SUM(OSRRefP22_4x_0)</f>
        <v>27769.24</v>
      </c>
      <c r="Q44" s="2"/>
      <c r="R44" s="5">
        <f t="shared" si="4"/>
        <v>0</v>
      </c>
      <c r="S44" s="2"/>
      <c r="T44" s="2">
        <f>SUM(OSRRefT22_4x_0)</f>
        <v>64250</v>
      </c>
      <c r="U44" s="2"/>
      <c r="V44" s="5">
        <f t="shared" si="5"/>
        <v>0</v>
      </c>
      <c r="W44" s="2"/>
      <c r="X44" s="2">
        <f t="shared" si="6"/>
        <v>-36480.759999999995</v>
      </c>
      <c r="Y44" s="2"/>
      <c r="Z44" s="5">
        <f t="shared" si="7"/>
        <v>-0.56779392996108946</v>
      </c>
    </row>
    <row r="45" spans="1:26" s="70" customFormat="1" ht="15" hidden="1" customHeight="1" outlineLevel="2" x14ac:dyDescent="0.3">
      <c r="A45" s="21"/>
      <c r="B45" s="9" t="str">
        <f>CONCATENATE("          ","6399"," - ","DONATION-ON CAMPUS")</f>
        <v xml:space="preserve">          6399 - DONATION-ON CAMPUS</v>
      </c>
      <c r="C45" s="9"/>
      <c r="D45" s="6">
        <v>2469.2399999999998</v>
      </c>
      <c r="E45" s="3"/>
      <c r="F45" s="7">
        <f t="shared" si="0"/>
        <v>0</v>
      </c>
      <c r="G45" s="3"/>
      <c r="H45" s="6">
        <v>300</v>
      </c>
      <c r="I45" s="3"/>
      <c r="J45" s="7">
        <f t="shared" si="1"/>
        <v>0</v>
      </c>
      <c r="K45" s="3"/>
      <c r="L45" s="6">
        <f t="shared" si="2"/>
        <v>2169.2399999999998</v>
      </c>
      <c r="M45" s="3"/>
      <c r="N45" s="7">
        <f t="shared" si="3"/>
        <v>7.2307999999999995</v>
      </c>
      <c r="O45" s="9"/>
      <c r="P45" s="6">
        <v>27769.24</v>
      </c>
      <c r="Q45" s="3"/>
      <c r="R45" s="7">
        <f t="shared" si="4"/>
        <v>0</v>
      </c>
      <c r="S45" s="3"/>
      <c r="T45" s="6">
        <v>64250</v>
      </c>
      <c r="U45" s="3"/>
      <c r="V45" s="7">
        <f t="shared" si="5"/>
        <v>0</v>
      </c>
      <c r="W45" s="3"/>
      <c r="X45" s="6">
        <f t="shared" si="6"/>
        <v>-36480.759999999995</v>
      </c>
      <c r="Y45" s="3"/>
      <c r="Z45" s="7">
        <f t="shared" si="7"/>
        <v>-0.56779392996108946</v>
      </c>
    </row>
    <row r="46" spans="1:26" s="69" customFormat="1" ht="15" customHeight="1" outlineLevel="1" collapsed="1" x14ac:dyDescent="0.3">
      <c r="A46" s="20"/>
      <c r="B46" s="11" t="str">
        <f>CONCATENATE("     ","Employees' Appreciation                           ")</f>
        <v xml:space="preserve">     Employees' Appreciation                           </v>
      </c>
      <c r="C46" s="11"/>
      <c r="D46" s="2">
        <f>SUM(OSRRefD22_5x_0)</f>
        <v>0</v>
      </c>
      <c r="E46" s="2"/>
      <c r="F46" s="5">
        <f t="shared" si="0"/>
        <v>0</v>
      </c>
      <c r="G46" s="2"/>
      <c r="H46" s="2">
        <f>SUM(OSRRefH22_5x_0)</f>
        <v>2000</v>
      </c>
      <c r="I46" s="2"/>
      <c r="J46" s="5">
        <f t="shared" si="1"/>
        <v>0</v>
      </c>
      <c r="K46" s="2"/>
      <c r="L46" s="2">
        <f t="shared" si="2"/>
        <v>-2000</v>
      </c>
      <c r="M46" s="2"/>
      <c r="N46" s="5">
        <f t="shared" si="3"/>
        <v>-1</v>
      </c>
      <c r="O46" s="11"/>
      <c r="P46" s="2">
        <f>SUM(OSRRefP22_5x_0)</f>
        <v>772.29</v>
      </c>
      <c r="Q46" s="2"/>
      <c r="R46" s="5">
        <f t="shared" si="4"/>
        <v>0</v>
      </c>
      <c r="S46" s="2"/>
      <c r="T46" s="2">
        <f>SUM(OSRRefT22_5x_0)</f>
        <v>5000</v>
      </c>
      <c r="U46" s="2"/>
      <c r="V46" s="5">
        <f t="shared" si="5"/>
        <v>0</v>
      </c>
      <c r="W46" s="2"/>
      <c r="X46" s="2">
        <f t="shared" si="6"/>
        <v>-4227.71</v>
      </c>
      <c r="Y46" s="2"/>
      <c r="Z46" s="5">
        <f t="shared" si="7"/>
        <v>-0.84554200000000002</v>
      </c>
    </row>
    <row r="47" spans="1:26" s="70" customFormat="1" ht="15" hidden="1" customHeight="1" outlineLevel="2" x14ac:dyDescent="0.3">
      <c r="A47" s="21"/>
      <c r="B47" s="9" t="str">
        <f>CONCATENATE("          ","6277"," - ","EMPLOYEE APPRECIATION")</f>
        <v xml:space="preserve">          6277 - EMPLOYEE APPRECIATION</v>
      </c>
      <c r="C47" s="9"/>
      <c r="D47" s="6"/>
      <c r="E47" s="3"/>
      <c r="F47" s="7">
        <f t="shared" si="0"/>
        <v>0</v>
      </c>
      <c r="G47" s="3"/>
      <c r="H47" s="6">
        <v>2000</v>
      </c>
      <c r="I47" s="3"/>
      <c r="J47" s="7">
        <f t="shared" si="1"/>
        <v>0</v>
      </c>
      <c r="K47" s="3"/>
      <c r="L47" s="6">
        <f t="shared" si="2"/>
        <v>-2000</v>
      </c>
      <c r="M47" s="3"/>
      <c r="N47" s="7">
        <f t="shared" si="3"/>
        <v>-1</v>
      </c>
      <c r="O47" s="9"/>
      <c r="P47" s="6">
        <v>772.29</v>
      </c>
      <c r="Q47" s="3"/>
      <c r="R47" s="7">
        <f t="shared" si="4"/>
        <v>0</v>
      </c>
      <c r="S47" s="3"/>
      <c r="T47" s="6">
        <v>5000</v>
      </c>
      <c r="U47" s="3"/>
      <c r="V47" s="7">
        <f t="shared" si="5"/>
        <v>0</v>
      </c>
      <c r="W47" s="3"/>
      <c r="X47" s="6">
        <f t="shared" si="6"/>
        <v>-4227.71</v>
      </c>
      <c r="Y47" s="3"/>
      <c r="Z47" s="7">
        <f t="shared" si="7"/>
        <v>-0.84554200000000002</v>
      </c>
    </row>
    <row r="48" spans="1:26" s="69" customFormat="1" ht="15" customHeight="1" outlineLevel="1" collapsed="1" x14ac:dyDescent="0.3">
      <c r="A48" s="20"/>
      <c r="B48" s="11" t="str">
        <f>CONCATENATE("     ","Equipment Rental                                  ")</f>
        <v xml:space="preserve">     Equipment Rental                                  </v>
      </c>
      <c r="C48" s="11"/>
      <c r="D48" s="2">
        <f>SUM(OSRRefD22_6x_0)</f>
        <v>-6.28</v>
      </c>
      <c r="E48" s="2"/>
      <c r="F48" s="5">
        <f t="shared" si="0"/>
        <v>0</v>
      </c>
      <c r="G48" s="2"/>
      <c r="H48" s="2">
        <f>SUM(OSRRefH22_6x_0)</f>
        <v>118</v>
      </c>
      <c r="I48" s="2"/>
      <c r="J48" s="5">
        <f t="shared" si="1"/>
        <v>0</v>
      </c>
      <c r="K48" s="2"/>
      <c r="L48" s="2">
        <f t="shared" si="2"/>
        <v>-124.28</v>
      </c>
      <c r="M48" s="2"/>
      <c r="N48" s="5">
        <f t="shared" si="3"/>
        <v>-1.0532203389830508</v>
      </c>
      <c r="O48" s="11"/>
      <c r="P48" s="2">
        <f>SUM(OSRRefP22_6x_0)</f>
        <v>1288.53</v>
      </c>
      <c r="Q48" s="2"/>
      <c r="R48" s="5">
        <f t="shared" si="4"/>
        <v>0</v>
      </c>
      <c r="S48" s="2"/>
      <c r="T48" s="2">
        <f>SUM(OSRRefT22_6x_0)</f>
        <v>1416</v>
      </c>
      <c r="U48" s="2"/>
      <c r="V48" s="5">
        <f t="shared" si="5"/>
        <v>0</v>
      </c>
      <c r="W48" s="2"/>
      <c r="X48" s="2">
        <f t="shared" si="6"/>
        <v>-127.47000000000003</v>
      </c>
      <c r="Y48" s="2"/>
      <c r="Z48" s="5">
        <f t="shared" si="7"/>
        <v>-9.0021186440677983E-2</v>
      </c>
    </row>
    <row r="49" spans="1:26" s="70" customFormat="1" ht="15" hidden="1" customHeight="1" outlineLevel="2" x14ac:dyDescent="0.3">
      <c r="A49" s="21"/>
      <c r="B49" s="9" t="str">
        <f>CONCATENATE("          ","6351"," - ","EQUIPMENT RENTAL")</f>
        <v xml:space="preserve">          6351 - EQUIPMENT RENTAL</v>
      </c>
      <c r="C49" s="9"/>
      <c r="D49" s="6">
        <v>-6.28</v>
      </c>
      <c r="E49" s="3"/>
      <c r="F49" s="7">
        <f t="shared" si="0"/>
        <v>0</v>
      </c>
      <c r="G49" s="3"/>
      <c r="H49" s="6">
        <v>118</v>
      </c>
      <c r="I49" s="3"/>
      <c r="J49" s="7">
        <f t="shared" si="1"/>
        <v>0</v>
      </c>
      <c r="K49" s="3"/>
      <c r="L49" s="6">
        <f t="shared" si="2"/>
        <v>-124.28</v>
      </c>
      <c r="M49" s="3"/>
      <c r="N49" s="7">
        <f t="shared" si="3"/>
        <v>-1.0532203389830508</v>
      </c>
      <c r="O49" s="9"/>
      <c r="P49" s="6">
        <v>1288.53</v>
      </c>
      <c r="Q49" s="3"/>
      <c r="R49" s="7">
        <f t="shared" si="4"/>
        <v>0</v>
      </c>
      <c r="S49" s="3"/>
      <c r="T49" s="6">
        <v>1416</v>
      </c>
      <c r="U49" s="3"/>
      <c r="V49" s="7">
        <f t="shared" si="5"/>
        <v>0</v>
      </c>
      <c r="W49" s="3"/>
      <c r="X49" s="6">
        <f t="shared" si="6"/>
        <v>-127.47000000000003</v>
      </c>
      <c r="Y49" s="3"/>
      <c r="Z49" s="7">
        <f t="shared" si="7"/>
        <v>-9.0021186440677983E-2</v>
      </c>
    </row>
    <row r="50" spans="1:26" s="69" customFormat="1" ht="15" customHeight="1" outlineLevel="1" collapsed="1" x14ac:dyDescent="0.3">
      <c r="A50" s="20"/>
      <c r="B50" s="11" t="str">
        <f>CONCATENATE("     ","Freight out/Postage                               ")</f>
        <v xml:space="preserve">     Freight out/Postage                               </v>
      </c>
      <c r="C50" s="11"/>
      <c r="D50" s="2">
        <f>SUM(OSRRefD22_7x_0)</f>
        <v>0</v>
      </c>
      <c r="E50" s="2"/>
      <c r="F50" s="5">
        <f t="shared" ref="F50:F73" si="8">IF(D$12=0,0,D50/D$12)</f>
        <v>0</v>
      </c>
      <c r="G50" s="2"/>
      <c r="H50" s="2">
        <f>SUM(OSRRefH22_7x_0)</f>
        <v>100</v>
      </c>
      <c r="I50" s="2"/>
      <c r="J50" s="5">
        <f t="shared" ref="J50:J73" si="9">IF(H$12=0,0,H50/H$12)</f>
        <v>0</v>
      </c>
      <c r="K50" s="2"/>
      <c r="L50" s="2">
        <f t="shared" ref="L50:L73" si="10">+D50-H50</f>
        <v>-100</v>
      </c>
      <c r="M50" s="2"/>
      <c r="N50" s="5">
        <f t="shared" ref="N50:N73" si="11">IF(H50=0,0,L50/H50)</f>
        <v>-1</v>
      </c>
      <c r="O50" s="11"/>
      <c r="P50" s="2">
        <f>SUM(OSRRefP22_7x_0)</f>
        <v>32.17</v>
      </c>
      <c r="Q50" s="2"/>
      <c r="R50" s="5">
        <f t="shared" ref="R50:R73" si="12">IF(P$12=0,0,P50/P$12)</f>
        <v>0</v>
      </c>
      <c r="S50" s="2"/>
      <c r="T50" s="2">
        <f>SUM(OSRRefT22_7x_0)</f>
        <v>825</v>
      </c>
      <c r="U50" s="2"/>
      <c r="V50" s="5">
        <f t="shared" ref="V50:V73" si="13">IF(T$12=0,0,T50/T$12)</f>
        <v>0</v>
      </c>
      <c r="W50" s="2"/>
      <c r="X50" s="2">
        <f t="shared" ref="X50:X73" si="14">+P50-T50</f>
        <v>-792.83</v>
      </c>
      <c r="Y50" s="2"/>
      <c r="Z50" s="5">
        <f t="shared" ref="Z50:Z73" si="15">IF(T50=0,0,X50/T50)</f>
        <v>-0.96100606060606064</v>
      </c>
    </row>
    <row r="51" spans="1:26" s="70" customFormat="1" ht="15" hidden="1" customHeight="1" outlineLevel="2" x14ac:dyDescent="0.3">
      <c r="A51" s="21"/>
      <c r="B51" s="9" t="str">
        <f>CONCATENATE("          ","6307"," - ","POSTAGE")</f>
        <v xml:space="preserve">          6307 - POSTAGE</v>
      </c>
      <c r="C51" s="9"/>
      <c r="D51" s="6"/>
      <c r="E51" s="3"/>
      <c r="F51" s="7">
        <f t="shared" si="8"/>
        <v>0</v>
      </c>
      <c r="G51" s="3"/>
      <c r="H51" s="6">
        <v>100</v>
      </c>
      <c r="I51" s="3"/>
      <c r="J51" s="7">
        <f t="shared" si="9"/>
        <v>0</v>
      </c>
      <c r="K51" s="3"/>
      <c r="L51" s="6">
        <f t="shared" si="10"/>
        <v>-100</v>
      </c>
      <c r="M51" s="3"/>
      <c r="N51" s="7">
        <f t="shared" si="11"/>
        <v>-1</v>
      </c>
      <c r="O51" s="9"/>
      <c r="P51" s="6">
        <v>32.17</v>
      </c>
      <c r="Q51" s="3"/>
      <c r="R51" s="7">
        <f t="shared" si="12"/>
        <v>0</v>
      </c>
      <c r="S51" s="3"/>
      <c r="T51" s="6">
        <v>825</v>
      </c>
      <c r="U51" s="3"/>
      <c r="V51" s="7">
        <f t="shared" si="13"/>
        <v>0</v>
      </c>
      <c r="W51" s="3"/>
      <c r="X51" s="6">
        <f t="shared" si="14"/>
        <v>-792.83</v>
      </c>
      <c r="Y51" s="3"/>
      <c r="Z51" s="7">
        <f t="shared" si="15"/>
        <v>-0.96100606060606064</v>
      </c>
    </row>
    <row r="52" spans="1:26" s="69" customFormat="1" ht="15" customHeight="1" outlineLevel="1" collapsed="1" x14ac:dyDescent="0.3">
      <c r="A52" s="20"/>
      <c r="B52" s="11" t="str">
        <f>CONCATENATE("     ","General                                           ")</f>
        <v xml:space="preserve">     General                                           </v>
      </c>
      <c r="C52" s="11"/>
      <c r="D52" s="2">
        <f>SUM(OSRRefD22_8x_0)</f>
        <v>102.5</v>
      </c>
      <c r="E52" s="2"/>
      <c r="F52" s="5">
        <f t="shared" si="8"/>
        <v>0</v>
      </c>
      <c r="G52" s="2"/>
      <c r="H52" s="2">
        <f>SUM(OSRRefH22_8x_0)</f>
        <v>0</v>
      </c>
      <c r="I52" s="2"/>
      <c r="J52" s="5">
        <f t="shared" si="9"/>
        <v>0</v>
      </c>
      <c r="K52" s="2"/>
      <c r="L52" s="2">
        <f t="shared" si="10"/>
        <v>102.5</v>
      </c>
      <c r="M52" s="2"/>
      <c r="N52" s="5">
        <f t="shared" si="11"/>
        <v>0</v>
      </c>
      <c r="O52" s="11"/>
      <c r="P52" s="2">
        <f>SUM(OSRRefP22_8x_0)</f>
        <v>102.5</v>
      </c>
      <c r="Q52" s="2"/>
      <c r="R52" s="5">
        <f t="shared" si="12"/>
        <v>0</v>
      </c>
      <c r="S52" s="2"/>
      <c r="T52" s="2">
        <f>SUM(OSRRefT22_8x_0)</f>
        <v>0</v>
      </c>
      <c r="U52" s="2"/>
      <c r="V52" s="5">
        <f t="shared" si="13"/>
        <v>0</v>
      </c>
      <c r="W52" s="2"/>
      <c r="X52" s="2">
        <f t="shared" si="14"/>
        <v>102.5</v>
      </c>
      <c r="Y52" s="2"/>
      <c r="Z52" s="5">
        <f t="shared" si="15"/>
        <v>0</v>
      </c>
    </row>
    <row r="53" spans="1:26" s="70" customFormat="1" ht="15" hidden="1" customHeight="1" outlineLevel="2" x14ac:dyDescent="0.3">
      <c r="A53" s="21"/>
      <c r="B53" s="9" t="str">
        <f>CONCATENATE("          ","6279"," - ","GENERAL EXPENSE")</f>
        <v xml:space="preserve">          6279 - GENERAL EXPENSE</v>
      </c>
      <c r="C53" s="9"/>
      <c r="D53" s="6">
        <v>102.5</v>
      </c>
      <c r="E53" s="3"/>
      <c r="F53" s="7">
        <f t="shared" si="8"/>
        <v>0</v>
      </c>
      <c r="G53" s="3"/>
      <c r="H53" s="6"/>
      <c r="I53" s="3"/>
      <c r="J53" s="7">
        <f t="shared" si="9"/>
        <v>0</v>
      </c>
      <c r="K53" s="3"/>
      <c r="L53" s="6">
        <f t="shared" si="10"/>
        <v>102.5</v>
      </c>
      <c r="M53" s="3"/>
      <c r="N53" s="7">
        <f t="shared" si="11"/>
        <v>0</v>
      </c>
      <c r="O53" s="9"/>
      <c r="P53" s="6">
        <v>102.5</v>
      </c>
      <c r="Q53" s="3"/>
      <c r="R53" s="7">
        <f t="shared" si="12"/>
        <v>0</v>
      </c>
      <c r="S53" s="3"/>
      <c r="T53" s="6"/>
      <c r="U53" s="3"/>
      <c r="V53" s="7">
        <f t="shared" si="13"/>
        <v>0</v>
      </c>
      <c r="W53" s="3"/>
      <c r="X53" s="6">
        <f t="shared" si="14"/>
        <v>102.5</v>
      </c>
      <c r="Y53" s="3"/>
      <c r="Z53" s="7">
        <f t="shared" si="15"/>
        <v>0</v>
      </c>
    </row>
    <row r="54" spans="1:26" s="69" customFormat="1" ht="15" customHeight="1" outlineLevel="1" collapsed="1" x14ac:dyDescent="0.3">
      <c r="A54" s="20"/>
      <c r="B54" s="11" t="str">
        <f>CONCATENATE("     ","Insurance                                         ")</f>
        <v xml:space="preserve">     Insurance                                         </v>
      </c>
      <c r="C54" s="11"/>
      <c r="D54" s="2">
        <f>SUM(OSRRefD22_9x_0)</f>
        <v>-48.6</v>
      </c>
      <c r="E54" s="2"/>
      <c r="F54" s="5">
        <f t="shared" si="8"/>
        <v>0</v>
      </c>
      <c r="G54" s="2"/>
      <c r="H54" s="2">
        <f>SUM(OSRRefH22_9x_0)</f>
        <v>150</v>
      </c>
      <c r="I54" s="2"/>
      <c r="J54" s="5">
        <f t="shared" si="9"/>
        <v>0</v>
      </c>
      <c r="K54" s="2"/>
      <c r="L54" s="2">
        <f t="shared" si="10"/>
        <v>-198.6</v>
      </c>
      <c r="M54" s="2"/>
      <c r="N54" s="5">
        <f t="shared" si="11"/>
        <v>-1.3240000000000001</v>
      </c>
      <c r="O54" s="11"/>
      <c r="P54" s="2">
        <f>SUM(OSRRefP22_9x_0)</f>
        <v>1672.68</v>
      </c>
      <c r="Q54" s="2"/>
      <c r="R54" s="5">
        <f t="shared" si="12"/>
        <v>0</v>
      </c>
      <c r="S54" s="2"/>
      <c r="T54" s="2">
        <f>SUM(OSRRefT22_9x_0)</f>
        <v>1800</v>
      </c>
      <c r="U54" s="2"/>
      <c r="V54" s="5">
        <f t="shared" si="13"/>
        <v>0</v>
      </c>
      <c r="W54" s="2"/>
      <c r="X54" s="2">
        <f t="shared" si="14"/>
        <v>-127.31999999999994</v>
      </c>
      <c r="Y54" s="2"/>
      <c r="Z54" s="5">
        <f t="shared" si="15"/>
        <v>-7.0733333333333301E-2</v>
      </c>
    </row>
    <row r="55" spans="1:26" s="70" customFormat="1" ht="15" hidden="1" customHeight="1" outlineLevel="2" x14ac:dyDescent="0.3">
      <c r="A55" s="21"/>
      <c r="B55" s="9" t="str">
        <f>CONCATENATE("          ","6314"," - ","LIABILITY INSURANCE")</f>
        <v xml:space="preserve">          6314 - LIABILITY INSURANCE</v>
      </c>
      <c r="C55" s="9"/>
      <c r="D55" s="6">
        <v>-48.6</v>
      </c>
      <c r="E55" s="3"/>
      <c r="F55" s="7">
        <f t="shared" si="8"/>
        <v>0</v>
      </c>
      <c r="G55" s="3"/>
      <c r="H55" s="6">
        <v>150</v>
      </c>
      <c r="I55" s="3"/>
      <c r="J55" s="7">
        <f t="shared" si="9"/>
        <v>0</v>
      </c>
      <c r="K55" s="3"/>
      <c r="L55" s="6">
        <f t="shared" si="10"/>
        <v>-198.6</v>
      </c>
      <c r="M55" s="3"/>
      <c r="N55" s="7">
        <f t="shared" si="11"/>
        <v>-1.3240000000000001</v>
      </c>
      <c r="O55" s="9"/>
      <c r="P55" s="6">
        <v>1672.68</v>
      </c>
      <c r="Q55" s="3"/>
      <c r="R55" s="7">
        <f t="shared" si="12"/>
        <v>0</v>
      </c>
      <c r="S55" s="3"/>
      <c r="T55" s="6">
        <v>1800</v>
      </c>
      <c r="U55" s="3"/>
      <c r="V55" s="7">
        <f t="shared" si="13"/>
        <v>0</v>
      </c>
      <c r="W55" s="3"/>
      <c r="X55" s="6">
        <f t="shared" si="14"/>
        <v>-127.31999999999994</v>
      </c>
      <c r="Y55" s="3"/>
      <c r="Z55" s="7">
        <f t="shared" si="15"/>
        <v>-7.0733333333333301E-2</v>
      </c>
    </row>
    <row r="56" spans="1:26" s="69" customFormat="1" ht="15" customHeight="1" outlineLevel="1" collapsed="1" x14ac:dyDescent="0.3">
      <c r="A56" s="20"/>
      <c r="B56" s="11" t="str">
        <f>CONCATENATE("     ","Professional Services                             ")</f>
        <v xml:space="preserve">     Professional Services                             </v>
      </c>
      <c r="C56" s="11"/>
      <c r="D56" s="2">
        <f>SUM(OSRRefD22_10x_0)</f>
        <v>0</v>
      </c>
      <c r="E56" s="2"/>
      <c r="F56" s="5">
        <f t="shared" si="8"/>
        <v>0</v>
      </c>
      <c r="G56" s="2"/>
      <c r="H56" s="2">
        <f>SUM(OSRRefH22_10x_0)</f>
        <v>0</v>
      </c>
      <c r="I56" s="2"/>
      <c r="J56" s="5">
        <f t="shared" si="9"/>
        <v>0</v>
      </c>
      <c r="K56" s="2"/>
      <c r="L56" s="2">
        <f t="shared" si="10"/>
        <v>0</v>
      </c>
      <c r="M56" s="2"/>
      <c r="N56" s="5">
        <f t="shared" si="11"/>
        <v>0</v>
      </c>
      <c r="O56" s="11"/>
      <c r="P56" s="2">
        <f>SUM(OSRRefP22_10x_0)</f>
        <v>56875</v>
      </c>
      <c r="Q56" s="2"/>
      <c r="R56" s="5">
        <f t="shared" si="12"/>
        <v>0</v>
      </c>
      <c r="S56" s="2"/>
      <c r="T56" s="2">
        <f>SUM(OSRRefT22_10x_0)</f>
        <v>60500</v>
      </c>
      <c r="U56" s="2"/>
      <c r="V56" s="5">
        <f t="shared" si="13"/>
        <v>0</v>
      </c>
      <c r="W56" s="2"/>
      <c r="X56" s="2">
        <f t="shared" si="14"/>
        <v>-3625</v>
      </c>
      <c r="Y56" s="2"/>
      <c r="Z56" s="5">
        <f t="shared" si="15"/>
        <v>-5.9917355371900828E-2</v>
      </c>
    </row>
    <row r="57" spans="1:26" s="70" customFormat="1" ht="15" hidden="1" customHeight="1" outlineLevel="2" x14ac:dyDescent="0.3">
      <c r="A57" s="21"/>
      <c r="B57" s="9" t="str">
        <f>CONCATENATE("          ","6331"," - ","INDIRECT COSTS-AUXILIARY ORGAN")</f>
        <v xml:space="preserve">          6331 - INDIRECT COSTS-AUXILIARY ORGAN</v>
      </c>
      <c r="C57" s="9"/>
      <c r="D57" s="6"/>
      <c r="E57" s="3"/>
      <c r="F57" s="7">
        <f t="shared" si="8"/>
        <v>0</v>
      </c>
      <c r="G57" s="3"/>
      <c r="H57" s="6"/>
      <c r="I57" s="3"/>
      <c r="J57" s="7">
        <f t="shared" si="9"/>
        <v>0</v>
      </c>
      <c r="K57" s="3"/>
      <c r="L57" s="6">
        <f t="shared" si="10"/>
        <v>0</v>
      </c>
      <c r="M57" s="3"/>
      <c r="N57" s="7">
        <f t="shared" si="11"/>
        <v>0</v>
      </c>
      <c r="O57" s="9"/>
      <c r="P57" s="6">
        <v>48350</v>
      </c>
      <c r="Q57" s="3"/>
      <c r="R57" s="7">
        <f t="shared" si="12"/>
        <v>0</v>
      </c>
      <c r="S57" s="3"/>
      <c r="T57" s="6">
        <v>51000</v>
      </c>
      <c r="U57" s="3"/>
      <c r="V57" s="7">
        <f t="shared" si="13"/>
        <v>0</v>
      </c>
      <c r="W57" s="3"/>
      <c r="X57" s="6">
        <f t="shared" si="14"/>
        <v>-2650</v>
      </c>
      <c r="Y57" s="3"/>
      <c r="Z57" s="7">
        <f t="shared" si="15"/>
        <v>-5.1960784313725493E-2</v>
      </c>
    </row>
    <row r="58" spans="1:26" s="70" customFormat="1" ht="15" hidden="1" customHeight="1" outlineLevel="2" x14ac:dyDescent="0.3">
      <c r="A58" s="21"/>
      <c r="B58" s="9" t="str">
        <f>CONCATENATE("          ","6334"," - ","LEGAL COUNCIL EXPENSE")</f>
        <v xml:space="preserve">          6334 - LEGAL COUNCIL EXPENSE</v>
      </c>
      <c r="C58" s="9"/>
      <c r="D58" s="6"/>
      <c r="E58" s="3"/>
      <c r="F58" s="7">
        <f t="shared" si="8"/>
        <v>0</v>
      </c>
      <c r="G58" s="3"/>
      <c r="H58" s="6"/>
      <c r="I58" s="3"/>
      <c r="J58" s="7">
        <f t="shared" si="9"/>
        <v>0</v>
      </c>
      <c r="K58" s="3"/>
      <c r="L58" s="6">
        <f t="shared" si="10"/>
        <v>0</v>
      </c>
      <c r="M58" s="3"/>
      <c r="N58" s="7">
        <f t="shared" si="11"/>
        <v>0</v>
      </c>
      <c r="O58" s="9"/>
      <c r="P58" s="6">
        <v>200</v>
      </c>
      <c r="Q58" s="3"/>
      <c r="R58" s="7">
        <f t="shared" si="12"/>
        <v>0</v>
      </c>
      <c r="S58" s="3"/>
      <c r="T58" s="6">
        <v>4500</v>
      </c>
      <c r="U58" s="3"/>
      <c r="V58" s="7">
        <f t="shared" si="13"/>
        <v>0</v>
      </c>
      <c r="W58" s="3"/>
      <c r="X58" s="6">
        <f t="shared" si="14"/>
        <v>-4300</v>
      </c>
      <c r="Y58" s="3"/>
      <c r="Z58" s="7">
        <f t="shared" si="15"/>
        <v>-0.9555555555555556</v>
      </c>
    </row>
    <row r="59" spans="1:26" s="70" customFormat="1" ht="15" hidden="1" customHeight="1" outlineLevel="2" x14ac:dyDescent="0.3">
      <c r="A59" s="21"/>
      <c r="B59" s="9" t="str">
        <f>CONCATENATE("          ","6336"," - ","PROFESSIONAL SERVICES")</f>
        <v xml:space="preserve">          6336 - PROFESSIONAL SERVICES</v>
      </c>
      <c r="C59" s="9"/>
      <c r="D59" s="6"/>
      <c r="E59" s="3"/>
      <c r="F59" s="7">
        <f t="shared" si="8"/>
        <v>0</v>
      </c>
      <c r="G59" s="3"/>
      <c r="H59" s="6"/>
      <c r="I59" s="3"/>
      <c r="J59" s="7">
        <f t="shared" si="9"/>
        <v>0</v>
      </c>
      <c r="K59" s="3"/>
      <c r="L59" s="6">
        <f t="shared" si="10"/>
        <v>0</v>
      </c>
      <c r="M59" s="3"/>
      <c r="N59" s="7">
        <f t="shared" si="11"/>
        <v>0</v>
      </c>
      <c r="O59" s="9"/>
      <c r="P59" s="6">
        <v>8325</v>
      </c>
      <c r="Q59" s="3"/>
      <c r="R59" s="7">
        <f t="shared" si="12"/>
        <v>0</v>
      </c>
      <c r="S59" s="3"/>
      <c r="T59" s="6">
        <v>5000</v>
      </c>
      <c r="U59" s="3"/>
      <c r="V59" s="7">
        <f t="shared" si="13"/>
        <v>0</v>
      </c>
      <c r="W59" s="3"/>
      <c r="X59" s="6">
        <f t="shared" si="14"/>
        <v>3325</v>
      </c>
      <c r="Y59" s="3"/>
      <c r="Z59" s="7">
        <f t="shared" si="15"/>
        <v>0.66500000000000004</v>
      </c>
    </row>
    <row r="60" spans="1:26" s="69" customFormat="1" ht="15" customHeight="1" outlineLevel="1" collapsed="1" x14ac:dyDescent="0.3">
      <c r="A60" s="20"/>
      <c r="B60" s="11" t="str">
        <f>CONCATENATE("     ","Repair and Maintenance                            ")</f>
        <v xml:space="preserve">     Repair and Maintenance                            </v>
      </c>
      <c r="C60" s="11"/>
      <c r="D60" s="2">
        <f>SUM(OSRRefD22_11x_0)</f>
        <v>247.29</v>
      </c>
      <c r="E60" s="2"/>
      <c r="F60" s="5">
        <f t="shared" si="8"/>
        <v>0</v>
      </c>
      <c r="G60" s="2"/>
      <c r="H60" s="2">
        <f>SUM(OSRRefH22_11x_0)</f>
        <v>1530</v>
      </c>
      <c r="I60" s="2"/>
      <c r="J60" s="5">
        <f t="shared" si="9"/>
        <v>0</v>
      </c>
      <c r="K60" s="2"/>
      <c r="L60" s="2">
        <f t="shared" si="10"/>
        <v>-1282.71</v>
      </c>
      <c r="M60" s="2"/>
      <c r="N60" s="5">
        <f t="shared" si="11"/>
        <v>-0.83837254901960789</v>
      </c>
      <c r="O60" s="11"/>
      <c r="P60" s="2">
        <f>SUM(OSRRefP22_11x_0)</f>
        <v>31440.27</v>
      </c>
      <c r="Q60" s="2"/>
      <c r="R60" s="5">
        <f t="shared" si="12"/>
        <v>0</v>
      </c>
      <c r="S60" s="2"/>
      <c r="T60" s="2">
        <f>SUM(OSRRefT22_11x_0)</f>
        <v>18360</v>
      </c>
      <c r="U60" s="2"/>
      <c r="V60" s="5">
        <f t="shared" si="13"/>
        <v>0</v>
      </c>
      <c r="W60" s="2"/>
      <c r="X60" s="2">
        <f t="shared" si="14"/>
        <v>13080.27</v>
      </c>
      <c r="Y60" s="2"/>
      <c r="Z60" s="5">
        <f t="shared" si="15"/>
        <v>0.71243300653594777</v>
      </c>
    </row>
    <row r="61" spans="1:26" s="70" customFormat="1" ht="15" hidden="1" customHeight="1" outlineLevel="2" x14ac:dyDescent="0.3">
      <c r="A61" s="21"/>
      <c r="B61" s="9" t="str">
        <f>CONCATENATE("          ","6373"," - ","MAINTENANCE CONTRACTS")</f>
        <v xml:space="preserve">          6373 - MAINTENANCE CONTRACTS</v>
      </c>
      <c r="C61" s="9"/>
      <c r="D61" s="6">
        <v>247.29</v>
      </c>
      <c r="E61" s="3"/>
      <c r="F61" s="7">
        <f t="shared" si="8"/>
        <v>0</v>
      </c>
      <c r="G61" s="3"/>
      <c r="H61" s="6">
        <v>1530</v>
      </c>
      <c r="I61" s="3"/>
      <c r="J61" s="7">
        <f t="shared" si="9"/>
        <v>0</v>
      </c>
      <c r="K61" s="3"/>
      <c r="L61" s="6">
        <f t="shared" si="10"/>
        <v>-1282.71</v>
      </c>
      <c r="M61" s="3"/>
      <c r="N61" s="7">
        <f t="shared" si="11"/>
        <v>-0.83837254901960789</v>
      </c>
      <c r="O61" s="9"/>
      <c r="P61" s="6">
        <v>31342.28</v>
      </c>
      <c r="Q61" s="3"/>
      <c r="R61" s="7">
        <f t="shared" si="12"/>
        <v>0</v>
      </c>
      <c r="S61" s="3"/>
      <c r="T61" s="6">
        <v>18360</v>
      </c>
      <c r="U61" s="3"/>
      <c r="V61" s="7">
        <f t="shared" si="13"/>
        <v>0</v>
      </c>
      <c r="W61" s="3"/>
      <c r="X61" s="6">
        <f t="shared" si="14"/>
        <v>12982.279999999999</v>
      </c>
      <c r="Y61" s="3"/>
      <c r="Z61" s="7">
        <f t="shared" si="15"/>
        <v>0.70709586056644869</v>
      </c>
    </row>
    <row r="62" spans="1:26" s="70" customFormat="1" ht="15" hidden="1" customHeight="1" outlineLevel="2" x14ac:dyDescent="0.3">
      <c r="A62" s="21"/>
      <c r="B62" s="9" t="str">
        <f>CONCATENATE("          ","6375"," - ","OUTSIDE REPAIRS &amp; MAINTENANCE")</f>
        <v xml:space="preserve">          6375 - OUTSIDE REPAIRS &amp; MAINTENANCE</v>
      </c>
      <c r="C62" s="9"/>
      <c r="D62" s="6"/>
      <c r="E62" s="3"/>
      <c r="F62" s="7">
        <f t="shared" si="8"/>
        <v>0</v>
      </c>
      <c r="G62" s="3"/>
      <c r="H62" s="6"/>
      <c r="I62" s="3"/>
      <c r="J62" s="7">
        <f t="shared" si="9"/>
        <v>0</v>
      </c>
      <c r="K62" s="3"/>
      <c r="L62" s="6">
        <f t="shared" si="10"/>
        <v>0</v>
      </c>
      <c r="M62" s="3"/>
      <c r="N62" s="7">
        <f t="shared" si="11"/>
        <v>0</v>
      </c>
      <c r="O62" s="9"/>
      <c r="P62" s="6">
        <v>97.99</v>
      </c>
      <c r="Q62" s="3"/>
      <c r="R62" s="7">
        <f t="shared" si="12"/>
        <v>0</v>
      </c>
      <c r="S62" s="3"/>
      <c r="T62" s="6"/>
      <c r="U62" s="3"/>
      <c r="V62" s="7">
        <f t="shared" si="13"/>
        <v>0</v>
      </c>
      <c r="W62" s="3"/>
      <c r="X62" s="6">
        <f t="shared" si="14"/>
        <v>97.99</v>
      </c>
      <c r="Y62" s="3"/>
      <c r="Z62" s="7">
        <f t="shared" si="15"/>
        <v>0</v>
      </c>
    </row>
    <row r="63" spans="1:26" s="69" customFormat="1" ht="15" customHeight="1" outlineLevel="1" collapsed="1" x14ac:dyDescent="0.3">
      <c r="A63" s="20"/>
      <c r="B63" s="11" t="str">
        <f>CONCATENATE("     ","Subscriptions &amp; Dues                              ")</f>
        <v xml:space="preserve">     Subscriptions &amp; Dues                              </v>
      </c>
      <c r="C63" s="11"/>
      <c r="D63" s="2">
        <f>SUM(OSRRefD22_12x_0)</f>
        <v>1103.31</v>
      </c>
      <c r="E63" s="2"/>
      <c r="F63" s="5">
        <f t="shared" si="8"/>
        <v>0</v>
      </c>
      <c r="G63" s="2"/>
      <c r="H63" s="2">
        <f>SUM(OSRRefH22_12x_0)</f>
        <v>230</v>
      </c>
      <c r="I63" s="2"/>
      <c r="J63" s="5">
        <f t="shared" si="9"/>
        <v>0</v>
      </c>
      <c r="K63" s="2"/>
      <c r="L63" s="2">
        <f t="shared" si="10"/>
        <v>873.31</v>
      </c>
      <c r="M63" s="2"/>
      <c r="N63" s="5">
        <f t="shared" si="11"/>
        <v>3.7969999999999997</v>
      </c>
      <c r="O63" s="11"/>
      <c r="P63" s="2">
        <f>SUM(OSRRefP22_12x_0)</f>
        <v>6725.31</v>
      </c>
      <c r="Q63" s="2"/>
      <c r="R63" s="5">
        <f t="shared" si="12"/>
        <v>0</v>
      </c>
      <c r="S63" s="2"/>
      <c r="T63" s="2">
        <f>SUM(OSRRefT22_12x_0)</f>
        <v>8423</v>
      </c>
      <c r="U63" s="2"/>
      <c r="V63" s="5">
        <f t="shared" si="13"/>
        <v>0</v>
      </c>
      <c r="W63" s="2"/>
      <c r="X63" s="2">
        <f t="shared" si="14"/>
        <v>-1697.6899999999996</v>
      </c>
      <c r="Y63" s="2"/>
      <c r="Z63" s="5">
        <f t="shared" si="15"/>
        <v>-0.20155407811943482</v>
      </c>
    </row>
    <row r="64" spans="1:26" s="70" customFormat="1" ht="15" hidden="1" customHeight="1" outlineLevel="2" x14ac:dyDescent="0.3">
      <c r="A64" s="21"/>
      <c r="B64" s="9" t="str">
        <f>CONCATENATE("          ","6258"," - ","MEMBERSHIP DUES")</f>
        <v xml:space="preserve">          6258 - MEMBERSHIP DUES</v>
      </c>
      <c r="C64" s="9"/>
      <c r="D64" s="6">
        <v>1103.31</v>
      </c>
      <c r="E64" s="3"/>
      <c r="F64" s="7">
        <f t="shared" si="8"/>
        <v>0</v>
      </c>
      <c r="G64" s="3"/>
      <c r="H64" s="6">
        <v>230</v>
      </c>
      <c r="I64" s="3"/>
      <c r="J64" s="7">
        <f t="shared" si="9"/>
        <v>0</v>
      </c>
      <c r="K64" s="3"/>
      <c r="L64" s="6">
        <f t="shared" si="10"/>
        <v>873.31</v>
      </c>
      <c r="M64" s="3"/>
      <c r="N64" s="7">
        <f t="shared" si="11"/>
        <v>3.7969999999999997</v>
      </c>
      <c r="O64" s="9"/>
      <c r="P64" s="6">
        <v>6725.31</v>
      </c>
      <c r="Q64" s="3"/>
      <c r="R64" s="7">
        <f t="shared" si="12"/>
        <v>0</v>
      </c>
      <c r="S64" s="3"/>
      <c r="T64" s="6">
        <v>8423</v>
      </c>
      <c r="U64" s="3"/>
      <c r="V64" s="7">
        <f t="shared" si="13"/>
        <v>0</v>
      </c>
      <c r="W64" s="3"/>
      <c r="X64" s="6">
        <f t="shared" si="14"/>
        <v>-1697.6899999999996</v>
      </c>
      <c r="Y64" s="3"/>
      <c r="Z64" s="7">
        <f t="shared" si="15"/>
        <v>-0.20155407811943482</v>
      </c>
    </row>
    <row r="65" spans="1:26" s="69" customFormat="1" ht="15" customHeight="1" outlineLevel="1" collapsed="1" x14ac:dyDescent="0.3">
      <c r="A65" s="20"/>
      <c r="B65" s="11" t="str">
        <f>CONCATENATE("     ","Supplies                                          ")</f>
        <v xml:space="preserve">     Supplies                                          </v>
      </c>
      <c r="C65" s="11"/>
      <c r="D65" s="2">
        <f>SUM(OSRRefD22_13x_0)</f>
        <v>526.63</v>
      </c>
      <c r="E65" s="2"/>
      <c r="F65" s="5">
        <f t="shared" si="8"/>
        <v>0</v>
      </c>
      <c r="G65" s="2"/>
      <c r="H65" s="2">
        <f>SUM(OSRRefH22_13x_0)</f>
        <v>125</v>
      </c>
      <c r="I65" s="2"/>
      <c r="J65" s="5">
        <f t="shared" si="9"/>
        <v>0</v>
      </c>
      <c r="K65" s="2"/>
      <c r="L65" s="2">
        <f t="shared" si="10"/>
        <v>401.63</v>
      </c>
      <c r="M65" s="2"/>
      <c r="N65" s="5">
        <f t="shared" si="11"/>
        <v>3.2130399999999999</v>
      </c>
      <c r="O65" s="11"/>
      <c r="P65" s="2">
        <f>SUM(OSRRefP22_13x_0)</f>
        <v>935.78</v>
      </c>
      <c r="Q65" s="2"/>
      <c r="R65" s="5">
        <f t="shared" si="12"/>
        <v>0</v>
      </c>
      <c r="S65" s="2"/>
      <c r="T65" s="2">
        <f>SUM(OSRRefT22_13x_0)</f>
        <v>1500</v>
      </c>
      <c r="U65" s="2"/>
      <c r="V65" s="5">
        <f t="shared" si="13"/>
        <v>0</v>
      </c>
      <c r="W65" s="2"/>
      <c r="X65" s="2">
        <f t="shared" si="14"/>
        <v>-564.22</v>
      </c>
      <c r="Y65" s="2"/>
      <c r="Z65" s="5">
        <f t="shared" si="15"/>
        <v>-0.37614666666666668</v>
      </c>
    </row>
    <row r="66" spans="1:26" s="70" customFormat="1" ht="15" hidden="1" customHeight="1" outlineLevel="2" x14ac:dyDescent="0.3">
      <c r="A66" s="21"/>
      <c r="B66" s="9" t="str">
        <f>CONCATENATE("          ","6234"," - ","EXPENDABLE SUPPLIES &amp; EQUIPMEN")</f>
        <v xml:space="preserve">          6234 - EXPENDABLE SUPPLIES &amp; EQUIPMEN</v>
      </c>
      <c r="C66" s="9"/>
      <c r="D66" s="6"/>
      <c r="E66" s="3"/>
      <c r="F66" s="7">
        <f t="shared" si="8"/>
        <v>0</v>
      </c>
      <c r="G66" s="3"/>
      <c r="H66" s="6">
        <v>125</v>
      </c>
      <c r="I66" s="3"/>
      <c r="J66" s="7">
        <f t="shared" si="9"/>
        <v>0</v>
      </c>
      <c r="K66" s="3"/>
      <c r="L66" s="6">
        <f t="shared" si="10"/>
        <v>-125</v>
      </c>
      <c r="M66" s="3"/>
      <c r="N66" s="7">
        <f t="shared" si="11"/>
        <v>-1</v>
      </c>
      <c r="O66" s="9"/>
      <c r="P66" s="6"/>
      <c r="Q66" s="3"/>
      <c r="R66" s="7">
        <f t="shared" si="12"/>
        <v>0</v>
      </c>
      <c r="S66" s="3"/>
      <c r="T66" s="6">
        <v>1500</v>
      </c>
      <c r="U66" s="3"/>
      <c r="V66" s="7">
        <f t="shared" si="13"/>
        <v>0</v>
      </c>
      <c r="W66" s="3"/>
      <c r="X66" s="6">
        <f t="shared" si="14"/>
        <v>-1500</v>
      </c>
      <c r="Y66" s="3"/>
      <c r="Z66" s="7">
        <f t="shared" si="15"/>
        <v>-1</v>
      </c>
    </row>
    <row r="67" spans="1:26" s="70" customFormat="1" ht="15" hidden="1" customHeight="1" outlineLevel="2" x14ac:dyDescent="0.3">
      <c r="A67" s="21"/>
      <c r="B67" s="9" t="str">
        <f>CONCATENATE("          ","6241"," - ","OFFICE EXPENSE")</f>
        <v xml:space="preserve">          6241 - OFFICE EXPENSE</v>
      </c>
      <c r="C67" s="9"/>
      <c r="D67" s="6">
        <v>526.63</v>
      </c>
      <c r="E67" s="3"/>
      <c r="F67" s="7">
        <f t="shared" si="8"/>
        <v>0</v>
      </c>
      <c r="G67" s="3"/>
      <c r="H67" s="6"/>
      <c r="I67" s="3"/>
      <c r="J67" s="7">
        <f t="shared" si="9"/>
        <v>0</v>
      </c>
      <c r="K67" s="3"/>
      <c r="L67" s="6">
        <f t="shared" si="10"/>
        <v>526.63</v>
      </c>
      <c r="M67" s="3"/>
      <c r="N67" s="7">
        <f t="shared" si="11"/>
        <v>0</v>
      </c>
      <c r="O67" s="9"/>
      <c r="P67" s="6">
        <v>935.78</v>
      </c>
      <c r="Q67" s="3"/>
      <c r="R67" s="7">
        <f t="shared" si="12"/>
        <v>0</v>
      </c>
      <c r="S67" s="3"/>
      <c r="T67" s="6"/>
      <c r="U67" s="3"/>
      <c r="V67" s="7">
        <f t="shared" si="13"/>
        <v>0</v>
      </c>
      <c r="W67" s="3"/>
      <c r="X67" s="6">
        <f t="shared" si="14"/>
        <v>935.78</v>
      </c>
      <c r="Y67" s="3"/>
      <c r="Z67" s="7">
        <f t="shared" si="15"/>
        <v>0</v>
      </c>
    </row>
    <row r="68" spans="1:26" s="69" customFormat="1" ht="15" customHeight="1" outlineLevel="1" collapsed="1" x14ac:dyDescent="0.3">
      <c r="A68" s="20"/>
      <c r="B68" s="11" t="str">
        <f>CONCATENATE("     ","Telephone/Data Lines                              ")</f>
        <v xml:space="preserve">     Telephone/Data Lines                              </v>
      </c>
      <c r="C68" s="11"/>
      <c r="D68" s="2">
        <f>SUM(OSRRefD22_14x_0)</f>
        <v>303.77999999999997</v>
      </c>
      <c r="E68" s="2"/>
      <c r="F68" s="5">
        <f t="shared" si="8"/>
        <v>0</v>
      </c>
      <c r="G68" s="2"/>
      <c r="H68" s="2">
        <f>SUM(OSRRefH22_14x_0)</f>
        <v>425</v>
      </c>
      <c r="I68" s="2"/>
      <c r="J68" s="5">
        <f t="shared" si="9"/>
        <v>0</v>
      </c>
      <c r="K68" s="2"/>
      <c r="L68" s="2">
        <f t="shared" si="10"/>
        <v>-121.22000000000003</v>
      </c>
      <c r="M68" s="2"/>
      <c r="N68" s="5">
        <f t="shared" si="11"/>
        <v>-0.28522352941176476</v>
      </c>
      <c r="O68" s="11"/>
      <c r="P68" s="2">
        <f>SUM(OSRRefP22_14x_0)</f>
        <v>5102.82</v>
      </c>
      <c r="Q68" s="2"/>
      <c r="R68" s="5">
        <f t="shared" si="12"/>
        <v>0</v>
      </c>
      <c r="S68" s="2"/>
      <c r="T68" s="2">
        <f>SUM(OSRRefT22_14x_0)</f>
        <v>5100</v>
      </c>
      <c r="U68" s="2"/>
      <c r="V68" s="5">
        <f t="shared" si="13"/>
        <v>0</v>
      </c>
      <c r="W68" s="2"/>
      <c r="X68" s="2">
        <f t="shared" si="14"/>
        <v>2.819999999999709</v>
      </c>
      <c r="Y68" s="2"/>
      <c r="Z68" s="5">
        <f t="shared" si="15"/>
        <v>5.5294117647053116E-4</v>
      </c>
    </row>
    <row r="69" spans="1:26" s="70" customFormat="1" ht="15" hidden="1" customHeight="1" outlineLevel="2" x14ac:dyDescent="0.3">
      <c r="A69" s="21"/>
      <c r="B69" s="9" t="str">
        <f>CONCATENATE("          ","6309"," - ","TELEPHONE")</f>
        <v xml:space="preserve">          6309 - TELEPHONE</v>
      </c>
      <c r="C69" s="9"/>
      <c r="D69" s="6">
        <v>303.77999999999997</v>
      </c>
      <c r="E69" s="3"/>
      <c r="F69" s="7">
        <f t="shared" si="8"/>
        <v>0</v>
      </c>
      <c r="G69" s="3"/>
      <c r="H69" s="6">
        <v>425</v>
      </c>
      <c r="I69" s="3"/>
      <c r="J69" s="7">
        <f t="shared" si="9"/>
        <v>0</v>
      </c>
      <c r="K69" s="3"/>
      <c r="L69" s="6">
        <f t="shared" si="10"/>
        <v>-121.22000000000003</v>
      </c>
      <c r="M69" s="3"/>
      <c r="N69" s="7">
        <f t="shared" si="11"/>
        <v>-0.28522352941176476</v>
      </c>
      <c r="O69" s="9"/>
      <c r="P69" s="6">
        <v>5102.82</v>
      </c>
      <c r="Q69" s="3"/>
      <c r="R69" s="7">
        <f t="shared" si="12"/>
        <v>0</v>
      </c>
      <c r="S69" s="3"/>
      <c r="T69" s="6">
        <v>5100</v>
      </c>
      <c r="U69" s="3"/>
      <c r="V69" s="7">
        <f t="shared" si="13"/>
        <v>0</v>
      </c>
      <c r="W69" s="3"/>
      <c r="X69" s="6">
        <f t="shared" si="14"/>
        <v>2.819999999999709</v>
      </c>
      <c r="Y69" s="3"/>
      <c r="Z69" s="7">
        <f t="shared" si="15"/>
        <v>5.5294117647053116E-4</v>
      </c>
    </row>
    <row r="70" spans="1:26" s="69" customFormat="1" ht="15" customHeight="1" outlineLevel="1" collapsed="1" x14ac:dyDescent="0.3">
      <c r="A70" s="20"/>
      <c r="B70" s="11" t="str">
        <f>CONCATENATE("     ","Training                                          ")</f>
        <v xml:space="preserve">     Training                                          </v>
      </c>
      <c r="C70" s="11"/>
      <c r="D70" s="2">
        <f>SUM(OSRRefD22_15x_0)</f>
        <v>0</v>
      </c>
      <c r="E70" s="2"/>
      <c r="F70" s="5">
        <f t="shared" si="8"/>
        <v>0</v>
      </c>
      <c r="G70" s="2"/>
      <c r="H70" s="2">
        <f>SUM(OSRRefH22_15x_0)</f>
        <v>0</v>
      </c>
      <c r="I70" s="2"/>
      <c r="J70" s="5">
        <f t="shared" si="9"/>
        <v>0</v>
      </c>
      <c r="K70" s="2"/>
      <c r="L70" s="2">
        <f t="shared" si="10"/>
        <v>0</v>
      </c>
      <c r="M70" s="2"/>
      <c r="N70" s="5">
        <f t="shared" si="11"/>
        <v>0</v>
      </c>
      <c r="O70" s="11"/>
      <c r="P70" s="2">
        <f>SUM(OSRRefP22_15x_0)</f>
        <v>0</v>
      </c>
      <c r="Q70" s="2"/>
      <c r="R70" s="5">
        <f t="shared" si="12"/>
        <v>0</v>
      </c>
      <c r="S70" s="2"/>
      <c r="T70" s="2">
        <f>SUM(OSRRefT22_15x_0)</f>
        <v>4050</v>
      </c>
      <c r="U70" s="2"/>
      <c r="V70" s="5">
        <f t="shared" si="13"/>
        <v>0</v>
      </c>
      <c r="W70" s="2"/>
      <c r="X70" s="2">
        <f t="shared" si="14"/>
        <v>-4050</v>
      </c>
      <c r="Y70" s="2"/>
      <c r="Z70" s="5">
        <f t="shared" si="15"/>
        <v>-1</v>
      </c>
    </row>
    <row r="71" spans="1:26" s="70" customFormat="1" ht="15" hidden="1" customHeight="1" outlineLevel="2" x14ac:dyDescent="0.3">
      <c r="A71" s="21"/>
      <c r="B71" s="9" t="str">
        <f>CONCATENATE("          ","6376"," - ","TRAINING")</f>
        <v xml:space="preserve">          6376 - TRAINING</v>
      </c>
      <c r="C71" s="9"/>
      <c r="D71" s="6"/>
      <c r="E71" s="3"/>
      <c r="F71" s="7">
        <f t="shared" si="8"/>
        <v>0</v>
      </c>
      <c r="G71" s="3"/>
      <c r="H71" s="6"/>
      <c r="I71" s="3"/>
      <c r="J71" s="7">
        <f t="shared" si="9"/>
        <v>0</v>
      </c>
      <c r="K71" s="3"/>
      <c r="L71" s="6">
        <f t="shared" si="10"/>
        <v>0</v>
      </c>
      <c r="M71" s="3"/>
      <c r="N71" s="7">
        <f t="shared" si="11"/>
        <v>0</v>
      </c>
      <c r="O71" s="9"/>
      <c r="P71" s="6">
        <v>0</v>
      </c>
      <c r="Q71" s="3"/>
      <c r="R71" s="7">
        <f t="shared" si="12"/>
        <v>0</v>
      </c>
      <c r="S71" s="3"/>
      <c r="T71" s="6">
        <v>4050</v>
      </c>
      <c r="U71" s="3"/>
      <c r="V71" s="7">
        <f t="shared" si="13"/>
        <v>0</v>
      </c>
      <c r="W71" s="3"/>
      <c r="X71" s="6">
        <f t="shared" si="14"/>
        <v>-4050</v>
      </c>
      <c r="Y71" s="3"/>
      <c r="Z71" s="7">
        <f t="shared" si="15"/>
        <v>-1</v>
      </c>
    </row>
    <row r="72" spans="1:26" s="69" customFormat="1" ht="15" customHeight="1" outlineLevel="1" collapsed="1" x14ac:dyDescent="0.3">
      <c r="A72" s="20"/>
      <c r="B72" s="11" t="str">
        <f>CONCATENATE("     ","Travel                                            ")</f>
        <v xml:space="preserve">     Travel                                            </v>
      </c>
      <c r="C72" s="11"/>
      <c r="D72" s="2">
        <f>SUM(OSRRefD22_16x_0)</f>
        <v>0</v>
      </c>
      <c r="E72" s="2"/>
      <c r="F72" s="5">
        <f t="shared" si="8"/>
        <v>0</v>
      </c>
      <c r="G72" s="2"/>
      <c r="H72" s="2">
        <f>SUM(OSRRefH22_16x_0)</f>
        <v>0</v>
      </c>
      <c r="I72" s="2"/>
      <c r="J72" s="5">
        <f t="shared" si="9"/>
        <v>0</v>
      </c>
      <c r="K72" s="2"/>
      <c r="L72" s="2">
        <f t="shared" si="10"/>
        <v>0</v>
      </c>
      <c r="M72" s="2"/>
      <c r="N72" s="5">
        <f t="shared" si="11"/>
        <v>0</v>
      </c>
      <c r="O72" s="11"/>
      <c r="P72" s="2">
        <f>SUM(OSRRefP22_16x_0)</f>
        <v>0</v>
      </c>
      <c r="Q72" s="2"/>
      <c r="R72" s="5">
        <f t="shared" si="12"/>
        <v>0</v>
      </c>
      <c r="S72" s="2"/>
      <c r="T72" s="2">
        <f>SUM(OSRRefT22_16x_0)</f>
        <v>1500</v>
      </c>
      <c r="U72" s="2"/>
      <c r="V72" s="5">
        <f t="shared" si="13"/>
        <v>0</v>
      </c>
      <c r="W72" s="2"/>
      <c r="X72" s="2">
        <f t="shared" si="14"/>
        <v>-1500</v>
      </c>
      <c r="Y72" s="2"/>
      <c r="Z72" s="5">
        <f t="shared" si="15"/>
        <v>-1</v>
      </c>
    </row>
    <row r="73" spans="1:26" s="70" customFormat="1" ht="15" hidden="1" customHeight="1" outlineLevel="2" x14ac:dyDescent="0.3">
      <c r="A73" s="21"/>
      <c r="B73" s="9" t="str">
        <f>CONCATENATE("          ","6294"," - ","TRAVEL OPERATIONAL")</f>
        <v xml:space="preserve">          6294 - TRAVEL OPERATIONAL</v>
      </c>
      <c r="C73" s="9"/>
      <c r="D73" s="6"/>
      <c r="E73" s="3"/>
      <c r="F73" s="7">
        <f t="shared" si="8"/>
        <v>0</v>
      </c>
      <c r="G73" s="3"/>
      <c r="H73" s="6"/>
      <c r="I73" s="3"/>
      <c r="J73" s="7">
        <f t="shared" si="9"/>
        <v>0</v>
      </c>
      <c r="K73" s="3"/>
      <c r="L73" s="6">
        <f t="shared" si="10"/>
        <v>0</v>
      </c>
      <c r="M73" s="3"/>
      <c r="N73" s="7">
        <f t="shared" si="11"/>
        <v>0</v>
      </c>
      <c r="O73" s="9"/>
      <c r="P73" s="6"/>
      <c r="Q73" s="3"/>
      <c r="R73" s="7">
        <f t="shared" si="12"/>
        <v>0</v>
      </c>
      <c r="S73" s="3"/>
      <c r="T73" s="6">
        <v>1500</v>
      </c>
      <c r="U73" s="3"/>
      <c r="V73" s="7">
        <f t="shared" si="13"/>
        <v>0</v>
      </c>
      <c r="W73" s="3"/>
      <c r="X73" s="6">
        <f t="shared" si="14"/>
        <v>-1500</v>
      </c>
      <c r="Y73" s="3"/>
      <c r="Z73" s="7">
        <f t="shared" si="15"/>
        <v>-1</v>
      </c>
    </row>
    <row r="74" spans="1:26" s="65" customFormat="1" ht="15" customHeight="1" x14ac:dyDescent="0.3">
      <c r="A74" s="36"/>
      <c r="B74" s="36"/>
      <c r="C74" s="36"/>
      <c r="D74" s="2"/>
      <c r="E74" s="2"/>
      <c r="F74" s="5"/>
      <c r="G74" s="2"/>
      <c r="H74" s="2"/>
      <c r="I74" s="2"/>
      <c r="J74" s="5"/>
      <c r="K74" s="2"/>
      <c r="L74" s="2"/>
      <c r="M74" s="2"/>
      <c r="N74" s="5"/>
      <c r="O74" s="36"/>
      <c r="P74" s="2"/>
      <c r="Q74" s="2"/>
      <c r="R74" s="5"/>
      <c r="S74" s="2"/>
      <c r="T74" s="2"/>
      <c r="U74" s="2"/>
      <c r="V74" s="5"/>
      <c r="W74" s="2"/>
      <c r="X74" s="2"/>
      <c r="Y74" s="2"/>
      <c r="Z74" s="5"/>
    </row>
    <row r="75" spans="1:26" s="63" customFormat="1" ht="15" customHeight="1" x14ac:dyDescent="0.3">
      <c r="A75" s="13"/>
      <c r="B75" s="28" t="s">
        <v>291</v>
      </c>
      <c r="C75" s="13"/>
      <c r="D75" s="8">
        <f>SUM(0)</f>
        <v>0</v>
      </c>
      <c r="E75" s="8"/>
      <c r="F75" s="14">
        <f>IF(D$12=0,0,D75/D$12)</f>
        <v>0</v>
      </c>
      <c r="G75" s="8"/>
      <c r="H75" s="8">
        <f>SUM(0)</f>
        <v>0</v>
      </c>
      <c r="I75" s="8"/>
      <c r="J75" s="14">
        <f>IF(H$12=0,0,H75/H$12)</f>
        <v>0</v>
      </c>
      <c r="K75" s="8"/>
      <c r="L75" s="8">
        <f>+D75-H75</f>
        <v>0</v>
      </c>
      <c r="M75" s="8"/>
      <c r="N75" s="14">
        <f>IF(H75=0,0,L75/H75)</f>
        <v>0</v>
      </c>
      <c r="O75" s="13"/>
      <c r="P75" s="8">
        <f>SUM(0)</f>
        <v>0</v>
      </c>
      <c r="Q75" s="8"/>
      <c r="R75" s="14">
        <f>IF(P$12=0,0,P75/P$12)</f>
        <v>0</v>
      </c>
      <c r="S75" s="8"/>
      <c r="T75" s="8">
        <f>SUM(0)</f>
        <v>0</v>
      </c>
      <c r="U75" s="8"/>
      <c r="V75" s="14">
        <f>IF(T$12=0,0,T75/T$12)</f>
        <v>0</v>
      </c>
      <c r="W75" s="8"/>
      <c r="X75" s="8">
        <f>+P75-T75</f>
        <v>0</v>
      </c>
      <c r="Y75" s="8"/>
      <c r="Z75" s="14">
        <f>IF(T75=0,0,X75/T75)</f>
        <v>0</v>
      </c>
    </row>
    <row r="76" spans="1:26" ht="15" customHeight="1" x14ac:dyDescent="0.3">
      <c r="A76" s="12"/>
      <c r="B76" s="13"/>
      <c r="C76" s="13"/>
      <c r="D76" s="4"/>
      <c r="E76" s="4"/>
      <c r="F76" s="10"/>
      <c r="G76" s="4"/>
      <c r="H76" s="4"/>
      <c r="I76" s="4"/>
      <c r="J76" s="10"/>
      <c r="K76" s="4"/>
      <c r="L76" s="4"/>
      <c r="M76" s="4"/>
      <c r="N76" s="10"/>
      <c r="O76" s="13"/>
      <c r="P76" s="4"/>
      <c r="Q76" s="4"/>
      <c r="R76" s="10"/>
      <c r="S76" s="4"/>
      <c r="T76" s="4"/>
      <c r="U76" s="4"/>
      <c r="V76" s="10"/>
      <c r="W76" s="4"/>
      <c r="X76" s="4"/>
      <c r="Y76" s="4"/>
      <c r="Z76" s="10"/>
    </row>
    <row r="77" spans="1:26" s="63" customFormat="1" ht="15" customHeight="1" x14ac:dyDescent="0.3">
      <c r="A77" s="13"/>
      <c r="B77" s="27" t="s">
        <v>292</v>
      </c>
      <c r="C77" s="27"/>
      <c r="D77" s="23">
        <f>+D16-D18+D75</f>
        <v>-35731.839999999997</v>
      </c>
      <c r="E77" s="15"/>
      <c r="F77" s="22">
        <f>IF(D$12=0,0,D77/D$12)</f>
        <v>0</v>
      </c>
      <c r="G77" s="15"/>
      <c r="H77" s="23">
        <f>+H16-H18+H75</f>
        <v>-31072.382430769179</v>
      </c>
      <c r="I77" s="15"/>
      <c r="J77" s="22">
        <f>IF(H$12=0,0,H77/H$12)</f>
        <v>0</v>
      </c>
      <c r="K77" s="17"/>
      <c r="L77" s="23">
        <f>+D77-H77</f>
        <v>-4659.4575692308172</v>
      </c>
      <c r="M77" s="17"/>
      <c r="N77" s="22">
        <f>IF(H77=0,0,L77/H77)</f>
        <v>0.14995495049703128</v>
      </c>
      <c r="O77" s="28"/>
      <c r="P77" s="23">
        <f>+P16-P18+P75</f>
        <v>-559581.35</v>
      </c>
      <c r="Q77" s="15"/>
      <c r="R77" s="22">
        <f>IF(P$12=0,0,P77/P$12)</f>
        <v>0</v>
      </c>
      <c r="S77" s="15"/>
      <c r="T77" s="23">
        <f>+T16-T18+T75</f>
        <v>-543826.54438846163</v>
      </c>
      <c r="U77" s="15"/>
      <c r="V77" s="22">
        <f>IF(T$12=0,0,T77/T$12)</f>
        <v>0</v>
      </c>
      <c r="W77" s="17"/>
      <c r="X77" s="23">
        <f>+P77-T77</f>
        <v>-15754.805611538352</v>
      </c>
      <c r="Y77" s="17"/>
      <c r="Z77" s="22">
        <f>IF(T77=0,0,X77/T77)</f>
        <v>2.8970276964422153E-2</v>
      </c>
    </row>
    <row r="78" spans="1:26" ht="15" customHeight="1" x14ac:dyDescent="0.3">
      <c r="A78" s="12"/>
      <c r="B78" s="13"/>
      <c r="C78" s="12"/>
      <c r="D78" s="4"/>
      <c r="E78" s="4"/>
      <c r="F78" s="10"/>
      <c r="G78" s="4"/>
      <c r="H78" s="4"/>
      <c r="I78" s="4"/>
      <c r="J78" s="10"/>
      <c r="K78" s="4"/>
      <c r="L78" s="4"/>
      <c r="M78" s="4"/>
      <c r="N78" s="10"/>
      <c r="P78" s="4"/>
      <c r="Q78" s="4"/>
      <c r="R78" s="10"/>
      <c r="S78" s="4"/>
      <c r="T78" s="4"/>
      <c r="U78" s="4"/>
      <c r="V78" s="10"/>
      <c r="W78" s="4"/>
      <c r="X78" s="4"/>
      <c r="Y78" s="4"/>
      <c r="Z78" s="10"/>
    </row>
    <row r="79" spans="1:26" s="63" customFormat="1" ht="15" customHeight="1" x14ac:dyDescent="0.3">
      <c r="A79" s="49"/>
      <c r="B79" s="13" t="s">
        <v>293</v>
      </c>
      <c r="C79" s="13"/>
      <c r="D79" s="8"/>
      <c r="E79" s="8"/>
      <c r="F79" s="14">
        <f>IF(D$12=0,0,D79/D$12)</f>
        <v>0</v>
      </c>
      <c r="G79" s="8"/>
      <c r="H79" s="8"/>
      <c r="I79" s="8"/>
      <c r="J79" s="14">
        <f>IF(H$12=0,0,H79/H$12)</f>
        <v>0</v>
      </c>
      <c r="K79" s="8"/>
      <c r="L79" s="8">
        <f>+D79-H79</f>
        <v>0</v>
      </c>
      <c r="M79" s="8"/>
      <c r="N79" s="14">
        <f>IF(H79=0,0,L79/H79)</f>
        <v>0</v>
      </c>
      <c r="O79" s="13"/>
      <c r="P79" s="8"/>
      <c r="Q79" s="8"/>
      <c r="R79" s="14">
        <f>IF(P$12=0,0,P79/P$12)</f>
        <v>0</v>
      </c>
      <c r="S79" s="8"/>
      <c r="T79" s="8"/>
      <c r="U79" s="8"/>
      <c r="V79" s="14">
        <f>IF(T$12=0,0,T79/T$12)</f>
        <v>0</v>
      </c>
      <c r="W79" s="8"/>
      <c r="X79" s="8">
        <f>+P79-T79</f>
        <v>0</v>
      </c>
      <c r="Y79" s="8"/>
      <c r="Z79" s="14">
        <f>IF(T79=0,0,X79/T79)</f>
        <v>0</v>
      </c>
    </row>
    <row r="80" spans="1:26" ht="15" customHeight="1" x14ac:dyDescent="0.3">
      <c r="A80" s="12"/>
      <c r="B80" s="13"/>
      <c r="C80" s="13"/>
      <c r="D80" s="4"/>
      <c r="E80" s="4"/>
      <c r="F80" s="10"/>
      <c r="G80" s="4"/>
      <c r="H80" s="4"/>
      <c r="I80" s="4"/>
      <c r="J80" s="10"/>
      <c r="K80" s="4"/>
      <c r="L80" s="4"/>
      <c r="M80" s="4"/>
      <c r="N80" s="10"/>
      <c r="O80" s="13"/>
      <c r="P80" s="4"/>
      <c r="Q80" s="4"/>
      <c r="R80" s="10"/>
      <c r="S80" s="4"/>
      <c r="T80" s="4"/>
      <c r="U80" s="4"/>
      <c r="V80" s="10"/>
      <c r="W80" s="4"/>
      <c r="X80" s="4"/>
      <c r="Y80" s="4"/>
      <c r="Z80" s="10"/>
    </row>
    <row r="81" spans="1:26" s="63" customFormat="1" ht="15" customHeight="1" x14ac:dyDescent="0.3">
      <c r="A81" s="13"/>
      <c r="B81" s="27" t="s">
        <v>294</v>
      </c>
      <c r="C81" s="27"/>
      <c r="D81" s="30">
        <f>+D77-D79</f>
        <v>-35731.839999999997</v>
      </c>
      <c r="E81" s="15"/>
      <c r="F81" s="35">
        <f>IF(D$12=0,0,D81/D$12)</f>
        <v>0</v>
      </c>
      <c r="G81" s="15"/>
      <c r="H81" s="30">
        <f>+H77-H79</f>
        <v>-31072.382430769179</v>
      </c>
      <c r="I81" s="15"/>
      <c r="J81" s="35">
        <f>IF(H$12=0,0,H81/H$12)</f>
        <v>0</v>
      </c>
      <c r="K81" s="17"/>
      <c r="L81" s="30">
        <f>D81-H81</f>
        <v>-4659.4575692308172</v>
      </c>
      <c r="M81" s="17"/>
      <c r="N81" s="35">
        <f>IF(H81=0,0,L81/H81)</f>
        <v>0.14995495049703128</v>
      </c>
      <c r="O81" s="28"/>
      <c r="P81" s="30">
        <f>+P77-P79</f>
        <v>-559581.35</v>
      </c>
      <c r="Q81" s="15"/>
      <c r="R81" s="35">
        <f>IF(P$12=0,0,P81/P$12)</f>
        <v>0</v>
      </c>
      <c r="S81" s="15"/>
      <c r="T81" s="30">
        <f>+T77-T79</f>
        <v>-543826.54438846163</v>
      </c>
      <c r="U81" s="15"/>
      <c r="V81" s="35">
        <f>IF(T$12=0,0,T81/T$12)</f>
        <v>0</v>
      </c>
      <c r="W81" s="17"/>
      <c r="X81" s="30">
        <f>P81-T81</f>
        <v>-15754.805611538352</v>
      </c>
      <c r="Y81" s="17"/>
      <c r="Z81" s="35">
        <f>IF(T81=0,0,X81/T81)</f>
        <v>2.8970276964422153E-2</v>
      </c>
    </row>
    <row r="82" spans="1:26" ht="15" customHeight="1" x14ac:dyDescent="0.3">
      <c r="A82" s="12"/>
      <c r="B82" s="12"/>
      <c r="C82" s="12"/>
      <c r="D82" s="4"/>
      <c r="E82" s="4"/>
      <c r="F82" s="10"/>
      <c r="G82" s="4"/>
      <c r="H82" s="4"/>
      <c r="I82" s="4"/>
      <c r="J82" s="10"/>
      <c r="K82" s="4"/>
      <c r="L82" s="4"/>
      <c r="M82" s="4"/>
      <c r="N82" s="10"/>
      <c r="P82" s="4"/>
      <c r="Q82" s="4"/>
      <c r="R82" s="10"/>
      <c r="S82" s="4"/>
      <c r="T82" s="4"/>
      <c r="U82" s="4"/>
      <c r="V82" s="10"/>
      <c r="W82" s="4"/>
      <c r="X82" s="4"/>
      <c r="Y82" s="4"/>
      <c r="Z82" s="10"/>
    </row>
    <row r="83" spans="1:26" ht="15" customHeight="1" x14ac:dyDescent="0.3">
      <c r="A83" s="12"/>
      <c r="B83" s="12"/>
      <c r="C83" s="12"/>
      <c r="D83" s="4"/>
      <c r="E83" s="4"/>
      <c r="F83" s="10"/>
      <c r="G83" s="4"/>
      <c r="H83" s="4"/>
      <c r="I83" s="4"/>
      <c r="J83" s="10"/>
      <c r="K83" s="4"/>
      <c r="L83" s="4"/>
      <c r="M83" s="4"/>
      <c r="N83" s="10"/>
      <c r="P83" s="4"/>
      <c r="Q83" s="4"/>
      <c r="R83" s="10"/>
      <c r="S83" s="4"/>
      <c r="T83" s="4"/>
      <c r="U83" s="4"/>
      <c r="V83" s="10"/>
      <c r="W83" s="4"/>
      <c r="X83" s="4"/>
      <c r="Y83" s="4"/>
      <c r="Z83" s="10"/>
    </row>
    <row r="84" spans="1:26" s="63" customFormat="1" ht="15" customHeight="1" x14ac:dyDescent="0.3">
      <c r="A84" s="13"/>
      <c r="B84" s="27" t="s">
        <v>297</v>
      </c>
      <c r="C84" s="27"/>
      <c r="D84" s="33">
        <f>SUM(D81:D83)</f>
        <v>-35731.839999999997</v>
      </c>
      <c r="E84" s="15"/>
      <c r="F84" s="31">
        <f>IF(D$12=0,0,D84/D$12)</f>
        <v>0</v>
      </c>
      <c r="G84" s="15"/>
      <c r="H84" s="33">
        <f>SUM(H81:H83)</f>
        <v>-31072.382430769179</v>
      </c>
      <c r="I84" s="15"/>
      <c r="J84" s="31">
        <f>IF(H$12=0,0,H84/H$12)</f>
        <v>0</v>
      </c>
      <c r="K84" s="17"/>
      <c r="L84" s="33">
        <f>+D84-H84</f>
        <v>-4659.4575692308172</v>
      </c>
      <c r="M84" s="17"/>
      <c r="N84" s="31">
        <f>IF(H84=0,0,L84/H84)</f>
        <v>0.14995495049703128</v>
      </c>
      <c r="O84" s="28"/>
      <c r="P84" s="33">
        <f>SUM(P81:P83)</f>
        <v>-559581.35</v>
      </c>
      <c r="Q84" s="15"/>
      <c r="R84" s="31">
        <f>IF(P$12=0,0,P84/P$12)</f>
        <v>0</v>
      </c>
      <c r="S84" s="15"/>
      <c r="T84" s="33">
        <f>SUM(T81:T83)</f>
        <v>-543826.54438846163</v>
      </c>
      <c r="U84" s="15"/>
      <c r="V84" s="31">
        <f>IF(T$12=0,0,T84/T$12)</f>
        <v>0</v>
      </c>
      <c r="W84" s="17"/>
      <c r="X84" s="33">
        <f>+P84-T84</f>
        <v>-15754.805611538352</v>
      </c>
      <c r="Y84" s="17"/>
      <c r="Z84" s="31">
        <f>IF(T84=0,0,X84/T84)</f>
        <v>2.8970276964422153E-2</v>
      </c>
    </row>
    <row r="85" spans="1:26" ht="15" customHeight="1" x14ac:dyDescent="0.3">
      <c r="A85" s="12"/>
      <c r="C85" s="12"/>
      <c r="D85" s="19"/>
      <c r="E85" s="19"/>
      <c r="G85" s="19"/>
      <c r="H85" s="19"/>
      <c r="I85" s="19"/>
      <c r="J85" s="41"/>
      <c r="K85" s="19"/>
      <c r="L85" s="19"/>
      <c r="M85" s="19"/>
      <c r="P85" s="19"/>
      <c r="Q85" s="19"/>
      <c r="R85" s="41"/>
      <c r="S85" s="19"/>
      <c r="T85" s="19"/>
      <c r="U85" s="19"/>
      <c r="V85" s="41"/>
      <c r="W85" s="19"/>
      <c r="X85" s="19"/>
    </row>
    <row r="86" spans="1:26" ht="15" customHeight="1" x14ac:dyDescent="0.3">
      <c r="A86" s="12"/>
      <c r="B86" s="50">
        <v>44767.799547766204</v>
      </c>
      <c r="D86" s="19"/>
      <c r="E86" s="19"/>
      <c r="G86" s="19"/>
      <c r="H86" s="19"/>
      <c r="I86" s="19"/>
      <c r="J86" s="41"/>
      <c r="K86" s="19"/>
      <c r="L86" s="19"/>
      <c r="M86" s="19"/>
      <c r="P86" s="19"/>
      <c r="Q86" s="19"/>
      <c r="R86" s="41"/>
      <c r="S86" s="19"/>
      <c r="T86" s="19"/>
      <c r="U86" s="19"/>
      <c r="V86" s="41"/>
      <c r="W86" s="19"/>
      <c r="X86" s="19"/>
    </row>
    <row r="87" spans="1:26" ht="15" customHeight="1" x14ac:dyDescent="0.3">
      <c r="A87" s="12"/>
      <c r="B87" s="57" t="s">
        <v>298</v>
      </c>
      <c r="D87" s="19"/>
      <c r="E87" s="19"/>
      <c r="G87" s="19"/>
      <c r="H87" s="19"/>
      <c r="I87" s="19"/>
      <c r="J87" s="41"/>
      <c r="K87" s="19"/>
      <c r="L87" s="19"/>
      <c r="M87" s="19"/>
      <c r="P87" s="19"/>
      <c r="Q87" s="19"/>
      <c r="R87" s="41"/>
      <c r="S87" s="19"/>
      <c r="T87" s="19"/>
      <c r="U87" s="19"/>
      <c r="V87" s="41"/>
      <c r="W87" s="19"/>
      <c r="X87" s="19"/>
    </row>
    <row r="88" spans="1:26" ht="15" customHeight="1" x14ac:dyDescent="0.3">
      <c r="A88" s="12"/>
      <c r="B88" s="51"/>
      <c r="D88" s="19"/>
      <c r="E88" s="19"/>
      <c r="G88" s="19"/>
      <c r="H88" s="19"/>
      <c r="I88" s="19"/>
      <c r="J88" s="41"/>
      <c r="K88" s="19"/>
      <c r="L88" s="19"/>
      <c r="M88" s="19"/>
      <c r="P88" s="19"/>
      <c r="Q88" s="19"/>
      <c r="R88" s="41"/>
      <c r="S88" s="19"/>
      <c r="T88" s="19"/>
      <c r="U88" s="19"/>
      <c r="V88" s="41"/>
      <c r="W88" s="19"/>
      <c r="X88" s="19"/>
    </row>
    <row r="89" spans="1:26" ht="15" customHeight="1" x14ac:dyDescent="0.3">
      <c r="D89" s="19"/>
      <c r="E89" s="19"/>
      <c r="G89" s="19"/>
      <c r="H89" s="19"/>
      <c r="I89" s="19"/>
      <c r="J89" s="41"/>
      <c r="K89" s="19"/>
      <c r="L89" s="19"/>
      <c r="M89" s="19"/>
      <c r="P89" s="19"/>
      <c r="Q89" s="19"/>
      <c r="R89" s="41"/>
      <c r="S89" s="19"/>
      <c r="T89" s="19"/>
      <c r="U89" s="19"/>
      <c r="V89" s="41"/>
      <c r="W89" s="19"/>
      <c r="X89" s="19"/>
    </row>
  </sheetData>
  <pageMargins left="0.25" right="0.25" top="0.75" bottom="0.75" header="0.3" footer="0.3"/>
  <pageSetup scale="55" orientation="landscape" r:id="rId1"/>
  <headerFooter>
    <oddHeader>&amp;RPre-Audit</oddHeader>
    <oddFooter>&amp;L&amp;C&amp;R</oddFooter>
    <evenHeader>&amp;L&amp;C&amp;R</evenHeader>
    <evenFooter>&amp;L&amp;C&amp;R</even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E1F5AB-58D3-38D5-A114-1A13E3F3411F}">
  <sheetPr>
    <tabColor rgb="FF92D050"/>
    <outlinePr summaryBelow="0" summaryRight="0"/>
  </sheetPr>
  <dimension ref="A2:Z82"/>
  <sheetViews>
    <sheetView showGridLines="0" defaultGridColor="0" colorId="8" zoomScale="80" workbookViewId="0">
      <pane xSplit="3" ySplit="10" topLeftCell="D11" activePane="bottomRight" state="frozen"/>
      <selection activeCell="D78" sqref="D78"/>
      <selection pane="topRight" activeCell="D78" sqref="D78"/>
      <selection pane="bottomLeft" activeCell="D78" sqref="D78"/>
      <selection pane="bottomRight" activeCell="D78" sqref="D78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3" t="s">
        <v>276</v>
      </c>
    </row>
    <row r="3" spans="1:26" ht="15" customHeight="1" x14ac:dyDescent="0.3">
      <c r="D3" s="53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3" t="str">
        <f>CONCATENATE("Period ",RIGHT(202212,2),", ",2022)</f>
        <v>Period 12,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5"/>
      <c r="D5" s="60">
        <v>44742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5"/>
      <c r="B6" s="47"/>
      <c r="C6" s="47"/>
      <c r="D6" s="25" t="str">
        <f>CONCATENATE("Department ","202"," - ","Accounting")</f>
        <v>Department 202 - Accounting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4"/>
    </row>
    <row r="8" spans="1:26" ht="15" customHeight="1" x14ac:dyDescent="0.3">
      <c r="B8" s="54"/>
    </row>
    <row r="9" spans="1:26" ht="15" customHeight="1" x14ac:dyDescent="0.3">
      <c r="B9" s="12"/>
      <c r="C9" s="12"/>
      <c r="D9" s="16" t="s">
        <v>279</v>
      </c>
      <c r="E9" s="16"/>
      <c r="F9" s="37"/>
      <c r="G9" s="16"/>
      <c r="H9" s="16"/>
      <c r="I9" s="16"/>
      <c r="J9" s="46"/>
      <c r="K9" s="16"/>
      <c r="L9" s="16"/>
      <c r="M9" s="16"/>
      <c r="N9" s="37"/>
      <c r="P9" s="16" t="s">
        <v>280</v>
      </c>
      <c r="Q9" s="16"/>
      <c r="R9" s="37"/>
      <c r="S9" s="16"/>
      <c r="T9" s="16"/>
      <c r="U9" s="16"/>
      <c r="V9" s="46"/>
      <c r="W9" s="16"/>
      <c r="X9" s="16"/>
      <c r="Y9" s="16"/>
      <c r="Z9" s="37"/>
    </row>
    <row r="10" spans="1:26" ht="15" customHeight="1" x14ac:dyDescent="0.3">
      <c r="A10" s="13"/>
      <c r="B10" s="52"/>
      <c r="C10" s="13"/>
      <c r="D10" s="40" t="s">
        <v>281</v>
      </c>
      <c r="E10" s="32"/>
      <c r="F10" s="39" t="s">
        <v>282</v>
      </c>
      <c r="G10" s="32"/>
      <c r="H10" s="45" t="s">
        <v>283</v>
      </c>
      <c r="I10" s="32"/>
      <c r="J10" s="42" t="s">
        <v>284</v>
      </c>
      <c r="K10" s="13"/>
      <c r="L10" s="40" t="s">
        <v>285</v>
      </c>
      <c r="M10" s="13"/>
      <c r="N10" s="39" t="s">
        <v>286</v>
      </c>
      <c r="O10" s="13"/>
      <c r="P10" s="55" t="s">
        <v>281</v>
      </c>
      <c r="Q10" s="32"/>
      <c r="R10" s="39" t="s">
        <v>282</v>
      </c>
      <c r="S10" s="32"/>
      <c r="T10" s="45" t="s">
        <v>283</v>
      </c>
      <c r="U10" s="32"/>
      <c r="V10" s="42" t="s">
        <v>284</v>
      </c>
      <c r="W10" s="13"/>
      <c r="X10" s="40" t="s">
        <v>285</v>
      </c>
      <c r="Y10" s="13"/>
      <c r="Z10" s="39" t="s">
        <v>286</v>
      </c>
    </row>
    <row r="11" spans="1:26" ht="16.5" customHeight="1" x14ac:dyDescent="0.3">
      <c r="A11" s="12"/>
      <c r="B11" s="58"/>
      <c r="C11" s="12"/>
      <c r="D11" s="12"/>
      <c r="E11" s="12"/>
      <c r="F11" s="10"/>
      <c r="G11" s="12"/>
      <c r="H11" s="12"/>
      <c r="I11" s="12"/>
      <c r="J11" s="43"/>
      <c r="K11" s="12"/>
      <c r="L11" s="12"/>
      <c r="M11" s="12"/>
      <c r="N11" s="10"/>
      <c r="P11" s="12"/>
      <c r="Q11" s="12"/>
      <c r="R11" s="10"/>
      <c r="S11" s="12"/>
      <c r="T11" s="12"/>
      <c r="U11" s="12"/>
      <c r="V11" s="43"/>
      <c r="W11" s="12"/>
      <c r="X11" s="12"/>
      <c r="Y11" s="12"/>
      <c r="Z11" s="10"/>
    </row>
    <row r="12" spans="1:26" s="63" customFormat="1" ht="15" customHeight="1" x14ac:dyDescent="0.3">
      <c r="A12" s="13"/>
      <c r="B12" s="28" t="s">
        <v>287</v>
      </c>
      <c r="C12" s="13"/>
      <c r="D12" s="8">
        <f>SUM(0)</f>
        <v>0</v>
      </c>
      <c r="E12" s="8"/>
      <c r="F12" s="14"/>
      <c r="G12" s="8"/>
      <c r="H12" s="8">
        <f>SUM(0)</f>
        <v>0</v>
      </c>
      <c r="I12" s="8"/>
      <c r="J12" s="14"/>
      <c r="K12" s="8"/>
      <c r="L12" s="8">
        <f>+D12-H12</f>
        <v>0</v>
      </c>
      <c r="M12" s="8"/>
      <c r="N12" s="14">
        <f>IF(H12=0,0,L12/H12)</f>
        <v>0</v>
      </c>
      <c r="O12" s="13"/>
      <c r="P12" s="8">
        <f>SUM(0)</f>
        <v>0</v>
      </c>
      <c r="Q12" s="8"/>
      <c r="R12" s="14"/>
      <c r="S12" s="8"/>
      <c r="T12" s="8">
        <f>SUM(0)</f>
        <v>0</v>
      </c>
      <c r="U12" s="8"/>
      <c r="V12" s="14"/>
      <c r="W12" s="8"/>
      <c r="X12" s="8">
        <f>+P12-T12</f>
        <v>0</v>
      </c>
      <c r="Y12" s="8"/>
      <c r="Z12" s="14">
        <f>IF(T12=0,0,X12/T12)</f>
        <v>0</v>
      </c>
    </row>
    <row r="13" spans="1:26" ht="15" customHeight="1" x14ac:dyDescent="0.3">
      <c r="A13" s="12"/>
      <c r="B13" s="13"/>
      <c r="C13" s="12"/>
      <c r="D13" s="4"/>
      <c r="E13" s="4"/>
      <c r="F13" s="10"/>
      <c r="G13" s="4"/>
      <c r="H13" s="4"/>
      <c r="I13" s="4"/>
      <c r="J13" s="10"/>
      <c r="K13" s="4"/>
      <c r="L13" s="4"/>
      <c r="M13" s="4"/>
      <c r="N13" s="10"/>
      <c r="P13" s="4"/>
      <c r="Q13" s="4"/>
      <c r="R13" s="10"/>
      <c r="S13" s="4"/>
      <c r="T13" s="4"/>
      <c r="U13" s="4"/>
      <c r="V13" s="10"/>
      <c r="W13" s="4"/>
      <c r="X13" s="4"/>
      <c r="Y13" s="4"/>
      <c r="Z13" s="10"/>
    </row>
    <row r="14" spans="1:26" s="63" customFormat="1" ht="15" customHeight="1" x14ac:dyDescent="0.3">
      <c r="A14" s="13"/>
      <c r="B14" s="28" t="s">
        <v>288</v>
      </c>
      <c r="C14" s="13"/>
      <c r="D14" s="8">
        <f>SUM(0)</f>
        <v>0</v>
      </c>
      <c r="E14" s="8"/>
      <c r="F14" s="14">
        <f>IF(D$12=0,0,D14/D$12)</f>
        <v>0</v>
      </c>
      <c r="G14" s="8"/>
      <c r="H14" s="8">
        <f>SUM(0)</f>
        <v>0</v>
      </c>
      <c r="I14" s="8"/>
      <c r="J14" s="14">
        <f>IF(H$12=0,0,H14/H$12)</f>
        <v>0</v>
      </c>
      <c r="K14" s="8"/>
      <c r="L14" s="8">
        <f>+D14-H14</f>
        <v>0</v>
      </c>
      <c r="M14" s="8"/>
      <c r="N14" s="14">
        <f>IF(H14=0,0,L14/H14)</f>
        <v>0</v>
      </c>
      <c r="O14" s="13"/>
      <c r="P14" s="8">
        <f>SUM(0)</f>
        <v>0</v>
      </c>
      <c r="Q14" s="8"/>
      <c r="R14" s="14">
        <f>IF(P$12=0,0,P14/P$12)</f>
        <v>0</v>
      </c>
      <c r="S14" s="8"/>
      <c r="T14" s="8">
        <f>SUM(0)</f>
        <v>0</v>
      </c>
      <c r="U14" s="8"/>
      <c r="V14" s="14">
        <f>IF(T$12=0,0,T14/T$12)</f>
        <v>0</v>
      </c>
      <c r="W14" s="8"/>
      <c r="X14" s="8">
        <f>+P14-T14</f>
        <v>0</v>
      </c>
      <c r="Y14" s="8"/>
      <c r="Z14" s="14">
        <f>IF(T14=0,0,X14/T14)</f>
        <v>0</v>
      </c>
    </row>
    <row r="15" spans="1:26" ht="15" customHeight="1" x14ac:dyDescent="0.3">
      <c r="A15" s="12"/>
      <c r="B15" s="13"/>
      <c r="C15" s="13"/>
      <c r="D15" s="4"/>
      <c r="E15" s="4"/>
      <c r="F15" s="10"/>
      <c r="G15" s="4"/>
      <c r="H15" s="4"/>
      <c r="I15" s="4"/>
      <c r="J15" s="10"/>
      <c r="K15" s="4"/>
      <c r="L15" s="4"/>
      <c r="M15" s="4"/>
      <c r="N15" s="10"/>
      <c r="O15" s="13"/>
      <c r="P15" s="4"/>
      <c r="Q15" s="4"/>
      <c r="R15" s="10"/>
      <c r="S15" s="4"/>
      <c r="T15" s="4"/>
      <c r="U15" s="4"/>
      <c r="V15" s="10"/>
      <c r="W15" s="4"/>
      <c r="X15" s="4"/>
      <c r="Y15" s="4"/>
      <c r="Z15" s="10"/>
    </row>
    <row r="16" spans="1:26" s="63" customFormat="1" ht="15" customHeight="1" x14ac:dyDescent="0.3">
      <c r="A16" s="13"/>
      <c r="B16" s="27" t="s">
        <v>289</v>
      </c>
      <c r="C16" s="27"/>
      <c r="D16" s="23">
        <f>D12-D14</f>
        <v>0</v>
      </c>
      <c r="E16" s="15"/>
      <c r="F16" s="22">
        <f>IF(D$12=0,0,D16/D$12)</f>
        <v>0</v>
      </c>
      <c r="G16" s="15"/>
      <c r="H16" s="23">
        <f>H12-H14</f>
        <v>0</v>
      </c>
      <c r="I16" s="15"/>
      <c r="J16" s="22">
        <f>IF(H$12=0,0,H16/H$12)</f>
        <v>0</v>
      </c>
      <c r="K16" s="17"/>
      <c r="L16" s="23">
        <f>+D16-H16</f>
        <v>0</v>
      </c>
      <c r="M16" s="17"/>
      <c r="N16" s="22">
        <f>IF(H16=0,0,L16/H16)</f>
        <v>0</v>
      </c>
      <c r="O16" s="28"/>
      <c r="P16" s="23">
        <f>P12-P14</f>
        <v>0</v>
      </c>
      <c r="Q16" s="15"/>
      <c r="R16" s="22">
        <f>IF(P$12=0,0,P16/P$12)</f>
        <v>0</v>
      </c>
      <c r="S16" s="15"/>
      <c r="T16" s="23">
        <f>T12-T14</f>
        <v>0</v>
      </c>
      <c r="U16" s="15"/>
      <c r="V16" s="22">
        <f>IF(T$12=0,0,T16/T$12)</f>
        <v>0</v>
      </c>
      <c r="W16" s="17"/>
      <c r="X16" s="23">
        <f>+P16-T16</f>
        <v>0</v>
      </c>
      <c r="Y16" s="17"/>
      <c r="Z16" s="22">
        <f>IF(T16=0,0,X16/T16)</f>
        <v>0</v>
      </c>
    </row>
    <row r="17" spans="1:26" ht="15" customHeight="1" x14ac:dyDescent="0.3">
      <c r="A17" s="12"/>
      <c r="B17" s="13"/>
      <c r="C17" s="12"/>
      <c r="D17" s="2"/>
      <c r="E17" s="2"/>
      <c r="F17" s="5"/>
      <c r="G17" s="2"/>
      <c r="H17" s="2"/>
      <c r="I17" s="2"/>
      <c r="J17" s="5"/>
      <c r="K17" s="2"/>
      <c r="L17" s="2"/>
      <c r="M17" s="2"/>
      <c r="N17" s="5"/>
      <c r="O17" s="36"/>
      <c r="P17" s="2"/>
      <c r="Q17" s="2"/>
      <c r="R17" s="5"/>
      <c r="S17" s="2"/>
      <c r="T17" s="2"/>
      <c r="U17" s="2"/>
      <c r="V17" s="5"/>
      <c r="W17" s="2"/>
      <c r="X17" s="2"/>
      <c r="Y17" s="2"/>
      <c r="Z17" s="5"/>
    </row>
    <row r="18" spans="1:26" s="63" customFormat="1" ht="15" customHeight="1" x14ac:dyDescent="0.3">
      <c r="A18" s="13"/>
      <c r="B18" s="28" t="s">
        <v>290</v>
      </c>
      <c r="C18" s="13"/>
      <c r="D18" s="24" cm="1">
        <f t="array" ref="D18">SUM(OSRRefD22x_0)</f>
        <v>41416.729999999996</v>
      </c>
      <c r="E18" s="24"/>
      <c r="F18" s="34">
        <f t="shared" ref="F18:F49" si="0">IF(D$12=0,0,D18/D$12)</f>
        <v>0</v>
      </c>
      <c r="G18" s="24"/>
      <c r="H18" s="24" cm="1">
        <f t="array" ref="H18">SUM(OSRRefH22x_0)</f>
        <v>36732.855608307676</v>
      </c>
      <c r="I18" s="24"/>
      <c r="J18" s="34">
        <f t="shared" ref="J18:J49" si="1">IF(H$12=0,0,H18/H$12)</f>
        <v>0</v>
      </c>
      <c r="K18" s="8"/>
      <c r="L18" s="24">
        <f t="shared" ref="L18:L49" si="2">+D18-H18</f>
        <v>4683.8743916923195</v>
      </c>
      <c r="M18" s="8"/>
      <c r="N18" s="34">
        <f t="shared" ref="N18:N49" si="3">IF(H18=0,0,L18/H18)</f>
        <v>0.12751185047080826</v>
      </c>
      <c r="O18" s="13"/>
      <c r="P18" s="24" cm="1">
        <f t="array" ref="P18">SUM(OSRRefP22x_0)</f>
        <v>525809.81000000017</v>
      </c>
      <c r="Q18" s="24"/>
      <c r="R18" s="34">
        <f t="shared" ref="R18:R49" si="4">IF(P$12=0,0,P18/P$12)</f>
        <v>0</v>
      </c>
      <c r="S18" s="24"/>
      <c r="T18" s="24" cm="1">
        <f t="array" ref="T18">SUM(OSRRefT22x_0)</f>
        <v>510088.22737199999</v>
      </c>
      <c r="U18" s="24"/>
      <c r="V18" s="34">
        <f t="shared" ref="V18:V49" si="5">IF(T$12=0,0,T18/T$12)</f>
        <v>0</v>
      </c>
      <c r="W18" s="8"/>
      <c r="X18" s="24">
        <f t="shared" ref="X18:X49" si="6">+P18-T18</f>
        <v>15721.582628000178</v>
      </c>
      <c r="Y18" s="8"/>
      <c r="Z18" s="34">
        <f t="shared" ref="Z18:Z49" si="7">IF(T18=0,0,X18/T18)</f>
        <v>3.0821300677725021E-2</v>
      </c>
    </row>
    <row r="19" spans="1:26" s="69" customFormat="1" ht="15" customHeight="1" outlineLevel="1" collapsed="1" x14ac:dyDescent="0.3">
      <c r="A19" s="20"/>
      <c r="B19" s="11" t="str">
        <f>CONCATENATE("     ","*Benefits                                         ")</f>
        <v xml:space="preserve">     *Benefits                                         </v>
      </c>
      <c r="C19" s="11"/>
      <c r="D19" s="2">
        <f>SUM(OSRRefD22_0x_0)</f>
        <v>11949.660000000002</v>
      </c>
      <c r="E19" s="2"/>
      <c r="F19" s="5">
        <f t="shared" si="0"/>
        <v>0</v>
      </c>
      <c r="G19" s="2"/>
      <c r="H19" s="2">
        <f>SUM(OSRRefH22_0x_0)</f>
        <v>12946.280223692311</v>
      </c>
      <c r="I19" s="2"/>
      <c r="J19" s="5">
        <f t="shared" si="1"/>
        <v>0</v>
      </c>
      <c r="K19" s="2"/>
      <c r="L19" s="2">
        <f t="shared" si="2"/>
        <v>-996.62022369230908</v>
      </c>
      <c r="M19" s="2"/>
      <c r="N19" s="5">
        <f t="shared" si="3"/>
        <v>-7.6981202822139327E-2</v>
      </c>
      <c r="O19" s="11"/>
      <c r="P19" s="2">
        <f>SUM(OSRRefP22_0x_0)</f>
        <v>164072.99000000002</v>
      </c>
      <c r="Q19" s="2"/>
      <c r="R19" s="5">
        <f t="shared" si="4"/>
        <v>0</v>
      </c>
      <c r="S19" s="2"/>
      <c r="T19" s="2">
        <f>SUM(OSRRefT22_0x_0)</f>
        <v>159155.947372</v>
      </c>
      <c r="U19" s="2"/>
      <c r="V19" s="5">
        <f t="shared" si="5"/>
        <v>0</v>
      </c>
      <c r="W19" s="2"/>
      <c r="X19" s="2">
        <f t="shared" si="6"/>
        <v>4917.0426280000247</v>
      </c>
      <c r="Y19" s="2"/>
      <c r="Z19" s="5">
        <f t="shared" si="7"/>
        <v>3.0894495048351997E-2</v>
      </c>
    </row>
    <row r="20" spans="1:26" s="70" customFormat="1" ht="15" hidden="1" customHeight="1" outlineLevel="2" x14ac:dyDescent="0.3">
      <c r="A20" s="21"/>
      <c r="B20" s="9" t="str">
        <f>CONCATENATE("          ","6111"," - ","F.I.C.A.")</f>
        <v xml:space="preserve">          6111 - F.I.C.A.</v>
      </c>
      <c r="C20" s="9"/>
      <c r="D20" s="6">
        <v>1689.35</v>
      </c>
      <c r="E20" s="3"/>
      <c r="F20" s="7">
        <f t="shared" si="0"/>
        <v>0</v>
      </c>
      <c r="G20" s="3"/>
      <c r="H20" s="6">
        <v>1857.2041375384599</v>
      </c>
      <c r="I20" s="3"/>
      <c r="J20" s="7">
        <f t="shared" si="1"/>
        <v>0</v>
      </c>
      <c r="K20" s="3"/>
      <c r="L20" s="6">
        <f t="shared" si="2"/>
        <v>-167.85413753846001</v>
      </c>
      <c r="M20" s="3"/>
      <c r="N20" s="7">
        <f t="shared" si="3"/>
        <v>-9.0380014854443538E-2</v>
      </c>
      <c r="O20" s="9"/>
      <c r="P20" s="6">
        <v>21751.43</v>
      </c>
      <c r="Q20" s="3"/>
      <c r="R20" s="7">
        <f t="shared" si="4"/>
        <v>0</v>
      </c>
      <c r="S20" s="3"/>
      <c r="T20" s="6">
        <v>22034.242092</v>
      </c>
      <c r="U20" s="3"/>
      <c r="V20" s="7">
        <f t="shared" si="5"/>
        <v>0</v>
      </c>
      <c r="W20" s="3"/>
      <c r="X20" s="6">
        <f t="shared" si="6"/>
        <v>-282.81209200000012</v>
      </c>
      <c r="Y20" s="3"/>
      <c r="Z20" s="7">
        <f t="shared" si="7"/>
        <v>-1.2835117759856195E-2</v>
      </c>
    </row>
    <row r="21" spans="1:26" s="70" customFormat="1" ht="15" hidden="1" customHeight="1" outlineLevel="2" x14ac:dyDescent="0.3">
      <c r="A21" s="21"/>
      <c r="B21" s="9" t="str">
        <f>CONCATENATE("          ","6112"," - ","COMPENSATION INSURANCE")</f>
        <v xml:space="preserve">          6112 - COMPENSATION INSURANCE</v>
      </c>
      <c r="C21" s="9"/>
      <c r="D21" s="6">
        <v>-607.01</v>
      </c>
      <c r="E21" s="3"/>
      <c r="F21" s="7">
        <f t="shared" si="0"/>
        <v>0</v>
      </c>
      <c r="G21" s="3"/>
      <c r="H21" s="6">
        <v>75.229750769230805</v>
      </c>
      <c r="I21" s="3"/>
      <c r="J21" s="7">
        <f t="shared" si="1"/>
        <v>0</v>
      </c>
      <c r="K21" s="3"/>
      <c r="L21" s="6">
        <f t="shared" si="2"/>
        <v>-682.2397507692308</v>
      </c>
      <c r="M21" s="3"/>
      <c r="N21" s="7">
        <f t="shared" si="3"/>
        <v>-9.0687493151747738</v>
      </c>
      <c r="O21" s="9"/>
      <c r="P21" s="6">
        <v>2830.23</v>
      </c>
      <c r="Q21" s="3"/>
      <c r="R21" s="7">
        <f t="shared" si="4"/>
        <v>0</v>
      </c>
      <c r="S21" s="3"/>
      <c r="T21" s="6">
        <v>959.20324000000005</v>
      </c>
      <c r="U21" s="3"/>
      <c r="V21" s="7">
        <f t="shared" si="5"/>
        <v>0</v>
      </c>
      <c r="W21" s="3"/>
      <c r="X21" s="6">
        <f t="shared" si="6"/>
        <v>1871.02676</v>
      </c>
      <c r="Y21" s="3"/>
      <c r="Z21" s="7">
        <f t="shared" si="7"/>
        <v>1.9506051293154514</v>
      </c>
    </row>
    <row r="22" spans="1:26" s="70" customFormat="1" ht="15" hidden="1" customHeight="1" outlineLevel="2" x14ac:dyDescent="0.3">
      <c r="A22" s="21"/>
      <c r="B22" s="9" t="str">
        <f>CONCATENATE("          ","6113"," - ","GROUP INSURANCE")</f>
        <v xml:space="preserve">          6113 - GROUP INSURANCE</v>
      </c>
      <c r="C22" s="9"/>
      <c r="D22" s="6">
        <v>5721.83</v>
      </c>
      <c r="E22" s="3"/>
      <c r="F22" s="7">
        <f t="shared" si="0"/>
        <v>0</v>
      </c>
      <c r="G22" s="3"/>
      <c r="H22" s="6">
        <v>6123</v>
      </c>
      <c r="I22" s="3"/>
      <c r="J22" s="7">
        <f t="shared" si="1"/>
        <v>0</v>
      </c>
      <c r="K22" s="3"/>
      <c r="L22" s="6">
        <f t="shared" si="2"/>
        <v>-401.17000000000007</v>
      </c>
      <c r="M22" s="3"/>
      <c r="N22" s="7">
        <f t="shared" si="3"/>
        <v>-6.5518536665033489E-2</v>
      </c>
      <c r="O22" s="9"/>
      <c r="P22" s="6">
        <v>71705.94</v>
      </c>
      <c r="Q22" s="3"/>
      <c r="R22" s="7">
        <f t="shared" si="4"/>
        <v>0</v>
      </c>
      <c r="S22" s="3"/>
      <c r="T22" s="6">
        <v>73476</v>
      </c>
      <c r="U22" s="3"/>
      <c r="V22" s="7">
        <f t="shared" si="5"/>
        <v>0</v>
      </c>
      <c r="W22" s="3"/>
      <c r="X22" s="6">
        <f t="shared" si="6"/>
        <v>-1770.0599999999977</v>
      </c>
      <c r="Y22" s="3"/>
      <c r="Z22" s="7">
        <f t="shared" si="7"/>
        <v>-2.4090315204964855E-2</v>
      </c>
    </row>
    <row r="23" spans="1:26" s="70" customFormat="1" ht="15" hidden="1" customHeight="1" outlineLevel="2" x14ac:dyDescent="0.3">
      <c r="A23" s="21"/>
      <c r="B23" s="9" t="str">
        <f>CONCATENATE("          ","6114"," - ","STATE UNEMPLOYMENT INSURANCE")</f>
        <v xml:space="preserve">          6114 - STATE UNEMPLOYMENT INSURANCE</v>
      </c>
      <c r="C23" s="9"/>
      <c r="D23" s="6"/>
      <c r="E23" s="3"/>
      <c r="F23" s="7">
        <f t="shared" si="0"/>
        <v>0</v>
      </c>
      <c r="G23" s="3"/>
      <c r="H23" s="6">
        <v>50.962089230769202</v>
      </c>
      <c r="I23" s="3"/>
      <c r="J23" s="7">
        <f t="shared" si="1"/>
        <v>0</v>
      </c>
      <c r="K23" s="3"/>
      <c r="L23" s="6">
        <f t="shared" si="2"/>
        <v>-50.962089230769202</v>
      </c>
      <c r="M23" s="3"/>
      <c r="N23" s="7">
        <f t="shared" si="3"/>
        <v>-1</v>
      </c>
      <c r="O23" s="9"/>
      <c r="P23" s="6">
        <v>692.78</v>
      </c>
      <c r="Q23" s="3"/>
      <c r="R23" s="7">
        <f t="shared" si="4"/>
        <v>0</v>
      </c>
      <c r="S23" s="3"/>
      <c r="T23" s="6">
        <v>649.78283999999996</v>
      </c>
      <c r="U23" s="3"/>
      <c r="V23" s="7">
        <f t="shared" si="5"/>
        <v>0</v>
      </c>
      <c r="W23" s="3"/>
      <c r="X23" s="6">
        <f t="shared" si="6"/>
        <v>42.997160000000008</v>
      </c>
      <c r="Y23" s="3"/>
      <c r="Z23" s="7">
        <f t="shared" si="7"/>
        <v>6.6171584340392872E-2</v>
      </c>
    </row>
    <row r="24" spans="1:26" s="70" customFormat="1" ht="15" hidden="1" customHeight="1" outlineLevel="2" x14ac:dyDescent="0.3">
      <c r="A24" s="21"/>
      <c r="B24" s="9" t="str">
        <f>CONCATENATE("          ","6115"," - ","P.E.R.S.")</f>
        <v xml:space="preserve">          6115 - P.E.R.S.</v>
      </c>
      <c r="C24" s="9"/>
      <c r="D24" s="6">
        <v>1845.71</v>
      </c>
      <c r="E24" s="3"/>
      <c r="F24" s="7">
        <f t="shared" si="0"/>
        <v>0</v>
      </c>
      <c r="G24" s="3"/>
      <c r="H24" s="6">
        <v>1880.89409230769</v>
      </c>
      <c r="I24" s="3"/>
      <c r="J24" s="7">
        <f t="shared" si="1"/>
        <v>0</v>
      </c>
      <c r="K24" s="3"/>
      <c r="L24" s="6">
        <f t="shared" si="2"/>
        <v>-35.18409230768998</v>
      </c>
      <c r="M24" s="3"/>
      <c r="N24" s="7">
        <f t="shared" si="3"/>
        <v>-1.8706046476291614E-2</v>
      </c>
      <c r="O24" s="9"/>
      <c r="P24" s="6">
        <v>25410.94</v>
      </c>
      <c r="Q24" s="3"/>
      <c r="R24" s="7">
        <f t="shared" si="4"/>
        <v>0</v>
      </c>
      <c r="S24" s="3"/>
      <c r="T24" s="6">
        <v>24451.623200000002</v>
      </c>
      <c r="U24" s="3"/>
      <c r="V24" s="7">
        <f t="shared" si="5"/>
        <v>0</v>
      </c>
      <c r="W24" s="3"/>
      <c r="X24" s="6">
        <f t="shared" si="6"/>
        <v>959.31679999999687</v>
      </c>
      <c r="Y24" s="3"/>
      <c r="Z24" s="7">
        <f t="shared" si="7"/>
        <v>3.9233256301773732E-2</v>
      </c>
    </row>
    <row r="25" spans="1:26" s="70" customFormat="1" ht="15" hidden="1" customHeight="1" outlineLevel="2" x14ac:dyDescent="0.3">
      <c r="A25" s="21"/>
      <c r="B25" s="9" t="str">
        <f>CONCATENATE("          ","6116"," - ","EDUCATIONAL BENEFITS")</f>
        <v xml:space="preserve">          6116 - EDUCATIONAL BENEFITS</v>
      </c>
      <c r="C25" s="9"/>
      <c r="D25" s="6"/>
      <c r="E25" s="3"/>
      <c r="F25" s="7">
        <f t="shared" si="0"/>
        <v>0</v>
      </c>
      <c r="G25" s="3"/>
      <c r="H25" s="6">
        <v>0</v>
      </c>
      <c r="I25" s="3"/>
      <c r="J25" s="7">
        <f t="shared" si="1"/>
        <v>0</v>
      </c>
      <c r="K25" s="3"/>
      <c r="L25" s="6">
        <f t="shared" si="2"/>
        <v>0</v>
      </c>
      <c r="M25" s="3"/>
      <c r="N25" s="7">
        <f t="shared" si="3"/>
        <v>0</v>
      </c>
      <c r="O25" s="9"/>
      <c r="P25" s="6"/>
      <c r="Q25" s="3"/>
      <c r="R25" s="7">
        <f t="shared" si="4"/>
        <v>0</v>
      </c>
      <c r="S25" s="3"/>
      <c r="T25" s="6">
        <v>0</v>
      </c>
      <c r="U25" s="3"/>
      <c r="V25" s="7">
        <f t="shared" si="5"/>
        <v>0</v>
      </c>
      <c r="W25" s="3"/>
      <c r="X25" s="6">
        <f t="shared" si="6"/>
        <v>0</v>
      </c>
      <c r="Y25" s="3"/>
      <c r="Z25" s="7">
        <f t="shared" si="7"/>
        <v>0</v>
      </c>
    </row>
    <row r="26" spans="1:26" s="70" customFormat="1" ht="15" hidden="1" customHeight="1" outlineLevel="2" x14ac:dyDescent="0.3">
      <c r="A26" s="21"/>
      <c r="B26" s="9" t="str">
        <f>CONCATENATE("          ","6118"," - ","VACATION")</f>
        <v xml:space="preserve">          6118 - VACATION</v>
      </c>
      <c r="C26" s="9"/>
      <c r="D26" s="6">
        <v>1710.58</v>
      </c>
      <c r="E26" s="3"/>
      <c r="F26" s="7">
        <f t="shared" si="0"/>
        <v>0</v>
      </c>
      <c r="G26" s="3"/>
      <c r="H26" s="6">
        <v>1093.54307692308</v>
      </c>
      <c r="I26" s="3"/>
      <c r="J26" s="7">
        <f t="shared" si="1"/>
        <v>0</v>
      </c>
      <c r="K26" s="3"/>
      <c r="L26" s="6">
        <f t="shared" si="2"/>
        <v>617.03692307691995</v>
      </c>
      <c r="M26" s="3"/>
      <c r="N26" s="7">
        <f t="shared" si="3"/>
        <v>0.56425479352225139</v>
      </c>
      <c r="O26" s="9"/>
      <c r="P26" s="6">
        <v>19617.18</v>
      </c>
      <c r="Q26" s="3"/>
      <c r="R26" s="7">
        <f t="shared" si="4"/>
        <v>0</v>
      </c>
      <c r="S26" s="3"/>
      <c r="T26" s="6">
        <v>14216.06</v>
      </c>
      <c r="U26" s="3"/>
      <c r="V26" s="7">
        <f t="shared" si="5"/>
        <v>0</v>
      </c>
      <c r="W26" s="3"/>
      <c r="X26" s="6">
        <f t="shared" si="6"/>
        <v>5401.1200000000008</v>
      </c>
      <c r="Y26" s="3"/>
      <c r="Z26" s="7">
        <f t="shared" si="7"/>
        <v>0.37993086692093314</v>
      </c>
    </row>
    <row r="27" spans="1:26" s="70" customFormat="1" ht="15" hidden="1" customHeight="1" outlineLevel="2" x14ac:dyDescent="0.3">
      <c r="A27" s="21"/>
      <c r="B27" s="9" t="str">
        <f>CONCATENATE("          ","6119"," - ","SICK LEAVE")</f>
        <v xml:space="preserve">          6119 - SICK LEAVE</v>
      </c>
      <c r="C27" s="9"/>
      <c r="D27" s="6">
        <v>1018.58</v>
      </c>
      <c r="E27" s="3"/>
      <c r="F27" s="7">
        <f t="shared" si="0"/>
        <v>0</v>
      </c>
      <c r="G27" s="3"/>
      <c r="H27" s="6">
        <v>1165.44707692308</v>
      </c>
      <c r="I27" s="3"/>
      <c r="J27" s="7">
        <f t="shared" si="1"/>
        <v>0</v>
      </c>
      <c r="K27" s="3"/>
      <c r="L27" s="6">
        <f t="shared" si="2"/>
        <v>-146.86707692307994</v>
      </c>
      <c r="M27" s="3"/>
      <c r="N27" s="7">
        <f t="shared" si="3"/>
        <v>-0.12601780023407552</v>
      </c>
      <c r="O27" s="9"/>
      <c r="P27" s="6">
        <v>15509.73</v>
      </c>
      <c r="Q27" s="3"/>
      <c r="R27" s="7">
        <f t="shared" si="4"/>
        <v>0</v>
      </c>
      <c r="S27" s="3"/>
      <c r="T27" s="6">
        <v>14969.036</v>
      </c>
      <c r="U27" s="3"/>
      <c r="V27" s="7">
        <f t="shared" si="5"/>
        <v>0</v>
      </c>
      <c r="W27" s="3"/>
      <c r="X27" s="6">
        <f t="shared" si="6"/>
        <v>540.69399999999951</v>
      </c>
      <c r="Y27" s="3"/>
      <c r="Z27" s="7">
        <f t="shared" si="7"/>
        <v>3.6120829691370877E-2</v>
      </c>
    </row>
    <row r="28" spans="1:26" s="70" customFormat="1" ht="15" hidden="1" customHeight="1" outlineLevel="2" x14ac:dyDescent="0.3">
      <c r="A28" s="21"/>
      <c r="B28" s="9" t="str">
        <f>CONCATENATE("          ","6156"," - ","EMPLOYEE MEALS")</f>
        <v xml:space="preserve">          6156 - EMPLOYEE MEALS</v>
      </c>
      <c r="C28" s="9"/>
      <c r="D28" s="6">
        <v>570.62</v>
      </c>
      <c r="E28" s="3"/>
      <c r="F28" s="7">
        <f t="shared" si="0"/>
        <v>0</v>
      </c>
      <c r="G28" s="3"/>
      <c r="H28" s="6">
        <v>700</v>
      </c>
      <c r="I28" s="3"/>
      <c r="J28" s="7">
        <f t="shared" si="1"/>
        <v>0</v>
      </c>
      <c r="K28" s="3"/>
      <c r="L28" s="6">
        <f t="shared" si="2"/>
        <v>-129.38</v>
      </c>
      <c r="M28" s="3"/>
      <c r="N28" s="7">
        <f t="shared" si="3"/>
        <v>-0.18482857142857143</v>
      </c>
      <c r="O28" s="9"/>
      <c r="P28" s="6">
        <v>6554.76</v>
      </c>
      <c r="Q28" s="3"/>
      <c r="R28" s="7">
        <f t="shared" si="4"/>
        <v>0</v>
      </c>
      <c r="S28" s="3"/>
      <c r="T28" s="6">
        <v>8400</v>
      </c>
      <c r="U28" s="3"/>
      <c r="V28" s="7">
        <f t="shared" si="5"/>
        <v>0</v>
      </c>
      <c r="W28" s="3"/>
      <c r="X28" s="6">
        <f t="shared" si="6"/>
        <v>-1845.2399999999998</v>
      </c>
      <c r="Y28" s="3"/>
      <c r="Z28" s="7">
        <f t="shared" si="7"/>
        <v>-0.21967142857142855</v>
      </c>
    </row>
    <row r="29" spans="1:26" s="69" customFormat="1" ht="15" customHeight="1" outlineLevel="1" collapsed="1" x14ac:dyDescent="0.3">
      <c r="A29" s="20"/>
      <c r="B29" s="11" t="str">
        <f>CONCATENATE("     ","*Payroll                                          ")</f>
        <v xml:space="preserve">     *Payroll                                          </v>
      </c>
      <c r="C29" s="11"/>
      <c r="D29" s="2">
        <f>SUM(OSRRefD22_1x_0)</f>
        <v>19685.36</v>
      </c>
      <c r="E29" s="2"/>
      <c r="F29" s="5">
        <f t="shared" si="0"/>
        <v>0</v>
      </c>
      <c r="G29" s="2"/>
      <c r="H29" s="2">
        <f>SUM(OSRRefH22_1x_0)</f>
        <v>22080.57538461536</v>
      </c>
      <c r="I29" s="2"/>
      <c r="J29" s="5">
        <f t="shared" si="1"/>
        <v>0</v>
      </c>
      <c r="K29" s="2"/>
      <c r="L29" s="2">
        <f t="shared" si="2"/>
        <v>-2395.2153846153597</v>
      </c>
      <c r="M29" s="2"/>
      <c r="N29" s="5">
        <f t="shared" si="3"/>
        <v>-0.10847613084775978</v>
      </c>
      <c r="O29" s="11"/>
      <c r="P29" s="2">
        <f>SUM(OSRRefP22_1x_0)</f>
        <v>273680.5</v>
      </c>
      <c r="Q29" s="2"/>
      <c r="R29" s="5">
        <f t="shared" si="4"/>
        <v>0</v>
      </c>
      <c r="S29" s="2"/>
      <c r="T29" s="2">
        <f>SUM(OSRRefT22_1x_0)</f>
        <v>280988.28000000003</v>
      </c>
      <c r="U29" s="2"/>
      <c r="V29" s="5">
        <f t="shared" si="5"/>
        <v>0</v>
      </c>
      <c r="W29" s="2"/>
      <c r="X29" s="2">
        <f t="shared" si="6"/>
        <v>-7307.7800000000279</v>
      </c>
      <c r="Y29" s="2"/>
      <c r="Z29" s="5">
        <f t="shared" si="7"/>
        <v>-2.6007419241827548E-2</v>
      </c>
    </row>
    <row r="30" spans="1:26" s="70" customFormat="1" ht="15" hidden="1" customHeight="1" outlineLevel="2" x14ac:dyDescent="0.3">
      <c r="A30" s="21"/>
      <c r="B30" s="9" t="str">
        <f>CONCATENATE("          ","6001"," - ","ADMINISTRATIVE SALARIES")</f>
        <v xml:space="preserve">          6001 - ADMINISTRATIVE SALARIES</v>
      </c>
      <c r="C30" s="9"/>
      <c r="D30" s="6"/>
      <c r="E30" s="3"/>
      <c r="F30" s="7">
        <f t="shared" si="0"/>
        <v>0</v>
      </c>
      <c r="G30" s="3"/>
      <c r="H30" s="6">
        <v>5581.9661538461596</v>
      </c>
      <c r="I30" s="3"/>
      <c r="J30" s="7">
        <f t="shared" si="1"/>
        <v>0</v>
      </c>
      <c r="K30" s="3"/>
      <c r="L30" s="6">
        <f t="shared" si="2"/>
        <v>-5581.9661538461596</v>
      </c>
      <c r="M30" s="3"/>
      <c r="N30" s="7">
        <f t="shared" si="3"/>
        <v>-1</v>
      </c>
      <c r="O30" s="9"/>
      <c r="P30" s="6"/>
      <c r="Q30" s="3"/>
      <c r="R30" s="7">
        <f t="shared" si="4"/>
        <v>0</v>
      </c>
      <c r="S30" s="3"/>
      <c r="T30" s="6">
        <v>72565.56</v>
      </c>
      <c r="U30" s="3"/>
      <c r="V30" s="7">
        <f t="shared" si="5"/>
        <v>0</v>
      </c>
      <c r="W30" s="3"/>
      <c r="X30" s="6">
        <f t="shared" si="6"/>
        <v>-72565.56</v>
      </c>
      <c r="Y30" s="3"/>
      <c r="Z30" s="7">
        <f t="shared" si="7"/>
        <v>-1</v>
      </c>
    </row>
    <row r="31" spans="1:26" s="70" customFormat="1" ht="15" hidden="1" customHeight="1" outlineLevel="2" x14ac:dyDescent="0.3">
      <c r="A31" s="21"/>
      <c r="B31" s="9" t="str">
        <f>CONCATENATE("          ","6002"," - ","STAFF SALARIES")</f>
        <v xml:space="preserve">          6002 - STAFF SALARIES</v>
      </c>
      <c r="C31" s="9"/>
      <c r="D31" s="6">
        <v>19685.36</v>
      </c>
      <c r="E31" s="3"/>
      <c r="F31" s="7">
        <f t="shared" si="0"/>
        <v>0</v>
      </c>
      <c r="G31" s="3"/>
      <c r="H31" s="6">
        <v>14101.8092307692</v>
      </c>
      <c r="I31" s="3"/>
      <c r="J31" s="7">
        <f t="shared" si="1"/>
        <v>0</v>
      </c>
      <c r="K31" s="3"/>
      <c r="L31" s="6">
        <f t="shared" si="2"/>
        <v>5583.5507692308001</v>
      </c>
      <c r="M31" s="3"/>
      <c r="N31" s="7">
        <f t="shared" si="3"/>
        <v>0.39594570298454096</v>
      </c>
      <c r="O31" s="9"/>
      <c r="P31" s="6">
        <v>269227.53999999998</v>
      </c>
      <c r="Q31" s="3"/>
      <c r="R31" s="7">
        <f t="shared" si="4"/>
        <v>0</v>
      </c>
      <c r="S31" s="3"/>
      <c r="T31" s="6">
        <v>183323.51999999999</v>
      </c>
      <c r="U31" s="3"/>
      <c r="V31" s="7">
        <f t="shared" si="5"/>
        <v>0</v>
      </c>
      <c r="W31" s="3"/>
      <c r="X31" s="6">
        <f t="shared" si="6"/>
        <v>85904.01999999999</v>
      </c>
      <c r="Y31" s="3"/>
      <c r="Z31" s="7">
        <f t="shared" si="7"/>
        <v>0.46859246429481605</v>
      </c>
    </row>
    <row r="32" spans="1:26" s="70" customFormat="1" ht="15" hidden="1" customHeight="1" outlineLevel="2" x14ac:dyDescent="0.3">
      <c r="A32" s="21"/>
      <c r="B32" s="9" t="str">
        <f>CONCATENATE("          ","6003"," - ","STAFF HOURLY-9 MONTH")</f>
        <v xml:space="preserve">          6003 - STAFF HOURLY-9 MONTH</v>
      </c>
      <c r="C32" s="9"/>
      <c r="D32" s="6"/>
      <c r="E32" s="3"/>
      <c r="F32" s="7">
        <f t="shared" si="0"/>
        <v>0</v>
      </c>
      <c r="G32" s="3"/>
      <c r="H32" s="6">
        <v>0</v>
      </c>
      <c r="I32" s="3"/>
      <c r="J32" s="7">
        <f t="shared" si="1"/>
        <v>0</v>
      </c>
      <c r="K32" s="3"/>
      <c r="L32" s="6">
        <f t="shared" si="2"/>
        <v>0</v>
      </c>
      <c r="M32" s="3"/>
      <c r="N32" s="7">
        <f t="shared" si="3"/>
        <v>0</v>
      </c>
      <c r="O32" s="9"/>
      <c r="P32" s="6"/>
      <c r="Q32" s="3"/>
      <c r="R32" s="7">
        <f t="shared" si="4"/>
        <v>0</v>
      </c>
      <c r="S32" s="3"/>
      <c r="T32" s="6">
        <v>0</v>
      </c>
      <c r="U32" s="3"/>
      <c r="V32" s="7">
        <f t="shared" si="5"/>
        <v>0</v>
      </c>
      <c r="W32" s="3"/>
      <c r="X32" s="6">
        <f t="shared" si="6"/>
        <v>0</v>
      </c>
      <c r="Y32" s="3"/>
      <c r="Z32" s="7">
        <f t="shared" si="7"/>
        <v>0</v>
      </c>
    </row>
    <row r="33" spans="1:26" s="70" customFormat="1" ht="15" hidden="1" customHeight="1" outlineLevel="2" x14ac:dyDescent="0.3">
      <c r="A33" s="21"/>
      <c r="B33" s="9" t="str">
        <f>CONCATENATE("          ","6004"," - ","STAFF HOURLY")</f>
        <v xml:space="preserve">          6004 - STAFF HOURLY</v>
      </c>
      <c r="C33" s="9"/>
      <c r="D33" s="6"/>
      <c r="E33" s="3"/>
      <c r="F33" s="7">
        <f t="shared" si="0"/>
        <v>0</v>
      </c>
      <c r="G33" s="3"/>
      <c r="H33" s="6">
        <v>0</v>
      </c>
      <c r="I33" s="3"/>
      <c r="J33" s="7">
        <f t="shared" si="1"/>
        <v>0</v>
      </c>
      <c r="K33" s="3"/>
      <c r="L33" s="6">
        <f t="shared" si="2"/>
        <v>0</v>
      </c>
      <c r="M33" s="3"/>
      <c r="N33" s="7">
        <f t="shared" si="3"/>
        <v>0</v>
      </c>
      <c r="O33" s="9"/>
      <c r="P33" s="6"/>
      <c r="Q33" s="3"/>
      <c r="R33" s="7">
        <f t="shared" si="4"/>
        <v>0</v>
      </c>
      <c r="S33" s="3"/>
      <c r="T33" s="6">
        <v>0</v>
      </c>
      <c r="U33" s="3"/>
      <c r="V33" s="7">
        <f t="shared" si="5"/>
        <v>0</v>
      </c>
      <c r="W33" s="3"/>
      <c r="X33" s="6">
        <f t="shared" si="6"/>
        <v>0</v>
      </c>
      <c r="Y33" s="3"/>
      <c r="Z33" s="7">
        <f t="shared" si="7"/>
        <v>0</v>
      </c>
    </row>
    <row r="34" spans="1:26" s="70" customFormat="1" ht="15" hidden="1" customHeight="1" outlineLevel="2" x14ac:dyDescent="0.3">
      <c r="A34" s="21"/>
      <c r="B34" s="9" t="str">
        <f>CONCATENATE("          ","6005"," - ","TEMPORARY WAGES-HOURLY")</f>
        <v xml:space="preserve">          6005 - TEMPORARY WAGES-HOURLY</v>
      </c>
      <c r="C34" s="9"/>
      <c r="D34" s="6"/>
      <c r="E34" s="3"/>
      <c r="F34" s="7">
        <f t="shared" si="0"/>
        <v>0</v>
      </c>
      <c r="G34" s="3"/>
      <c r="H34" s="6">
        <v>0</v>
      </c>
      <c r="I34" s="3"/>
      <c r="J34" s="7">
        <f t="shared" si="1"/>
        <v>0</v>
      </c>
      <c r="K34" s="3"/>
      <c r="L34" s="6">
        <f t="shared" si="2"/>
        <v>0</v>
      </c>
      <c r="M34" s="3"/>
      <c r="N34" s="7">
        <f t="shared" si="3"/>
        <v>0</v>
      </c>
      <c r="O34" s="9"/>
      <c r="P34" s="6"/>
      <c r="Q34" s="3"/>
      <c r="R34" s="7">
        <f t="shared" si="4"/>
        <v>0</v>
      </c>
      <c r="S34" s="3"/>
      <c r="T34" s="6">
        <v>0</v>
      </c>
      <c r="U34" s="3"/>
      <c r="V34" s="7">
        <f t="shared" si="5"/>
        <v>0</v>
      </c>
      <c r="W34" s="3"/>
      <c r="X34" s="6">
        <f t="shared" si="6"/>
        <v>0</v>
      </c>
      <c r="Y34" s="3"/>
      <c r="Z34" s="7">
        <f t="shared" si="7"/>
        <v>0</v>
      </c>
    </row>
    <row r="35" spans="1:26" s="70" customFormat="1" ht="15" hidden="1" customHeight="1" outlineLevel="2" x14ac:dyDescent="0.3">
      <c r="A35" s="21"/>
      <c r="B35" s="9" t="str">
        <f>CONCATENATE("          ","6006"," - ","TEMPORARY PART TIME")</f>
        <v xml:space="preserve">          6006 - TEMPORARY PART TIME</v>
      </c>
      <c r="C35" s="9"/>
      <c r="D35" s="6"/>
      <c r="E35" s="3"/>
      <c r="F35" s="7">
        <f t="shared" si="0"/>
        <v>0</v>
      </c>
      <c r="G35" s="3"/>
      <c r="H35" s="6">
        <v>0</v>
      </c>
      <c r="I35" s="3"/>
      <c r="J35" s="7">
        <f t="shared" si="1"/>
        <v>0</v>
      </c>
      <c r="K35" s="3"/>
      <c r="L35" s="6">
        <f t="shared" si="2"/>
        <v>0</v>
      </c>
      <c r="M35" s="3"/>
      <c r="N35" s="7">
        <f t="shared" si="3"/>
        <v>0</v>
      </c>
      <c r="O35" s="9"/>
      <c r="P35" s="6"/>
      <c r="Q35" s="3"/>
      <c r="R35" s="7">
        <f t="shared" si="4"/>
        <v>0</v>
      </c>
      <c r="S35" s="3"/>
      <c r="T35" s="6">
        <v>0</v>
      </c>
      <c r="U35" s="3"/>
      <c r="V35" s="7">
        <f t="shared" si="5"/>
        <v>0</v>
      </c>
      <c r="W35" s="3"/>
      <c r="X35" s="6">
        <f t="shared" si="6"/>
        <v>0</v>
      </c>
      <c r="Y35" s="3"/>
      <c r="Z35" s="7">
        <f t="shared" si="7"/>
        <v>0</v>
      </c>
    </row>
    <row r="36" spans="1:26" s="70" customFormat="1" ht="15" hidden="1" customHeight="1" outlineLevel="2" x14ac:dyDescent="0.3">
      <c r="A36" s="21"/>
      <c r="B36" s="9" t="str">
        <f>CONCATENATE("          ","6007"," - ","STUDENT HOURLY")</f>
        <v xml:space="preserve">          6007 - STUDENT HOURLY</v>
      </c>
      <c r="C36" s="9"/>
      <c r="D36" s="6"/>
      <c r="E36" s="3"/>
      <c r="F36" s="7">
        <f t="shared" si="0"/>
        <v>0</v>
      </c>
      <c r="G36" s="3"/>
      <c r="H36" s="6">
        <v>2396.8000000000002</v>
      </c>
      <c r="I36" s="3"/>
      <c r="J36" s="7">
        <f t="shared" si="1"/>
        <v>0</v>
      </c>
      <c r="K36" s="3"/>
      <c r="L36" s="6">
        <f t="shared" si="2"/>
        <v>-2396.8000000000002</v>
      </c>
      <c r="M36" s="3"/>
      <c r="N36" s="7">
        <f t="shared" si="3"/>
        <v>-1</v>
      </c>
      <c r="O36" s="9"/>
      <c r="P36" s="6">
        <v>4452.96</v>
      </c>
      <c r="Q36" s="3"/>
      <c r="R36" s="7">
        <f t="shared" si="4"/>
        <v>0</v>
      </c>
      <c r="S36" s="3"/>
      <c r="T36" s="6">
        <v>3595.2</v>
      </c>
      <c r="U36" s="3"/>
      <c r="V36" s="7">
        <f t="shared" si="5"/>
        <v>0</v>
      </c>
      <c r="W36" s="3"/>
      <c r="X36" s="6">
        <f t="shared" si="6"/>
        <v>857.76000000000022</v>
      </c>
      <c r="Y36" s="3"/>
      <c r="Z36" s="7">
        <f t="shared" si="7"/>
        <v>0.23858477970627512</v>
      </c>
    </row>
    <row r="37" spans="1:26" s="70" customFormat="1" ht="15" hidden="1" customHeight="1" outlineLevel="2" x14ac:dyDescent="0.3">
      <c r="A37" s="21"/>
      <c r="B37" s="9" t="str">
        <f>CONCATENATE("          ","6008"," - ","STUDENT HOURLY-FICA EXEMPT")</f>
        <v xml:space="preserve">          6008 - STUDENT HOURLY-FICA EXEMPT</v>
      </c>
      <c r="C37" s="9"/>
      <c r="D37" s="6"/>
      <c r="E37" s="3"/>
      <c r="F37" s="7">
        <f t="shared" si="0"/>
        <v>0</v>
      </c>
      <c r="G37" s="3"/>
      <c r="H37" s="6">
        <v>0</v>
      </c>
      <c r="I37" s="3"/>
      <c r="J37" s="7">
        <f t="shared" si="1"/>
        <v>0</v>
      </c>
      <c r="K37" s="3"/>
      <c r="L37" s="6">
        <f t="shared" si="2"/>
        <v>0</v>
      </c>
      <c r="M37" s="3"/>
      <c r="N37" s="7">
        <f t="shared" si="3"/>
        <v>0</v>
      </c>
      <c r="O37" s="9"/>
      <c r="P37" s="6"/>
      <c r="Q37" s="3"/>
      <c r="R37" s="7">
        <f t="shared" si="4"/>
        <v>0</v>
      </c>
      <c r="S37" s="3"/>
      <c r="T37" s="6">
        <v>21504</v>
      </c>
      <c r="U37" s="3"/>
      <c r="V37" s="7">
        <f t="shared" si="5"/>
        <v>0</v>
      </c>
      <c r="W37" s="3"/>
      <c r="X37" s="6">
        <f t="shared" si="6"/>
        <v>-21504</v>
      </c>
      <c r="Y37" s="3"/>
      <c r="Z37" s="7">
        <f t="shared" si="7"/>
        <v>-1</v>
      </c>
    </row>
    <row r="38" spans="1:26" s="70" customFormat="1" ht="15" hidden="1" customHeight="1" outlineLevel="2" x14ac:dyDescent="0.3">
      <c r="A38" s="21"/>
      <c r="B38" s="9" t="str">
        <f>CONCATENATE("          ","6009"," - ","TEMPORARY-SEASONAL")</f>
        <v xml:space="preserve">          6009 - TEMPORARY-SEASONAL</v>
      </c>
      <c r="C38" s="9"/>
      <c r="D38" s="6"/>
      <c r="E38" s="3"/>
      <c r="F38" s="7">
        <f t="shared" si="0"/>
        <v>0</v>
      </c>
      <c r="G38" s="3"/>
      <c r="H38" s="6">
        <v>0</v>
      </c>
      <c r="I38" s="3"/>
      <c r="J38" s="7">
        <f t="shared" si="1"/>
        <v>0</v>
      </c>
      <c r="K38" s="3"/>
      <c r="L38" s="6">
        <f t="shared" si="2"/>
        <v>0</v>
      </c>
      <c r="M38" s="3"/>
      <c r="N38" s="7">
        <f t="shared" si="3"/>
        <v>0</v>
      </c>
      <c r="O38" s="9"/>
      <c r="P38" s="6"/>
      <c r="Q38" s="3"/>
      <c r="R38" s="7">
        <f t="shared" si="4"/>
        <v>0</v>
      </c>
      <c r="S38" s="3"/>
      <c r="T38" s="6">
        <v>0</v>
      </c>
      <c r="U38" s="3"/>
      <c r="V38" s="7">
        <f t="shared" si="5"/>
        <v>0</v>
      </c>
      <c r="W38" s="3"/>
      <c r="X38" s="6">
        <f t="shared" si="6"/>
        <v>0</v>
      </c>
      <c r="Y38" s="3"/>
      <c r="Z38" s="7">
        <f t="shared" si="7"/>
        <v>0</v>
      </c>
    </row>
    <row r="39" spans="1:26" s="70" customFormat="1" ht="15" hidden="1" customHeight="1" outlineLevel="2" x14ac:dyDescent="0.3">
      <c r="A39" s="21"/>
      <c r="B39" s="9" t="str">
        <f>CONCATENATE("          ","6010"," - ","GRATUITY")</f>
        <v xml:space="preserve">          6010 - GRATUITY</v>
      </c>
      <c r="C39" s="9"/>
      <c r="D39" s="6"/>
      <c r="E39" s="3"/>
      <c r="F39" s="7">
        <f t="shared" si="0"/>
        <v>0</v>
      </c>
      <c r="G39" s="3"/>
      <c r="H39" s="6">
        <v>0</v>
      </c>
      <c r="I39" s="3"/>
      <c r="J39" s="7">
        <f t="shared" si="1"/>
        <v>0</v>
      </c>
      <c r="K39" s="3"/>
      <c r="L39" s="6">
        <f t="shared" si="2"/>
        <v>0</v>
      </c>
      <c r="M39" s="3"/>
      <c r="N39" s="7">
        <f t="shared" si="3"/>
        <v>0</v>
      </c>
      <c r="O39" s="9"/>
      <c r="P39" s="6"/>
      <c r="Q39" s="3"/>
      <c r="R39" s="7">
        <f t="shared" si="4"/>
        <v>0</v>
      </c>
      <c r="S39" s="3"/>
      <c r="T39" s="6">
        <v>0</v>
      </c>
      <c r="U39" s="3"/>
      <c r="V39" s="7">
        <f t="shared" si="5"/>
        <v>0</v>
      </c>
      <c r="W39" s="3"/>
      <c r="X39" s="6">
        <f t="shared" si="6"/>
        <v>0</v>
      </c>
      <c r="Y39" s="3"/>
      <c r="Z39" s="7">
        <f t="shared" si="7"/>
        <v>0</v>
      </c>
    </row>
    <row r="40" spans="1:26" s="69" customFormat="1" ht="15" customHeight="1" outlineLevel="1" collapsed="1" x14ac:dyDescent="0.3">
      <c r="A40" s="20"/>
      <c r="B40" s="11" t="str">
        <f>CONCATENATE("     ","Depreciation                                      ")</f>
        <v xml:space="preserve">     Depreciation                                      </v>
      </c>
      <c r="C40" s="11"/>
      <c r="D40" s="2">
        <f>SUM(OSRRefD22_2x_0)</f>
        <v>0</v>
      </c>
      <c r="E40" s="2"/>
      <c r="F40" s="5">
        <f t="shared" si="0"/>
        <v>0</v>
      </c>
      <c r="G40" s="2"/>
      <c r="H40" s="2">
        <f>SUM(OSRRefH22_2x_0)</f>
        <v>0</v>
      </c>
      <c r="I40" s="2"/>
      <c r="J40" s="5">
        <f t="shared" si="1"/>
        <v>0</v>
      </c>
      <c r="K40" s="2"/>
      <c r="L40" s="2">
        <f t="shared" si="2"/>
        <v>0</v>
      </c>
      <c r="M40" s="2"/>
      <c r="N40" s="5">
        <f t="shared" si="3"/>
        <v>0</v>
      </c>
      <c r="O40" s="11"/>
      <c r="P40" s="2">
        <f>SUM(OSRRefP22_2x_0)</f>
        <v>12471</v>
      </c>
      <c r="Q40" s="2"/>
      <c r="R40" s="5">
        <f t="shared" si="4"/>
        <v>0</v>
      </c>
      <c r="S40" s="2"/>
      <c r="T40" s="2">
        <f>SUM(OSRRefT22_2x_0)</f>
        <v>12472</v>
      </c>
      <c r="U40" s="2"/>
      <c r="V40" s="5">
        <f t="shared" si="5"/>
        <v>0</v>
      </c>
      <c r="W40" s="2"/>
      <c r="X40" s="2">
        <f t="shared" si="6"/>
        <v>-1</v>
      </c>
      <c r="Y40" s="2"/>
      <c r="Z40" s="5">
        <f t="shared" si="7"/>
        <v>-8.0179602309172541E-5</v>
      </c>
    </row>
    <row r="41" spans="1:26" s="70" customFormat="1" ht="15" hidden="1" customHeight="1" outlineLevel="2" x14ac:dyDescent="0.3">
      <c r="A41" s="21"/>
      <c r="B41" s="9" t="str">
        <f>CONCATENATE("          ","6322"," - ","EQUIPMENT DEPRECIATION EXPENSE")</f>
        <v xml:space="preserve">          6322 - EQUIPMENT DEPRECIATION EXPENSE</v>
      </c>
      <c r="C41" s="9"/>
      <c r="D41" s="6"/>
      <c r="E41" s="3"/>
      <c r="F41" s="7">
        <f t="shared" si="0"/>
        <v>0</v>
      </c>
      <c r="G41" s="3"/>
      <c r="H41" s="6"/>
      <c r="I41" s="3"/>
      <c r="J41" s="7">
        <f t="shared" si="1"/>
        <v>0</v>
      </c>
      <c r="K41" s="3"/>
      <c r="L41" s="6">
        <f t="shared" si="2"/>
        <v>0</v>
      </c>
      <c r="M41" s="3"/>
      <c r="N41" s="7">
        <f t="shared" si="3"/>
        <v>0</v>
      </c>
      <c r="O41" s="9"/>
      <c r="P41" s="6">
        <v>12471</v>
      </c>
      <c r="Q41" s="3"/>
      <c r="R41" s="7">
        <f t="shared" si="4"/>
        <v>0</v>
      </c>
      <c r="S41" s="3"/>
      <c r="T41" s="6">
        <v>12472</v>
      </c>
      <c r="U41" s="3"/>
      <c r="V41" s="7">
        <f t="shared" si="5"/>
        <v>0</v>
      </c>
      <c r="W41" s="3"/>
      <c r="X41" s="6">
        <f t="shared" si="6"/>
        <v>-1</v>
      </c>
      <c r="Y41" s="3"/>
      <c r="Z41" s="7">
        <f t="shared" si="7"/>
        <v>-8.0179602309172541E-5</v>
      </c>
    </row>
    <row r="42" spans="1:26" s="69" customFormat="1" ht="15" customHeight="1" outlineLevel="1" collapsed="1" x14ac:dyDescent="0.3">
      <c r="A42" s="20"/>
      <c r="B42" s="11" t="str">
        <f>CONCATENATE("     ","Employees' Appreciation                           ")</f>
        <v xml:space="preserve">     Employees' Appreciation                           </v>
      </c>
      <c r="C42" s="11"/>
      <c r="D42" s="2">
        <f>SUM(OSRRefD22_3x_0)</f>
        <v>0</v>
      </c>
      <c r="E42" s="2"/>
      <c r="F42" s="5">
        <f t="shared" si="0"/>
        <v>0</v>
      </c>
      <c r="G42" s="2"/>
      <c r="H42" s="2">
        <f>SUM(OSRRefH22_3x_0)</f>
        <v>0</v>
      </c>
      <c r="I42" s="2"/>
      <c r="J42" s="5">
        <f t="shared" si="1"/>
        <v>0</v>
      </c>
      <c r="K42" s="2"/>
      <c r="L42" s="2">
        <f t="shared" si="2"/>
        <v>0</v>
      </c>
      <c r="M42" s="2"/>
      <c r="N42" s="5">
        <f t="shared" si="3"/>
        <v>0</v>
      </c>
      <c r="O42" s="11"/>
      <c r="P42" s="2">
        <f>SUM(OSRRefP22_3x_0)</f>
        <v>8.02</v>
      </c>
      <c r="Q42" s="2"/>
      <c r="R42" s="5">
        <f t="shared" si="4"/>
        <v>0</v>
      </c>
      <c r="S42" s="2"/>
      <c r="T42" s="2">
        <f>SUM(OSRRefT22_3x_0)</f>
        <v>0</v>
      </c>
      <c r="U42" s="2"/>
      <c r="V42" s="5">
        <f t="shared" si="5"/>
        <v>0</v>
      </c>
      <c r="W42" s="2"/>
      <c r="X42" s="2">
        <f t="shared" si="6"/>
        <v>8.02</v>
      </c>
      <c r="Y42" s="2"/>
      <c r="Z42" s="5">
        <f t="shared" si="7"/>
        <v>0</v>
      </c>
    </row>
    <row r="43" spans="1:26" s="70" customFormat="1" ht="15" hidden="1" customHeight="1" outlineLevel="2" x14ac:dyDescent="0.3">
      <c r="A43" s="21"/>
      <c r="B43" s="9" t="str">
        <f>CONCATENATE("          ","6277"," - ","EMPLOYEE APPRECIATION")</f>
        <v xml:space="preserve">          6277 - EMPLOYEE APPRECIATION</v>
      </c>
      <c r="C43" s="9"/>
      <c r="D43" s="6"/>
      <c r="E43" s="3"/>
      <c r="F43" s="7">
        <f t="shared" si="0"/>
        <v>0</v>
      </c>
      <c r="G43" s="3"/>
      <c r="H43" s="6"/>
      <c r="I43" s="3"/>
      <c r="J43" s="7">
        <f t="shared" si="1"/>
        <v>0</v>
      </c>
      <c r="K43" s="3"/>
      <c r="L43" s="6">
        <f t="shared" si="2"/>
        <v>0</v>
      </c>
      <c r="M43" s="3"/>
      <c r="N43" s="7">
        <f t="shared" si="3"/>
        <v>0</v>
      </c>
      <c r="O43" s="9"/>
      <c r="P43" s="6">
        <v>8.02</v>
      </c>
      <c r="Q43" s="3"/>
      <c r="R43" s="7">
        <f t="shared" si="4"/>
        <v>0</v>
      </c>
      <c r="S43" s="3"/>
      <c r="T43" s="6"/>
      <c r="U43" s="3"/>
      <c r="V43" s="7">
        <f t="shared" si="5"/>
        <v>0</v>
      </c>
      <c r="W43" s="3"/>
      <c r="X43" s="6">
        <f t="shared" si="6"/>
        <v>8.02</v>
      </c>
      <c r="Y43" s="3"/>
      <c r="Z43" s="7">
        <f t="shared" si="7"/>
        <v>0</v>
      </c>
    </row>
    <row r="44" spans="1:26" s="69" customFormat="1" ht="15" customHeight="1" outlineLevel="1" collapsed="1" x14ac:dyDescent="0.3">
      <c r="A44" s="20"/>
      <c r="B44" s="11" t="str">
        <f>CONCATENATE("     ","Equipment Rental                                  ")</f>
        <v xml:space="preserve">     Equipment Rental                                  </v>
      </c>
      <c r="C44" s="11"/>
      <c r="D44" s="2">
        <f>SUM(OSRRefD22_4x_0)</f>
        <v>-13.34</v>
      </c>
      <c r="E44" s="2"/>
      <c r="F44" s="5">
        <f t="shared" si="0"/>
        <v>0</v>
      </c>
      <c r="G44" s="2"/>
      <c r="H44" s="2">
        <f>SUM(OSRRefH22_4x_0)</f>
        <v>91</v>
      </c>
      <c r="I44" s="2"/>
      <c r="J44" s="5">
        <f t="shared" si="1"/>
        <v>0</v>
      </c>
      <c r="K44" s="2"/>
      <c r="L44" s="2">
        <f t="shared" si="2"/>
        <v>-104.34</v>
      </c>
      <c r="M44" s="2"/>
      <c r="N44" s="5">
        <f t="shared" si="3"/>
        <v>-1.1465934065934067</v>
      </c>
      <c r="O44" s="11"/>
      <c r="P44" s="2">
        <f>SUM(OSRRefP22_4x_0)</f>
        <v>990.52</v>
      </c>
      <c r="Q44" s="2"/>
      <c r="R44" s="5">
        <f t="shared" si="4"/>
        <v>0</v>
      </c>
      <c r="S44" s="2"/>
      <c r="T44" s="2">
        <f>SUM(OSRRefT22_4x_0)</f>
        <v>1092</v>
      </c>
      <c r="U44" s="2"/>
      <c r="V44" s="5">
        <f t="shared" si="5"/>
        <v>0</v>
      </c>
      <c r="W44" s="2"/>
      <c r="X44" s="2">
        <f t="shared" si="6"/>
        <v>-101.48000000000002</v>
      </c>
      <c r="Y44" s="2"/>
      <c r="Z44" s="5">
        <f t="shared" si="7"/>
        <v>-9.2930402930402944E-2</v>
      </c>
    </row>
    <row r="45" spans="1:26" s="70" customFormat="1" ht="15" hidden="1" customHeight="1" outlineLevel="2" x14ac:dyDescent="0.3">
      <c r="A45" s="21"/>
      <c r="B45" s="9" t="str">
        <f>CONCATENATE("          ","6351"," - ","EQUIPMENT RENTAL")</f>
        <v xml:space="preserve">          6351 - EQUIPMENT RENTAL</v>
      </c>
      <c r="C45" s="9"/>
      <c r="D45" s="6">
        <v>-13.34</v>
      </c>
      <c r="E45" s="3"/>
      <c r="F45" s="7">
        <f t="shared" si="0"/>
        <v>0</v>
      </c>
      <c r="G45" s="3"/>
      <c r="H45" s="6">
        <v>91</v>
      </c>
      <c r="I45" s="3"/>
      <c r="J45" s="7">
        <f t="shared" si="1"/>
        <v>0</v>
      </c>
      <c r="K45" s="3"/>
      <c r="L45" s="6">
        <f t="shared" si="2"/>
        <v>-104.34</v>
      </c>
      <c r="M45" s="3"/>
      <c r="N45" s="7">
        <f t="shared" si="3"/>
        <v>-1.1465934065934067</v>
      </c>
      <c r="O45" s="9"/>
      <c r="P45" s="6">
        <v>990.52</v>
      </c>
      <c r="Q45" s="3"/>
      <c r="R45" s="7">
        <f t="shared" si="4"/>
        <v>0</v>
      </c>
      <c r="S45" s="3"/>
      <c r="T45" s="6">
        <v>1092</v>
      </c>
      <c r="U45" s="3"/>
      <c r="V45" s="7">
        <f t="shared" si="5"/>
        <v>0</v>
      </c>
      <c r="W45" s="3"/>
      <c r="X45" s="6">
        <f t="shared" si="6"/>
        <v>-101.48000000000002</v>
      </c>
      <c r="Y45" s="3"/>
      <c r="Z45" s="7">
        <f t="shared" si="7"/>
        <v>-9.2930402930402944E-2</v>
      </c>
    </row>
    <row r="46" spans="1:26" s="69" customFormat="1" ht="15" customHeight="1" outlineLevel="1" collapsed="1" x14ac:dyDescent="0.3">
      <c r="A46" s="20"/>
      <c r="B46" s="11" t="str">
        <f>CONCATENATE("     ","Freight out/Postage                               ")</f>
        <v xml:space="preserve">     Freight out/Postage                               </v>
      </c>
      <c r="C46" s="11"/>
      <c r="D46" s="2">
        <f>SUM(OSRRefD22_5x_0)</f>
        <v>127.6</v>
      </c>
      <c r="E46" s="2"/>
      <c r="F46" s="5">
        <f t="shared" si="0"/>
        <v>0</v>
      </c>
      <c r="G46" s="2"/>
      <c r="H46" s="2">
        <f>SUM(OSRRefH22_5x_0)</f>
        <v>100</v>
      </c>
      <c r="I46" s="2"/>
      <c r="J46" s="5">
        <f t="shared" si="1"/>
        <v>0</v>
      </c>
      <c r="K46" s="2"/>
      <c r="L46" s="2">
        <f t="shared" si="2"/>
        <v>27.599999999999994</v>
      </c>
      <c r="M46" s="2"/>
      <c r="N46" s="5">
        <f t="shared" si="3"/>
        <v>0.27599999999999997</v>
      </c>
      <c r="O46" s="11"/>
      <c r="P46" s="2">
        <f>SUM(OSRRefP22_5x_0)</f>
        <v>1626.69</v>
      </c>
      <c r="Q46" s="2"/>
      <c r="R46" s="5">
        <f t="shared" si="4"/>
        <v>0</v>
      </c>
      <c r="S46" s="2"/>
      <c r="T46" s="2">
        <f>SUM(OSRRefT22_5x_0)</f>
        <v>1200</v>
      </c>
      <c r="U46" s="2"/>
      <c r="V46" s="5">
        <f t="shared" si="5"/>
        <v>0</v>
      </c>
      <c r="W46" s="2"/>
      <c r="X46" s="2">
        <f t="shared" si="6"/>
        <v>426.69000000000005</v>
      </c>
      <c r="Y46" s="2"/>
      <c r="Z46" s="5">
        <f t="shared" si="7"/>
        <v>0.35557500000000003</v>
      </c>
    </row>
    <row r="47" spans="1:26" s="70" customFormat="1" ht="15" hidden="1" customHeight="1" outlineLevel="2" x14ac:dyDescent="0.3">
      <c r="A47" s="21"/>
      <c r="B47" s="9" t="str">
        <f>CONCATENATE("          ","6307"," - ","POSTAGE")</f>
        <v xml:space="preserve">          6307 - POSTAGE</v>
      </c>
      <c r="C47" s="9"/>
      <c r="D47" s="6">
        <v>127.6</v>
      </c>
      <c r="E47" s="3"/>
      <c r="F47" s="7">
        <f t="shared" si="0"/>
        <v>0</v>
      </c>
      <c r="G47" s="3"/>
      <c r="H47" s="6">
        <v>100</v>
      </c>
      <c r="I47" s="3"/>
      <c r="J47" s="7">
        <f t="shared" si="1"/>
        <v>0</v>
      </c>
      <c r="K47" s="3"/>
      <c r="L47" s="6">
        <f t="shared" si="2"/>
        <v>27.599999999999994</v>
      </c>
      <c r="M47" s="3"/>
      <c r="N47" s="7">
        <f t="shared" si="3"/>
        <v>0.27599999999999997</v>
      </c>
      <c r="O47" s="9"/>
      <c r="P47" s="6">
        <v>1626.69</v>
      </c>
      <c r="Q47" s="3"/>
      <c r="R47" s="7">
        <f t="shared" si="4"/>
        <v>0</v>
      </c>
      <c r="S47" s="3"/>
      <c r="T47" s="6">
        <v>1200</v>
      </c>
      <c r="U47" s="3"/>
      <c r="V47" s="7">
        <f t="shared" si="5"/>
        <v>0</v>
      </c>
      <c r="W47" s="3"/>
      <c r="X47" s="6">
        <f t="shared" si="6"/>
        <v>426.69000000000005</v>
      </c>
      <c r="Y47" s="3"/>
      <c r="Z47" s="7">
        <f t="shared" si="7"/>
        <v>0.35557500000000003</v>
      </c>
    </row>
    <row r="48" spans="1:26" s="69" customFormat="1" ht="15" customHeight="1" outlineLevel="1" collapsed="1" x14ac:dyDescent="0.3">
      <c r="A48" s="20"/>
      <c r="B48" s="11" t="str">
        <f>CONCATENATE("     ","General                                           ")</f>
        <v xml:space="preserve">     General                                           </v>
      </c>
      <c r="C48" s="11"/>
      <c r="D48" s="2">
        <f>SUM(OSRRefD22_6x_0)</f>
        <v>7074.13</v>
      </c>
      <c r="E48" s="2"/>
      <c r="F48" s="5">
        <f t="shared" si="0"/>
        <v>0</v>
      </c>
      <c r="G48" s="2"/>
      <c r="H48" s="2">
        <f>SUM(OSRRefH22_6x_0)</f>
        <v>0</v>
      </c>
      <c r="I48" s="2"/>
      <c r="J48" s="5">
        <f t="shared" si="1"/>
        <v>0</v>
      </c>
      <c r="K48" s="2"/>
      <c r="L48" s="2">
        <f t="shared" si="2"/>
        <v>7074.13</v>
      </c>
      <c r="M48" s="2"/>
      <c r="N48" s="5">
        <f t="shared" si="3"/>
        <v>0</v>
      </c>
      <c r="O48" s="11"/>
      <c r="P48" s="2">
        <f>SUM(OSRRefP22_6x_0)</f>
        <v>7074.13</v>
      </c>
      <c r="Q48" s="2"/>
      <c r="R48" s="5">
        <f t="shared" si="4"/>
        <v>0</v>
      </c>
      <c r="S48" s="2"/>
      <c r="T48" s="2">
        <f>SUM(OSRRefT22_6x_0)</f>
        <v>0</v>
      </c>
      <c r="U48" s="2"/>
      <c r="V48" s="5">
        <f t="shared" si="5"/>
        <v>0</v>
      </c>
      <c r="W48" s="2"/>
      <c r="X48" s="2">
        <f t="shared" si="6"/>
        <v>7074.13</v>
      </c>
      <c r="Y48" s="2"/>
      <c r="Z48" s="5">
        <f t="shared" si="7"/>
        <v>0</v>
      </c>
    </row>
    <row r="49" spans="1:26" s="70" customFormat="1" ht="15" hidden="1" customHeight="1" outlineLevel="2" x14ac:dyDescent="0.3">
      <c r="A49" s="21"/>
      <c r="B49" s="9" t="str">
        <f>CONCATENATE("          ","6279"," - ","GENERAL EXPENSE")</f>
        <v xml:space="preserve">          6279 - GENERAL EXPENSE</v>
      </c>
      <c r="C49" s="9"/>
      <c r="D49" s="6">
        <v>7074.13</v>
      </c>
      <c r="E49" s="3"/>
      <c r="F49" s="7">
        <f t="shared" si="0"/>
        <v>0</v>
      </c>
      <c r="G49" s="3"/>
      <c r="H49" s="6"/>
      <c r="I49" s="3"/>
      <c r="J49" s="7">
        <f t="shared" si="1"/>
        <v>0</v>
      </c>
      <c r="K49" s="3"/>
      <c r="L49" s="6">
        <f t="shared" si="2"/>
        <v>7074.13</v>
      </c>
      <c r="M49" s="3"/>
      <c r="N49" s="7">
        <f t="shared" si="3"/>
        <v>0</v>
      </c>
      <c r="O49" s="9"/>
      <c r="P49" s="6">
        <v>7074.13</v>
      </c>
      <c r="Q49" s="3"/>
      <c r="R49" s="7">
        <f t="shared" si="4"/>
        <v>0</v>
      </c>
      <c r="S49" s="3"/>
      <c r="T49" s="6"/>
      <c r="U49" s="3"/>
      <c r="V49" s="7">
        <f t="shared" si="5"/>
        <v>0</v>
      </c>
      <c r="W49" s="3"/>
      <c r="X49" s="6">
        <f t="shared" si="6"/>
        <v>7074.13</v>
      </c>
      <c r="Y49" s="3"/>
      <c r="Z49" s="7">
        <f t="shared" si="7"/>
        <v>0</v>
      </c>
    </row>
    <row r="50" spans="1:26" s="69" customFormat="1" ht="15" customHeight="1" outlineLevel="1" collapsed="1" x14ac:dyDescent="0.3">
      <c r="A50" s="20"/>
      <c r="B50" s="11" t="str">
        <f>CONCATENATE("     ","Insurance                                         ")</f>
        <v xml:space="preserve">     Insurance                                         </v>
      </c>
      <c r="C50" s="11"/>
      <c r="D50" s="2">
        <f>SUM(OSRRefD22_7x_0)</f>
        <v>-55.8</v>
      </c>
      <c r="E50" s="2"/>
      <c r="F50" s="5">
        <f t="shared" ref="F50:F66" si="8">IF(D$12=0,0,D50/D$12)</f>
        <v>0</v>
      </c>
      <c r="G50" s="2"/>
      <c r="H50" s="2">
        <f>SUM(OSRRefH22_7x_0)</f>
        <v>180</v>
      </c>
      <c r="I50" s="2"/>
      <c r="J50" s="5">
        <f t="shared" ref="J50:J66" si="9">IF(H$12=0,0,H50/H$12)</f>
        <v>0</v>
      </c>
      <c r="K50" s="2"/>
      <c r="L50" s="2">
        <f t="shared" ref="L50:L66" si="10">+D50-H50</f>
        <v>-235.8</v>
      </c>
      <c r="M50" s="2"/>
      <c r="N50" s="5">
        <f t="shared" ref="N50:N66" si="11">IF(H50=0,0,L50/H50)</f>
        <v>-1.31</v>
      </c>
      <c r="O50" s="11"/>
      <c r="P50" s="2">
        <f>SUM(OSRRefP22_7x_0)</f>
        <v>1920.24</v>
      </c>
      <c r="Q50" s="2"/>
      <c r="R50" s="5">
        <f t="shared" ref="R50:R66" si="12">IF(P$12=0,0,P50/P$12)</f>
        <v>0</v>
      </c>
      <c r="S50" s="2"/>
      <c r="T50" s="2">
        <f>SUM(OSRRefT22_7x_0)</f>
        <v>2160</v>
      </c>
      <c r="U50" s="2"/>
      <c r="V50" s="5">
        <f t="shared" ref="V50:V66" si="13">IF(T$12=0,0,T50/T$12)</f>
        <v>0</v>
      </c>
      <c r="W50" s="2"/>
      <c r="X50" s="2">
        <f t="shared" ref="X50:X66" si="14">+P50-T50</f>
        <v>-239.76</v>
      </c>
      <c r="Y50" s="2"/>
      <c r="Z50" s="5">
        <f t="shared" ref="Z50:Z66" si="15">IF(T50=0,0,X50/T50)</f>
        <v>-0.111</v>
      </c>
    </row>
    <row r="51" spans="1:26" s="70" customFormat="1" ht="15" hidden="1" customHeight="1" outlineLevel="2" x14ac:dyDescent="0.3">
      <c r="A51" s="21"/>
      <c r="B51" s="9" t="str">
        <f>CONCATENATE("          ","6314"," - ","LIABILITY INSURANCE")</f>
        <v xml:space="preserve">          6314 - LIABILITY INSURANCE</v>
      </c>
      <c r="C51" s="9"/>
      <c r="D51" s="6">
        <v>-55.8</v>
      </c>
      <c r="E51" s="3"/>
      <c r="F51" s="7">
        <f t="shared" si="8"/>
        <v>0</v>
      </c>
      <c r="G51" s="3"/>
      <c r="H51" s="6">
        <v>180</v>
      </c>
      <c r="I51" s="3"/>
      <c r="J51" s="7">
        <f t="shared" si="9"/>
        <v>0</v>
      </c>
      <c r="K51" s="3"/>
      <c r="L51" s="6">
        <f t="shared" si="10"/>
        <v>-235.8</v>
      </c>
      <c r="M51" s="3"/>
      <c r="N51" s="7">
        <f t="shared" si="11"/>
        <v>-1.31</v>
      </c>
      <c r="O51" s="9"/>
      <c r="P51" s="6">
        <v>1920.24</v>
      </c>
      <c r="Q51" s="3"/>
      <c r="R51" s="7">
        <f t="shared" si="12"/>
        <v>0</v>
      </c>
      <c r="S51" s="3"/>
      <c r="T51" s="6">
        <v>2160</v>
      </c>
      <c r="U51" s="3"/>
      <c r="V51" s="7">
        <f t="shared" si="13"/>
        <v>0</v>
      </c>
      <c r="W51" s="3"/>
      <c r="X51" s="6">
        <f t="shared" si="14"/>
        <v>-239.76</v>
      </c>
      <c r="Y51" s="3"/>
      <c r="Z51" s="7">
        <f t="shared" si="15"/>
        <v>-0.111</v>
      </c>
    </row>
    <row r="52" spans="1:26" s="69" customFormat="1" ht="15" customHeight="1" outlineLevel="1" collapsed="1" x14ac:dyDescent="0.3">
      <c r="A52" s="20"/>
      <c r="B52" s="11" t="str">
        <f>CONCATENATE("     ","Repair and Maintenance                            ")</f>
        <v xml:space="preserve">     Repair and Maintenance                            </v>
      </c>
      <c r="C52" s="11"/>
      <c r="D52" s="2">
        <f>SUM(OSRRefD22_8x_0)</f>
        <v>146.76999999999998</v>
      </c>
      <c r="E52" s="2"/>
      <c r="F52" s="5">
        <f t="shared" si="8"/>
        <v>0</v>
      </c>
      <c r="G52" s="2"/>
      <c r="H52" s="2">
        <f>SUM(OSRRefH22_8x_0)</f>
        <v>210</v>
      </c>
      <c r="I52" s="2"/>
      <c r="J52" s="5">
        <f t="shared" si="9"/>
        <v>0</v>
      </c>
      <c r="K52" s="2"/>
      <c r="L52" s="2">
        <f t="shared" si="10"/>
        <v>-63.230000000000018</v>
      </c>
      <c r="M52" s="2"/>
      <c r="N52" s="5">
        <f t="shared" si="11"/>
        <v>-0.30109523809523819</v>
      </c>
      <c r="O52" s="11"/>
      <c r="P52" s="2">
        <f>SUM(OSRRefP22_8x_0)</f>
        <v>42766.42</v>
      </c>
      <c r="Q52" s="2"/>
      <c r="R52" s="5">
        <f t="shared" si="12"/>
        <v>0</v>
      </c>
      <c r="S52" s="2"/>
      <c r="T52" s="2">
        <f>SUM(OSRRefT22_8x_0)</f>
        <v>36520</v>
      </c>
      <c r="U52" s="2"/>
      <c r="V52" s="5">
        <f t="shared" si="13"/>
        <v>0</v>
      </c>
      <c r="W52" s="2"/>
      <c r="X52" s="2">
        <f t="shared" si="14"/>
        <v>6246.4199999999983</v>
      </c>
      <c r="Y52" s="2"/>
      <c r="Z52" s="5">
        <f t="shared" si="15"/>
        <v>0.17104107338444682</v>
      </c>
    </row>
    <row r="53" spans="1:26" s="70" customFormat="1" ht="15" hidden="1" customHeight="1" outlineLevel="2" x14ac:dyDescent="0.3">
      <c r="A53" s="21"/>
      <c r="B53" s="9" t="str">
        <f>CONCATENATE("          ","6371"," - ","COMPUTER SOFTWARE MAINTENANCE")</f>
        <v xml:space="preserve">          6371 - COMPUTER SOFTWARE MAINTENANCE</v>
      </c>
      <c r="C53" s="9"/>
      <c r="D53" s="6">
        <v>59.95</v>
      </c>
      <c r="E53" s="3"/>
      <c r="F53" s="7">
        <f t="shared" si="8"/>
        <v>0</v>
      </c>
      <c r="G53" s="3"/>
      <c r="H53" s="6"/>
      <c r="I53" s="3"/>
      <c r="J53" s="7">
        <f t="shared" si="9"/>
        <v>0</v>
      </c>
      <c r="K53" s="3"/>
      <c r="L53" s="6">
        <f t="shared" si="10"/>
        <v>59.95</v>
      </c>
      <c r="M53" s="3"/>
      <c r="N53" s="7">
        <f t="shared" si="11"/>
        <v>0</v>
      </c>
      <c r="O53" s="9"/>
      <c r="P53" s="6">
        <v>35848.269999999997</v>
      </c>
      <c r="Q53" s="3"/>
      <c r="R53" s="7">
        <f t="shared" si="12"/>
        <v>0</v>
      </c>
      <c r="S53" s="3"/>
      <c r="T53" s="6">
        <v>29000</v>
      </c>
      <c r="U53" s="3"/>
      <c r="V53" s="7">
        <f t="shared" si="13"/>
        <v>0</v>
      </c>
      <c r="W53" s="3"/>
      <c r="X53" s="6">
        <f t="shared" si="14"/>
        <v>6848.2699999999968</v>
      </c>
      <c r="Y53" s="3"/>
      <c r="Z53" s="7">
        <f t="shared" si="15"/>
        <v>0.23614724137931023</v>
      </c>
    </row>
    <row r="54" spans="1:26" s="70" customFormat="1" ht="15" hidden="1" customHeight="1" outlineLevel="2" x14ac:dyDescent="0.3">
      <c r="A54" s="21"/>
      <c r="B54" s="9" t="str">
        <f>CONCATENATE("          ","6373"," - ","MAINTENANCE CONTRACTS")</f>
        <v xml:space="preserve">          6373 - MAINTENANCE CONTRACTS</v>
      </c>
      <c r="C54" s="9"/>
      <c r="D54" s="6">
        <v>86.82</v>
      </c>
      <c r="E54" s="3"/>
      <c r="F54" s="7">
        <f t="shared" si="8"/>
        <v>0</v>
      </c>
      <c r="G54" s="3"/>
      <c r="H54" s="6">
        <v>60</v>
      </c>
      <c r="I54" s="3"/>
      <c r="J54" s="7">
        <f t="shared" si="9"/>
        <v>0</v>
      </c>
      <c r="K54" s="3"/>
      <c r="L54" s="6">
        <f t="shared" si="10"/>
        <v>26.819999999999993</v>
      </c>
      <c r="M54" s="3"/>
      <c r="N54" s="7">
        <f t="shared" si="11"/>
        <v>0.4469999999999999</v>
      </c>
      <c r="O54" s="9"/>
      <c r="P54" s="6">
        <v>5360.59</v>
      </c>
      <c r="Q54" s="3"/>
      <c r="R54" s="7">
        <f t="shared" si="12"/>
        <v>0</v>
      </c>
      <c r="S54" s="3"/>
      <c r="T54" s="6">
        <v>5720</v>
      </c>
      <c r="U54" s="3"/>
      <c r="V54" s="7">
        <f t="shared" si="13"/>
        <v>0</v>
      </c>
      <c r="W54" s="3"/>
      <c r="X54" s="6">
        <f t="shared" si="14"/>
        <v>-359.40999999999985</v>
      </c>
      <c r="Y54" s="3"/>
      <c r="Z54" s="7">
        <f t="shared" si="15"/>
        <v>-6.2833916083916058E-2</v>
      </c>
    </row>
    <row r="55" spans="1:26" s="70" customFormat="1" ht="15" hidden="1" customHeight="1" outlineLevel="2" x14ac:dyDescent="0.3">
      <c r="A55" s="21"/>
      <c r="B55" s="9" t="str">
        <f>CONCATENATE("          ","6375"," - ","OUTSIDE REPAIRS &amp; MAINTENANCE")</f>
        <v xml:space="preserve">          6375 - OUTSIDE REPAIRS &amp; MAINTENANCE</v>
      </c>
      <c r="C55" s="9"/>
      <c r="D55" s="6"/>
      <c r="E55" s="3"/>
      <c r="F55" s="7">
        <f t="shared" si="8"/>
        <v>0</v>
      </c>
      <c r="G55" s="3"/>
      <c r="H55" s="6">
        <v>150</v>
      </c>
      <c r="I55" s="3"/>
      <c r="J55" s="7">
        <f t="shared" si="9"/>
        <v>0</v>
      </c>
      <c r="K55" s="3"/>
      <c r="L55" s="6">
        <f t="shared" si="10"/>
        <v>-150</v>
      </c>
      <c r="M55" s="3"/>
      <c r="N55" s="7">
        <f t="shared" si="11"/>
        <v>-1</v>
      </c>
      <c r="O55" s="9"/>
      <c r="P55" s="6">
        <v>1557.56</v>
      </c>
      <c r="Q55" s="3"/>
      <c r="R55" s="7">
        <f t="shared" si="12"/>
        <v>0</v>
      </c>
      <c r="S55" s="3"/>
      <c r="T55" s="6">
        <v>1800</v>
      </c>
      <c r="U55" s="3"/>
      <c r="V55" s="7">
        <f t="shared" si="13"/>
        <v>0</v>
      </c>
      <c r="W55" s="3"/>
      <c r="X55" s="6">
        <f t="shared" si="14"/>
        <v>-242.44000000000005</v>
      </c>
      <c r="Y55" s="3"/>
      <c r="Z55" s="7">
        <f t="shared" si="15"/>
        <v>-0.13468888888888891</v>
      </c>
    </row>
    <row r="56" spans="1:26" s="69" customFormat="1" ht="15" customHeight="1" outlineLevel="1" collapsed="1" x14ac:dyDescent="0.3">
      <c r="A56" s="20"/>
      <c r="B56" s="11" t="str">
        <f>CONCATENATE("     ","Services                                          ")</f>
        <v xml:space="preserve">     Services                                          </v>
      </c>
      <c r="C56" s="11"/>
      <c r="D56" s="2">
        <f>SUM(OSRRefD22_9x_0)</f>
        <v>2225.33</v>
      </c>
      <c r="E56" s="2"/>
      <c r="F56" s="5">
        <f t="shared" si="8"/>
        <v>0</v>
      </c>
      <c r="G56" s="2"/>
      <c r="H56" s="2">
        <f>SUM(OSRRefH22_9x_0)</f>
        <v>625</v>
      </c>
      <c r="I56" s="2"/>
      <c r="J56" s="5">
        <f t="shared" si="9"/>
        <v>0</v>
      </c>
      <c r="K56" s="2"/>
      <c r="L56" s="2">
        <f t="shared" si="10"/>
        <v>1600.33</v>
      </c>
      <c r="M56" s="2"/>
      <c r="N56" s="5">
        <f t="shared" si="11"/>
        <v>2.5605279999999997</v>
      </c>
      <c r="O56" s="11"/>
      <c r="P56" s="2">
        <f>SUM(OSRRefP22_9x_0)</f>
        <v>11291.15</v>
      </c>
      <c r="Q56" s="2"/>
      <c r="R56" s="5">
        <f t="shared" si="12"/>
        <v>0</v>
      </c>
      <c r="S56" s="2"/>
      <c r="T56" s="2">
        <f>SUM(OSRRefT22_9x_0)</f>
        <v>7500</v>
      </c>
      <c r="U56" s="2"/>
      <c r="V56" s="5">
        <f t="shared" si="13"/>
        <v>0</v>
      </c>
      <c r="W56" s="2"/>
      <c r="X56" s="2">
        <f t="shared" si="14"/>
        <v>3791.1499999999996</v>
      </c>
      <c r="Y56" s="2"/>
      <c r="Z56" s="5">
        <f t="shared" si="15"/>
        <v>0.50548666666666664</v>
      </c>
    </row>
    <row r="57" spans="1:26" s="70" customFormat="1" ht="15" hidden="1" customHeight="1" outlineLevel="2" x14ac:dyDescent="0.3">
      <c r="A57" s="21"/>
      <c r="B57" s="9" t="str">
        <f>CONCATENATE("          ","6281"," - ","STORAGE FEE")</f>
        <v xml:space="preserve">          6281 - STORAGE FEE</v>
      </c>
      <c r="C57" s="9"/>
      <c r="D57" s="6">
        <v>2225.33</v>
      </c>
      <c r="E57" s="3"/>
      <c r="F57" s="7">
        <f t="shared" si="8"/>
        <v>0</v>
      </c>
      <c r="G57" s="3"/>
      <c r="H57" s="6">
        <v>625</v>
      </c>
      <c r="I57" s="3"/>
      <c r="J57" s="7">
        <f t="shared" si="9"/>
        <v>0</v>
      </c>
      <c r="K57" s="3"/>
      <c r="L57" s="6">
        <f t="shared" si="10"/>
        <v>1600.33</v>
      </c>
      <c r="M57" s="3"/>
      <c r="N57" s="7">
        <f t="shared" si="11"/>
        <v>2.5605279999999997</v>
      </c>
      <c r="O57" s="9"/>
      <c r="P57" s="6">
        <v>11291.15</v>
      </c>
      <c r="Q57" s="3"/>
      <c r="R57" s="7">
        <f t="shared" si="12"/>
        <v>0</v>
      </c>
      <c r="S57" s="3"/>
      <c r="T57" s="6">
        <v>7500</v>
      </c>
      <c r="U57" s="3"/>
      <c r="V57" s="7">
        <f t="shared" si="13"/>
        <v>0</v>
      </c>
      <c r="W57" s="3"/>
      <c r="X57" s="6">
        <f t="shared" si="14"/>
        <v>3791.1499999999996</v>
      </c>
      <c r="Y57" s="3"/>
      <c r="Z57" s="7">
        <f t="shared" si="15"/>
        <v>0.50548666666666664</v>
      </c>
    </row>
    <row r="58" spans="1:26" s="69" customFormat="1" ht="15" customHeight="1" outlineLevel="1" collapsed="1" x14ac:dyDescent="0.3">
      <c r="A58" s="20"/>
      <c r="B58" s="11" t="str">
        <f>CONCATENATE("     ","Supplies                                          ")</f>
        <v xml:space="preserve">     Supplies                                          </v>
      </c>
      <c r="C58" s="11"/>
      <c r="D58" s="2">
        <f>SUM(OSRRefD22_10x_0)</f>
        <v>62.42</v>
      </c>
      <c r="E58" s="2"/>
      <c r="F58" s="5">
        <f t="shared" si="8"/>
        <v>0</v>
      </c>
      <c r="G58" s="2"/>
      <c r="H58" s="2">
        <f>SUM(OSRRefH22_10x_0)</f>
        <v>100</v>
      </c>
      <c r="I58" s="2"/>
      <c r="J58" s="5">
        <f t="shared" si="9"/>
        <v>0</v>
      </c>
      <c r="K58" s="2"/>
      <c r="L58" s="2">
        <f t="shared" si="10"/>
        <v>-37.58</v>
      </c>
      <c r="M58" s="2"/>
      <c r="N58" s="5">
        <f t="shared" si="11"/>
        <v>-0.37579999999999997</v>
      </c>
      <c r="O58" s="11"/>
      <c r="P58" s="2">
        <f>SUM(OSRRefP22_10x_0)</f>
        <v>4684.7299999999996</v>
      </c>
      <c r="Q58" s="2"/>
      <c r="R58" s="5">
        <f t="shared" si="12"/>
        <v>0</v>
      </c>
      <c r="S58" s="2"/>
      <c r="T58" s="2">
        <f>SUM(OSRRefT22_10x_0)</f>
        <v>1200</v>
      </c>
      <c r="U58" s="2"/>
      <c r="V58" s="5">
        <f t="shared" si="13"/>
        <v>0</v>
      </c>
      <c r="W58" s="2"/>
      <c r="X58" s="2">
        <f t="shared" si="14"/>
        <v>3484.7299999999996</v>
      </c>
      <c r="Y58" s="2"/>
      <c r="Z58" s="5">
        <f t="shared" si="15"/>
        <v>2.9039416666666664</v>
      </c>
    </row>
    <row r="59" spans="1:26" s="70" customFormat="1" ht="15" hidden="1" customHeight="1" outlineLevel="2" x14ac:dyDescent="0.3">
      <c r="A59" s="21"/>
      <c r="B59" s="9" t="str">
        <f>CONCATENATE("          ","6234"," - ","EXPENDABLE SUPPLIES &amp; EQUIPMEN")</f>
        <v xml:space="preserve">          6234 - EXPENDABLE SUPPLIES &amp; EQUIPMEN</v>
      </c>
      <c r="C59" s="9"/>
      <c r="D59" s="6"/>
      <c r="E59" s="3"/>
      <c r="F59" s="7">
        <f t="shared" si="8"/>
        <v>0</v>
      </c>
      <c r="G59" s="3"/>
      <c r="H59" s="6"/>
      <c r="I59" s="3"/>
      <c r="J59" s="7">
        <f t="shared" si="9"/>
        <v>0</v>
      </c>
      <c r="K59" s="3"/>
      <c r="L59" s="6">
        <f t="shared" si="10"/>
        <v>0</v>
      </c>
      <c r="M59" s="3"/>
      <c r="N59" s="7">
        <f t="shared" si="11"/>
        <v>0</v>
      </c>
      <c r="O59" s="9"/>
      <c r="P59" s="6">
        <v>2653.16</v>
      </c>
      <c r="Q59" s="3"/>
      <c r="R59" s="7">
        <f t="shared" si="12"/>
        <v>0</v>
      </c>
      <c r="S59" s="3"/>
      <c r="T59" s="6"/>
      <c r="U59" s="3"/>
      <c r="V59" s="7">
        <f t="shared" si="13"/>
        <v>0</v>
      </c>
      <c r="W59" s="3"/>
      <c r="X59" s="6">
        <f t="shared" si="14"/>
        <v>2653.16</v>
      </c>
      <c r="Y59" s="3"/>
      <c r="Z59" s="7">
        <f t="shared" si="15"/>
        <v>0</v>
      </c>
    </row>
    <row r="60" spans="1:26" s="70" customFormat="1" ht="15" hidden="1" customHeight="1" outlineLevel="2" x14ac:dyDescent="0.3">
      <c r="A60" s="21"/>
      <c r="B60" s="9" t="str">
        <f>CONCATENATE("          ","6241"," - ","OFFICE EXPENSE")</f>
        <v xml:space="preserve">          6241 - OFFICE EXPENSE</v>
      </c>
      <c r="C60" s="9"/>
      <c r="D60" s="6">
        <v>62.42</v>
      </c>
      <c r="E60" s="3"/>
      <c r="F60" s="7">
        <f t="shared" si="8"/>
        <v>0</v>
      </c>
      <c r="G60" s="3"/>
      <c r="H60" s="6">
        <v>100</v>
      </c>
      <c r="I60" s="3"/>
      <c r="J60" s="7">
        <f t="shared" si="9"/>
        <v>0</v>
      </c>
      <c r="K60" s="3"/>
      <c r="L60" s="6">
        <f t="shared" si="10"/>
        <v>-37.58</v>
      </c>
      <c r="M60" s="3"/>
      <c r="N60" s="7">
        <f t="shared" si="11"/>
        <v>-0.37579999999999997</v>
      </c>
      <c r="O60" s="9"/>
      <c r="P60" s="6">
        <v>2031.57</v>
      </c>
      <c r="Q60" s="3"/>
      <c r="R60" s="7">
        <f t="shared" si="12"/>
        <v>0</v>
      </c>
      <c r="S60" s="3"/>
      <c r="T60" s="6">
        <v>1200</v>
      </c>
      <c r="U60" s="3"/>
      <c r="V60" s="7">
        <f t="shared" si="13"/>
        <v>0</v>
      </c>
      <c r="W60" s="3"/>
      <c r="X60" s="6">
        <f t="shared" si="14"/>
        <v>831.56999999999994</v>
      </c>
      <c r="Y60" s="3"/>
      <c r="Z60" s="7">
        <f t="shared" si="15"/>
        <v>0.6929749999999999</v>
      </c>
    </row>
    <row r="61" spans="1:26" s="69" customFormat="1" ht="15" customHeight="1" outlineLevel="1" collapsed="1" x14ac:dyDescent="0.3">
      <c r="A61" s="20"/>
      <c r="B61" s="11" t="str">
        <f>CONCATENATE("     ","Telephone/Data Lines                              ")</f>
        <v xml:space="preserve">     Telephone/Data Lines                              </v>
      </c>
      <c r="C61" s="11"/>
      <c r="D61" s="2">
        <f>SUM(OSRRefD22_11x_0)</f>
        <v>214.6</v>
      </c>
      <c r="E61" s="2"/>
      <c r="F61" s="5">
        <f t="shared" si="8"/>
        <v>0</v>
      </c>
      <c r="G61" s="2"/>
      <c r="H61" s="2">
        <f>SUM(OSRRefH22_11x_0)</f>
        <v>400</v>
      </c>
      <c r="I61" s="2"/>
      <c r="J61" s="5">
        <f t="shared" si="9"/>
        <v>0</v>
      </c>
      <c r="K61" s="2"/>
      <c r="L61" s="2">
        <f t="shared" si="10"/>
        <v>-185.4</v>
      </c>
      <c r="M61" s="2"/>
      <c r="N61" s="5">
        <f t="shared" si="11"/>
        <v>-0.46350000000000002</v>
      </c>
      <c r="O61" s="11"/>
      <c r="P61" s="2">
        <f>SUM(OSRRefP22_11x_0)</f>
        <v>4598.0200000000004</v>
      </c>
      <c r="Q61" s="2"/>
      <c r="R61" s="5">
        <f t="shared" si="12"/>
        <v>0</v>
      </c>
      <c r="S61" s="2"/>
      <c r="T61" s="2">
        <f>SUM(OSRRefT22_11x_0)</f>
        <v>4800</v>
      </c>
      <c r="U61" s="2"/>
      <c r="V61" s="5">
        <f t="shared" si="13"/>
        <v>0</v>
      </c>
      <c r="W61" s="2"/>
      <c r="X61" s="2">
        <f t="shared" si="14"/>
        <v>-201.97999999999956</v>
      </c>
      <c r="Y61" s="2"/>
      <c r="Z61" s="5">
        <f t="shared" si="15"/>
        <v>-4.2079166666666577E-2</v>
      </c>
    </row>
    <row r="62" spans="1:26" s="70" customFormat="1" ht="15" hidden="1" customHeight="1" outlineLevel="2" x14ac:dyDescent="0.3">
      <c r="A62" s="21"/>
      <c r="B62" s="9" t="str">
        <f>CONCATENATE("          ","6309"," - ","TELEPHONE")</f>
        <v xml:space="preserve">          6309 - TELEPHONE</v>
      </c>
      <c r="C62" s="9"/>
      <c r="D62" s="6">
        <v>214.6</v>
      </c>
      <c r="E62" s="3"/>
      <c r="F62" s="7">
        <f t="shared" si="8"/>
        <v>0</v>
      </c>
      <c r="G62" s="3"/>
      <c r="H62" s="6">
        <v>400</v>
      </c>
      <c r="I62" s="3"/>
      <c r="J62" s="7">
        <f t="shared" si="9"/>
        <v>0</v>
      </c>
      <c r="K62" s="3"/>
      <c r="L62" s="6">
        <f t="shared" si="10"/>
        <v>-185.4</v>
      </c>
      <c r="M62" s="3"/>
      <c r="N62" s="7">
        <f t="shared" si="11"/>
        <v>-0.46350000000000002</v>
      </c>
      <c r="O62" s="9"/>
      <c r="P62" s="6">
        <v>4598.0200000000004</v>
      </c>
      <c r="Q62" s="3"/>
      <c r="R62" s="7">
        <f t="shared" si="12"/>
        <v>0</v>
      </c>
      <c r="S62" s="3"/>
      <c r="T62" s="6">
        <v>4800</v>
      </c>
      <c r="U62" s="3"/>
      <c r="V62" s="7">
        <f t="shared" si="13"/>
        <v>0</v>
      </c>
      <c r="W62" s="3"/>
      <c r="X62" s="6">
        <f t="shared" si="14"/>
        <v>-201.97999999999956</v>
      </c>
      <c r="Y62" s="3"/>
      <c r="Z62" s="7">
        <f t="shared" si="15"/>
        <v>-4.2079166666666577E-2</v>
      </c>
    </row>
    <row r="63" spans="1:26" s="69" customFormat="1" ht="15" customHeight="1" outlineLevel="1" collapsed="1" x14ac:dyDescent="0.3">
      <c r="A63" s="20"/>
      <c r="B63" s="11" t="str">
        <f>CONCATENATE("     ","Training                                          ")</f>
        <v xml:space="preserve">     Training                                          </v>
      </c>
      <c r="C63" s="11"/>
      <c r="D63" s="2">
        <f>SUM(OSRRefD22_12x_0)</f>
        <v>0</v>
      </c>
      <c r="E63" s="2"/>
      <c r="F63" s="5">
        <f t="shared" si="8"/>
        <v>0</v>
      </c>
      <c r="G63" s="2"/>
      <c r="H63" s="2">
        <f>SUM(OSRRefH22_12x_0)</f>
        <v>0</v>
      </c>
      <c r="I63" s="2"/>
      <c r="J63" s="5">
        <f t="shared" si="9"/>
        <v>0</v>
      </c>
      <c r="K63" s="2"/>
      <c r="L63" s="2">
        <f t="shared" si="10"/>
        <v>0</v>
      </c>
      <c r="M63" s="2"/>
      <c r="N63" s="5">
        <f t="shared" si="11"/>
        <v>0</v>
      </c>
      <c r="O63" s="11"/>
      <c r="P63" s="2">
        <f>SUM(OSRRefP22_12x_0)</f>
        <v>595</v>
      </c>
      <c r="Q63" s="2"/>
      <c r="R63" s="5">
        <f t="shared" si="12"/>
        <v>0</v>
      </c>
      <c r="S63" s="2"/>
      <c r="T63" s="2">
        <f>SUM(OSRRefT22_12x_0)</f>
        <v>3000</v>
      </c>
      <c r="U63" s="2"/>
      <c r="V63" s="5">
        <f t="shared" si="13"/>
        <v>0</v>
      </c>
      <c r="W63" s="2"/>
      <c r="X63" s="2">
        <f t="shared" si="14"/>
        <v>-2405</v>
      </c>
      <c r="Y63" s="2"/>
      <c r="Z63" s="5">
        <f t="shared" si="15"/>
        <v>-0.80166666666666664</v>
      </c>
    </row>
    <row r="64" spans="1:26" s="70" customFormat="1" ht="15" hidden="1" customHeight="1" outlineLevel="2" x14ac:dyDescent="0.3">
      <c r="A64" s="21"/>
      <c r="B64" s="9" t="str">
        <f>CONCATENATE("          ","6376"," - ","TRAINING")</f>
        <v xml:space="preserve">          6376 - TRAINING</v>
      </c>
      <c r="C64" s="9"/>
      <c r="D64" s="6"/>
      <c r="E64" s="3"/>
      <c r="F64" s="7">
        <f t="shared" si="8"/>
        <v>0</v>
      </c>
      <c r="G64" s="3"/>
      <c r="H64" s="6"/>
      <c r="I64" s="3"/>
      <c r="J64" s="7">
        <f t="shared" si="9"/>
        <v>0</v>
      </c>
      <c r="K64" s="3"/>
      <c r="L64" s="6">
        <f t="shared" si="10"/>
        <v>0</v>
      </c>
      <c r="M64" s="3"/>
      <c r="N64" s="7">
        <f t="shared" si="11"/>
        <v>0</v>
      </c>
      <c r="O64" s="9"/>
      <c r="P64" s="6">
        <v>595</v>
      </c>
      <c r="Q64" s="3"/>
      <c r="R64" s="7">
        <f t="shared" si="12"/>
        <v>0</v>
      </c>
      <c r="S64" s="3"/>
      <c r="T64" s="6">
        <v>3000</v>
      </c>
      <c r="U64" s="3"/>
      <c r="V64" s="7">
        <f t="shared" si="13"/>
        <v>0</v>
      </c>
      <c r="W64" s="3"/>
      <c r="X64" s="6">
        <f t="shared" si="14"/>
        <v>-2405</v>
      </c>
      <c r="Y64" s="3"/>
      <c r="Z64" s="7">
        <f t="shared" si="15"/>
        <v>-0.80166666666666664</v>
      </c>
    </row>
    <row r="65" spans="1:26" s="69" customFormat="1" ht="15" customHeight="1" outlineLevel="1" collapsed="1" x14ac:dyDescent="0.3">
      <c r="A65" s="20"/>
      <c r="B65" s="11" t="str">
        <f>CONCATENATE("     ","Travel                                            ")</f>
        <v xml:space="preserve">     Travel                                            </v>
      </c>
      <c r="C65" s="11"/>
      <c r="D65" s="2">
        <f>SUM(OSRRefD22_13x_0)</f>
        <v>0</v>
      </c>
      <c r="E65" s="2"/>
      <c r="F65" s="5">
        <f t="shared" si="8"/>
        <v>0</v>
      </c>
      <c r="G65" s="2"/>
      <c r="H65" s="2">
        <f>SUM(OSRRefH22_13x_0)</f>
        <v>0</v>
      </c>
      <c r="I65" s="2"/>
      <c r="J65" s="5">
        <f t="shared" si="9"/>
        <v>0</v>
      </c>
      <c r="K65" s="2"/>
      <c r="L65" s="2">
        <f t="shared" si="10"/>
        <v>0</v>
      </c>
      <c r="M65" s="2"/>
      <c r="N65" s="5">
        <f t="shared" si="11"/>
        <v>0</v>
      </c>
      <c r="O65" s="11"/>
      <c r="P65" s="2">
        <f>SUM(OSRRefP22_13x_0)</f>
        <v>30.4</v>
      </c>
      <c r="Q65" s="2"/>
      <c r="R65" s="5">
        <f t="shared" si="12"/>
        <v>0</v>
      </c>
      <c r="S65" s="2"/>
      <c r="T65" s="2">
        <f>SUM(OSRRefT22_13x_0)</f>
        <v>0</v>
      </c>
      <c r="U65" s="2"/>
      <c r="V65" s="5">
        <f t="shared" si="13"/>
        <v>0</v>
      </c>
      <c r="W65" s="2"/>
      <c r="X65" s="2">
        <f t="shared" si="14"/>
        <v>30.4</v>
      </c>
      <c r="Y65" s="2"/>
      <c r="Z65" s="5">
        <f t="shared" si="15"/>
        <v>0</v>
      </c>
    </row>
    <row r="66" spans="1:26" s="70" customFormat="1" ht="15" hidden="1" customHeight="1" outlineLevel="2" x14ac:dyDescent="0.3">
      <c r="A66" s="21"/>
      <c r="B66" s="9" t="str">
        <f>CONCATENATE("          ","6294"," - ","TRAVEL OPERATIONAL")</f>
        <v xml:space="preserve">          6294 - TRAVEL OPERATIONAL</v>
      </c>
      <c r="C66" s="9"/>
      <c r="D66" s="6"/>
      <c r="E66" s="3"/>
      <c r="F66" s="7">
        <f t="shared" si="8"/>
        <v>0</v>
      </c>
      <c r="G66" s="3"/>
      <c r="H66" s="6"/>
      <c r="I66" s="3"/>
      <c r="J66" s="7">
        <f t="shared" si="9"/>
        <v>0</v>
      </c>
      <c r="K66" s="3"/>
      <c r="L66" s="6">
        <f t="shared" si="10"/>
        <v>0</v>
      </c>
      <c r="M66" s="3"/>
      <c r="N66" s="7">
        <f t="shared" si="11"/>
        <v>0</v>
      </c>
      <c r="O66" s="9"/>
      <c r="P66" s="6">
        <v>30.4</v>
      </c>
      <c r="Q66" s="3"/>
      <c r="R66" s="7">
        <f t="shared" si="12"/>
        <v>0</v>
      </c>
      <c r="S66" s="3"/>
      <c r="T66" s="6"/>
      <c r="U66" s="3"/>
      <c r="V66" s="7">
        <f t="shared" si="13"/>
        <v>0</v>
      </c>
      <c r="W66" s="3"/>
      <c r="X66" s="6">
        <f t="shared" si="14"/>
        <v>30.4</v>
      </c>
      <c r="Y66" s="3"/>
      <c r="Z66" s="7">
        <f t="shared" si="15"/>
        <v>0</v>
      </c>
    </row>
    <row r="67" spans="1:26" s="65" customFormat="1" ht="15" customHeight="1" x14ac:dyDescent="0.3">
      <c r="A67" s="36"/>
      <c r="B67" s="36"/>
      <c r="C67" s="36"/>
      <c r="D67" s="2"/>
      <c r="E67" s="2"/>
      <c r="F67" s="5"/>
      <c r="G67" s="2"/>
      <c r="H67" s="2"/>
      <c r="I67" s="2"/>
      <c r="J67" s="5"/>
      <c r="K67" s="2"/>
      <c r="L67" s="2"/>
      <c r="M67" s="2"/>
      <c r="N67" s="5"/>
      <c r="O67" s="36"/>
      <c r="P67" s="2"/>
      <c r="Q67" s="2"/>
      <c r="R67" s="5"/>
      <c r="S67" s="2"/>
      <c r="T67" s="2"/>
      <c r="U67" s="2"/>
      <c r="V67" s="5"/>
      <c r="W67" s="2"/>
      <c r="X67" s="2"/>
      <c r="Y67" s="2"/>
      <c r="Z67" s="5"/>
    </row>
    <row r="68" spans="1:26" s="63" customFormat="1" ht="15" customHeight="1" x14ac:dyDescent="0.3">
      <c r="A68" s="13"/>
      <c r="B68" s="28" t="s">
        <v>291</v>
      </c>
      <c r="C68" s="13"/>
      <c r="D68" s="8">
        <f>SUM(0)</f>
        <v>0</v>
      </c>
      <c r="E68" s="8"/>
      <c r="F68" s="14">
        <f>IF(D$12=0,0,D68/D$12)</f>
        <v>0</v>
      </c>
      <c r="G68" s="8"/>
      <c r="H68" s="8">
        <f>SUM(0)</f>
        <v>0</v>
      </c>
      <c r="I68" s="8"/>
      <c r="J68" s="14">
        <f>IF(H$12=0,0,H68/H$12)</f>
        <v>0</v>
      </c>
      <c r="K68" s="8"/>
      <c r="L68" s="8">
        <f>+D68-H68</f>
        <v>0</v>
      </c>
      <c r="M68" s="8"/>
      <c r="N68" s="14">
        <f>IF(H68=0,0,L68/H68)</f>
        <v>0</v>
      </c>
      <c r="O68" s="13"/>
      <c r="P68" s="8">
        <f>SUM(0)</f>
        <v>0</v>
      </c>
      <c r="Q68" s="8"/>
      <c r="R68" s="14">
        <f>IF(P$12=0,0,P68/P$12)</f>
        <v>0</v>
      </c>
      <c r="S68" s="8"/>
      <c r="T68" s="8">
        <f>SUM(0)</f>
        <v>0</v>
      </c>
      <c r="U68" s="8"/>
      <c r="V68" s="14">
        <f>IF(T$12=0,0,T68/T$12)</f>
        <v>0</v>
      </c>
      <c r="W68" s="8"/>
      <c r="X68" s="8">
        <f>+P68-T68</f>
        <v>0</v>
      </c>
      <c r="Y68" s="8"/>
      <c r="Z68" s="14">
        <f>IF(T68=0,0,X68/T68)</f>
        <v>0</v>
      </c>
    </row>
    <row r="69" spans="1:26" ht="15" customHeight="1" x14ac:dyDescent="0.3">
      <c r="A69" s="12"/>
      <c r="B69" s="13"/>
      <c r="C69" s="13"/>
      <c r="D69" s="4"/>
      <c r="E69" s="4"/>
      <c r="F69" s="10"/>
      <c r="G69" s="4"/>
      <c r="H69" s="4"/>
      <c r="I69" s="4"/>
      <c r="J69" s="10"/>
      <c r="K69" s="4"/>
      <c r="L69" s="4"/>
      <c r="M69" s="4"/>
      <c r="N69" s="10"/>
      <c r="O69" s="13"/>
      <c r="P69" s="4"/>
      <c r="Q69" s="4"/>
      <c r="R69" s="10"/>
      <c r="S69" s="4"/>
      <c r="T69" s="4"/>
      <c r="U69" s="4"/>
      <c r="V69" s="10"/>
      <c r="W69" s="4"/>
      <c r="X69" s="4"/>
      <c r="Y69" s="4"/>
      <c r="Z69" s="10"/>
    </row>
    <row r="70" spans="1:26" s="63" customFormat="1" ht="15" customHeight="1" x14ac:dyDescent="0.3">
      <c r="A70" s="13"/>
      <c r="B70" s="27" t="s">
        <v>292</v>
      </c>
      <c r="C70" s="27"/>
      <c r="D70" s="23">
        <f>+D16-D18+D68</f>
        <v>-41416.729999999996</v>
      </c>
      <c r="E70" s="15"/>
      <c r="F70" s="22">
        <f>IF(D$12=0,0,D70/D$12)</f>
        <v>0</v>
      </c>
      <c r="G70" s="15"/>
      <c r="H70" s="23">
        <f>+H16-H18+H68</f>
        <v>-36732.855608307676</v>
      </c>
      <c r="I70" s="15"/>
      <c r="J70" s="22">
        <f>IF(H$12=0,0,H70/H$12)</f>
        <v>0</v>
      </c>
      <c r="K70" s="17"/>
      <c r="L70" s="23">
        <f>+D70-H70</f>
        <v>-4683.8743916923195</v>
      </c>
      <c r="M70" s="17"/>
      <c r="N70" s="22">
        <f>IF(H70=0,0,L70/H70)</f>
        <v>0.12751185047080826</v>
      </c>
      <c r="O70" s="28"/>
      <c r="P70" s="23">
        <f>+P16-P18+P68</f>
        <v>-525809.81000000017</v>
      </c>
      <c r="Q70" s="15"/>
      <c r="R70" s="22">
        <f>IF(P$12=0,0,P70/P$12)</f>
        <v>0</v>
      </c>
      <c r="S70" s="15"/>
      <c r="T70" s="23">
        <f>+T16-T18+T68</f>
        <v>-510088.22737199999</v>
      </c>
      <c r="U70" s="15"/>
      <c r="V70" s="22">
        <f>IF(T$12=0,0,T70/T$12)</f>
        <v>0</v>
      </c>
      <c r="W70" s="17"/>
      <c r="X70" s="23">
        <f>+P70-T70</f>
        <v>-15721.582628000178</v>
      </c>
      <c r="Y70" s="17"/>
      <c r="Z70" s="22">
        <f>IF(T70=0,0,X70/T70)</f>
        <v>3.0821300677725021E-2</v>
      </c>
    </row>
    <row r="71" spans="1:26" ht="15" customHeight="1" x14ac:dyDescent="0.3">
      <c r="A71" s="12"/>
      <c r="B71" s="13"/>
      <c r="C71" s="12"/>
      <c r="D71" s="4"/>
      <c r="E71" s="4"/>
      <c r="F71" s="10"/>
      <c r="G71" s="4"/>
      <c r="H71" s="4"/>
      <c r="I71" s="4"/>
      <c r="J71" s="10"/>
      <c r="K71" s="4"/>
      <c r="L71" s="4"/>
      <c r="M71" s="4"/>
      <c r="N71" s="10"/>
      <c r="P71" s="4"/>
      <c r="Q71" s="4"/>
      <c r="R71" s="10"/>
      <c r="S71" s="4"/>
      <c r="T71" s="4"/>
      <c r="U71" s="4"/>
      <c r="V71" s="10"/>
      <c r="W71" s="4"/>
      <c r="X71" s="4"/>
      <c r="Y71" s="4"/>
      <c r="Z71" s="10"/>
    </row>
    <row r="72" spans="1:26" s="63" customFormat="1" ht="15" customHeight="1" x14ac:dyDescent="0.3">
      <c r="A72" s="49"/>
      <c r="B72" s="13" t="s">
        <v>293</v>
      </c>
      <c r="C72" s="13"/>
      <c r="D72" s="8"/>
      <c r="E72" s="8"/>
      <c r="F72" s="14">
        <f>IF(D$12=0,0,D72/D$12)</f>
        <v>0</v>
      </c>
      <c r="G72" s="8"/>
      <c r="H72" s="8"/>
      <c r="I72" s="8"/>
      <c r="J72" s="14">
        <f>IF(H$12=0,0,H72/H$12)</f>
        <v>0</v>
      </c>
      <c r="K72" s="8"/>
      <c r="L72" s="8">
        <f>+D72-H72</f>
        <v>0</v>
      </c>
      <c r="M72" s="8"/>
      <c r="N72" s="14">
        <f>IF(H72=0,0,L72/H72)</f>
        <v>0</v>
      </c>
      <c r="O72" s="13"/>
      <c r="P72" s="8"/>
      <c r="Q72" s="8"/>
      <c r="R72" s="14">
        <f>IF(P$12=0,0,P72/P$12)</f>
        <v>0</v>
      </c>
      <c r="S72" s="8"/>
      <c r="T72" s="8"/>
      <c r="U72" s="8"/>
      <c r="V72" s="14">
        <f>IF(T$12=0,0,T72/T$12)</f>
        <v>0</v>
      </c>
      <c r="W72" s="8"/>
      <c r="X72" s="8">
        <f>+P72-T72</f>
        <v>0</v>
      </c>
      <c r="Y72" s="8"/>
      <c r="Z72" s="14">
        <f>IF(T72=0,0,X72/T72)</f>
        <v>0</v>
      </c>
    </row>
    <row r="73" spans="1:26" ht="15" customHeight="1" x14ac:dyDescent="0.3">
      <c r="A73" s="12"/>
      <c r="B73" s="13"/>
      <c r="C73" s="13"/>
      <c r="D73" s="4"/>
      <c r="E73" s="4"/>
      <c r="F73" s="10"/>
      <c r="G73" s="4"/>
      <c r="H73" s="4"/>
      <c r="I73" s="4"/>
      <c r="J73" s="10"/>
      <c r="K73" s="4"/>
      <c r="L73" s="4"/>
      <c r="M73" s="4"/>
      <c r="N73" s="10"/>
      <c r="O73" s="13"/>
      <c r="P73" s="4"/>
      <c r="Q73" s="4"/>
      <c r="R73" s="10"/>
      <c r="S73" s="4"/>
      <c r="T73" s="4"/>
      <c r="U73" s="4"/>
      <c r="V73" s="10"/>
      <c r="W73" s="4"/>
      <c r="X73" s="4"/>
      <c r="Y73" s="4"/>
      <c r="Z73" s="10"/>
    </row>
    <row r="74" spans="1:26" s="63" customFormat="1" ht="15" customHeight="1" x14ac:dyDescent="0.3">
      <c r="A74" s="13"/>
      <c r="B74" s="27" t="s">
        <v>294</v>
      </c>
      <c r="C74" s="27"/>
      <c r="D74" s="30">
        <f>+D70-D72</f>
        <v>-41416.729999999996</v>
      </c>
      <c r="E74" s="15"/>
      <c r="F74" s="35">
        <f>IF(D$12=0,0,D74/D$12)</f>
        <v>0</v>
      </c>
      <c r="G74" s="15"/>
      <c r="H74" s="30">
        <f>+H70-H72</f>
        <v>-36732.855608307676</v>
      </c>
      <c r="I74" s="15"/>
      <c r="J74" s="35">
        <f>IF(H$12=0,0,H74/H$12)</f>
        <v>0</v>
      </c>
      <c r="K74" s="17"/>
      <c r="L74" s="30">
        <f>D74-H74</f>
        <v>-4683.8743916923195</v>
      </c>
      <c r="M74" s="17"/>
      <c r="N74" s="35">
        <f>IF(H74=0,0,L74/H74)</f>
        <v>0.12751185047080826</v>
      </c>
      <c r="O74" s="28"/>
      <c r="P74" s="30">
        <f>+P70-P72</f>
        <v>-525809.81000000017</v>
      </c>
      <c r="Q74" s="15"/>
      <c r="R74" s="35">
        <f>IF(P$12=0,0,P74/P$12)</f>
        <v>0</v>
      </c>
      <c r="S74" s="15"/>
      <c r="T74" s="30">
        <f>+T70-T72</f>
        <v>-510088.22737199999</v>
      </c>
      <c r="U74" s="15"/>
      <c r="V74" s="35">
        <f>IF(T$12=0,0,T74/T$12)</f>
        <v>0</v>
      </c>
      <c r="W74" s="17"/>
      <c r="X74" s="30">
        <f>P74-T74</f>
        <v>-15721.582628000178</v>
      </c>
      <c r="Y74" s="17"/>
      <c r="Z74" s="35">
        <f>IF(T74=0,0,X74/T74)</f>
        <v>3.0821300677725021E-2</v>
      </c>
    </row>
    <row r="75" spans="1:26" ht="15" customHeight="1" x14ac:dyDescent="0.3">
      <c r="A75" s="12"/>
      <c r="B75" s="12"/>
      <c r="C75" s="12"/>
      <c r="D75" s="4"/>
      <c r="E75" s="4"/>
      <c r="F75" s="10"/>
      <c r="G75" s="4"/>
      <c r="H75" s="4"/>
      <c r="I75" s="4"/>
      <c r="J75" s="10"/>
      <c r="K75" s="4"/>
      <c r="L75" s="4"/>
      <c r="M75" s="4"/>
      <c r="N75" s="10"/>
      <c r="P75" s="4"/>
      <c r="Q75" s="4"/>
      <c r="R75" s="10"/>
      <c r="S75" s="4"/>
      <c r="T75" s="4"/>
      <c r="U75" s="4"/>
      <c r="V75" s="10"/>
      <c r="W75" s="4"/>
      <c r="X75" s="4"/>
      <c r="Y75" s="4"/>
      <c r="Z75" s="10"/>
    </row>
    <row r="76" spans="1:26" ht="15" customHeight="1" x14ac:dyDescent="0.3">
      <c r="A76" s="12"/>
      <c r="B76" s="12"/>
      <c r="C76" s="12"/>
      <c r="D76" s="4"/>
      <c r="E76" s="4"/>
      <c r="F76" s="10"/>
      <c r="G76" s="4"/>
      <c r="H76" s="4"/>
      <c r="I76" s="4"/>
      <c r="J76" s="10"/>
      <c r="K76" s="4"/>
      <c r="L76" s="4"/>
      <c r="M76" s="4"/>
      <c r="N76" s="10"/>
      <c r="P76" s="4"/>
      <c r="Q76" s="4"/>
      <c r="R76" s="10"/>
      <c r="S76" s="4"/>
      <c r="T76" s="4"/>
      <c r="U76" s="4"/>
      <c r="V76" s="10"/>
      <c r="W76" s="4"/>
      <c r="X76" s="4"/>
      <c r="Y76" s="4"/>
      <c r="Z76" s="10"/>
    </row>
    <row r="77" spans="1:26" s="63" customFormat="1" ht="15" customHeight="1" x14ac:dyDescent="0.3">
      <c r="A77" s="13"/>
      <c r="B77" s="27" t="s">
        <v>297</v>
      </c>
      <c r="C77" s="27"/>
      <c r="D77" s="33">
        <f>SUM(D74:D76)</f>
        <v>-41416.729999999996</v>
      </c>
      <c r="E77" s="15"/>
      <c r="F77" s="31">
        <f>IF(D$12=0,0,D77/D$12)</f>
        <v>0</v>
      </c>
      <c r="G77" s="15"/>
      <c r="H77" s="33">
        <f>SUM(H74:H76)</f>
        <v>-36732.855608307676</v>
      </c>
      <c r="I77" s="15"/>
      <c r="J77" s="31">
        <f>IF(H$12=0,0,H77/H$12)</f>
        <v>0</v>
      </c>
      <c r="K77" s="17"/>
      <c r="L77" s="33">
        <f>+D77-H77</f>
        <v>-4683.8743916923195</v>
      </c>
      <c r="M77" s="17"/>
      <c r="N77" s="31">
        <f>IF(H77=0,0,L77/H77)</f>
        <v>0.12751185047080826</v>
      </c>
      <c r="O77" s="28"/>
      <c r="P77" s="33">
        <f>SUM(P74:P76)</f>
        <v>-525809.81000000017</v>
      </c>
      <c r="Q77" s="15"/>
      <c r="R77" s="31">
        <f>IF(P$12=0,0,P77/P$12)</f>
        <v>0</v>
      </c>
      <c r="S77" s="15"/>
      <c r="T77" s="33">
        <f>SUM(T74:T76)</f>
        <v>-510088.22737199999</v>
      </c>
      <c r="U77" s="15"/>
      <c r="V77" s="31">
        <f>IF(T$12=0,0,T77/T$12)</f>
        <v>0</v>
      </c>
      <c r="W77" s="17"/>
      <c r="X77" s="33">
        <f>+P77-T77</f>
        <v>-15721.582628000178</v>
      </c>
      <c r="Y77" s="17"/>
      <c r="Z77" s="31">
        <f>IF(T77=0,0,X77/T77)</f>
        <v>3.0821300677725021E-2</v>
      </c>
    </row>
    <row r="78" spans="1:26" ht="15" customHeight="1" x14ac:dyDescent="0.3">
      <c r="A78" s="12"/>
      <c r="C78" s="12"/>
      <c r="D78" s="19"/>
      <c r="E78" s="19"/>
      <c r="G78" s="19"/>
      <c r="H78" s="19"/>
      <c r="I78" s="19"/>
      <c r="J78" s="41"/>
      <c r="K78" s="19"/>
      <c r="L78" s="19"/>
      <c r="M78" s="19"/>
      <c r="P78" s="19"/>
      <c r="Q78" s="19"/>
      <c r="R78" s="41"/>
      <c r="S78" s="19"/>
      <c r="T78" s="19"/>
      <c r="U78" s="19"/>
      <c r="V78" s="41"/>
      <c r="W78" s="19"/>
      <c r="X78" s="19"/>
    </row>
    <row r="79" spans="1:26" ht="15" customHeight="1" x14ac:dyDescent="0.3">
      <c r="A79" s="12"/>
      <c r="B79" s="50">
        <v>44767.799547766204</v>
      </c>
      <c r="D79" s="19"/>
      <c r="E79" s="19"/>
      <c r="G79" s="19"/>
      <c r="H79" s="19"/>
      <c r="I79" s="19"/>
      <c r="J79" s="41"/>
      <c r="K79" s="19"/>
      <c r="L79" s="19"/>
      <c r="M79" s="19"/>
      <c r="P79" s="19"/>
      <c r="Q79" s="19"/>
      <c r="R79" s="41"/>
      <c r="S79" s="19"/>
      <c r="T79" s="19"/>
      <c r="U79" s="19"/>
      <c r="V79" s="41"/>
      <c r="W79" s="19"/>
      <c r="X79" s="19"/>
    </row>
    <row r="80" spans="1:26" ht="15" customHeight="1" x14ac:dyDescent="0.3">
      <c r="A80" s="12"/>
      <c r="B80" s="57" t="s">
        <v>298</v>
      </c>
      <c r="D80" s="19"/>
      <c r="E80" s="19"/>
      <c r="G80" s="19"/>
      <c r="H80" s="19"/>
      <c r="I80" s="19"/>
      <c r="J80" s="41"/>
      <c r="K80" s="19"/>
      <c r="L80" s="19"/>
      <c r="M80" s="19"/>
      <c r="P80" s="19"/>
      <c r="Q80" s="19"/>
      <c r="R80" s="41"/>
      <c r="S80" s="19"/>
      <c r="T80" s="19"/>
      <c r="U80" s="19"/>
      <c r="V80" s="41"/>
      <c r="W80" s="19"/>
      <c r="X80" s="19"/>
    </row>
    <row r="81" spans="1:24" ht="15" customHeight="1" x14ac:dyDescent="0.3">
      <c r="A81" s="12"/>
      <c r="B81" s="51"/>
      <c r="D81" s="19"/>
      <c r="E81" s="19"/>
      <c r="G81" s="19"/>
      <c r="H81" s="19"/>
      <c r="I81" s="19"/>
      <c r="J81" s="41"/>
      <c r="K81" s="19"/>
      <c r="L81" s="19"/>
      <c r="M81" s="19"/>
      <c r="P81" s="19"/>
      <c r="Q81" s="19"/>
      <c r="R81" s="41"/>
      <c r="S81" s="19"/>
      <c r="T81" s="19"/>
      <c r="U81" s="19"/>
      <c r="V81" s="41"/>
      <c r="W81" s="19"/>
      <c r="X81" s="19"/>
    </row>
    <row r="82" spans="1:24" ht="15" customHeight="1" x14ac:dyDescent="0.3">
      <c r="D82" s="19"/>
      <c r="E82" s="19"/>
      <c r="G82" s="19"/>
      <c r="H82" s="19"/>
      <c r="I82" s="19"/>
      <c r="J82" s="41"/>
      <c r="K82" s="19"/>
      <c r="L82" s="19"/>
      <c r="M82" s="19"/>
      <c r="P82" s="19"/>
      <c r="Q82" s="19"/>
      <c r="R82" s="41"/>
      <c r="S82" s="19"/>
      <c r="T82" s="19"/>
      <c r="U82" s="19"/>
      <c r="V82" s="41"/>
      <c r="W82" s="19"/>
      <c r="X82" s="19"/>
    </row>
  </sheetData>
  <pageMargins left="0.25" right="0.25" top="0.75" bottom="0.75" header="0.3" footer="0.3"/>
  <pageSetup scale="55" orientation="landscape" r:id="rId1"/>
  <headerFooter>
    <oddHeader>&amp;RPre-Audit</oddHeader>
    <oddFooter>&amp;L&amp;C&amp;R</oddFooter>
    <evenHeader>&amp;L&amp;C&amp;R</evenHeader>
    <evenFooter>&amp;L&amp;C&amp;R</even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58</vt:i4>
      </vt:variant>
      <vt:variant>
        <vt:lpstr>Named Ranges</vt:lpstr>
      </vt:variant>
      <vt:variant>
        <vt:i4>3636</vt:i4>
      </vt:variant>
    </vt:vector>
  </HeadingPairs>
  <TitlesOfParts>
    <vt:vector size="3694" baseType="lpstr">
      <vt:lpstr>Interface</vt:lpstr>
      <vt:lpstr>DataSetting</vt:lpstr>
      <vt:lpstr>Summary</vt:lpstr>
      <vt:lpstr>Div 1</vt:lpstr>
      <vt:lpstr>100</vt:lpstr>
      <vt:lpstr>Div 2</vt:lpstr>
      <vt:lpstr>200</vt:lpstr>
      <vt:lpstr>201</vt:lpstr>
      <vt:lpstr>202</vt:lpstr>
      <vt:lpstr>203</vt:lpstr>
      <vt:lpstr>204</vt:lpstr>
      <vt:lpstr>205</vt:lpstr>
      <vt:lpstr>206</vt:lpstr>
      <vt:lpstr>Div 3</vt:lpstr>
      <vt:lpstr>300</vt:lpstr>
      <vt:lpstr>300 &amp; 317</vt:lpstr>
      <vt:lpstr>301</vt:lpstr>
      <vt:lpstr>308</vt:lpstr>
      <vt:lpstr>311</vt:lpstr>
      <vt:lpstr>324</vt:lpstr>
      <vt:lpstr>333</vt:lpstr>
      <vt:lpstr>307</vt:lpstr>
      <vt:lpstr>331</vt:lpstr>
      <vt:lpstr>315</vt:lpstr>
      <vt:lpstr>326</vt:lpstr>
      <vt:lpstr>332</vt:lpstr>
      <vt:lpstr>316</vt:lpstr>
      <vt:lpstr>Div 6</vt:lpstr>
      <vt:lpstr>317</vt:lpstr>
      <vt:lpstr>320</vt:lpstr>
      <vt:lpstr>310</vt:lpstr>
      <vt:lpstr>309</vt:lpstr>
      <vt:lpstr>321</vt:lpstr>
      <vt:lpstr>325</vt:lpstr>
      <vt:lpstr>327</vt:lpstr>
      <vt:lpstr>Div 4</vt:lpstr>
      <vt:lpstr>310 &amp; 491</vt:lpstr>
      <vt:lpstr>491</vt:lpstr>
      <vt:lpstr>405</vt:lpstr>
      <vt:lpstr>406</vt:lpstr>
      <vt:lpstr>411</vt:lpstr>
      <vt:lpstr>412</vt:lpstr>
      <vt:lpstr>413</vt:lpstr>
      <vt:lpstr>414</vt:lpstr>
      <vt:lpstr>415</vt:lpstr>
      <vt:lpstr>418</vt:lpstr>
      <vt:lpstr>423</vt:lpstr>
      <vt:lpstr>424</vt:lpstr>
      <vt:lpstr>425</vt:lpstr>
      <vt:lpstr>492</vt:lpstr>
      <vt:lpstr>430</vt:lpstr>
      <vt:lpstr>433</vt:lpstr>
      <vt:lpstr>435</vt:lpstr>
      <vt:lpstr>444</vt:lpstr>
      <vt:lpstr>450</vt:lpstr>
      <vt:lpstr>Div 5</vt:lpstr>
      <vt:lpstr>501</vt:lpstr>
      <vt:lpstr>Dept</vt:lpstr>
      <vt:lpstr>'300'!OSRRefD13x_0</vt:lpstr>
      <vt:lpstr>'300 &amp; 317'!OSRRefD13x_0</vt:lpstr>
      <vt:lpstr>'307'!OSRRefD13x_0</vt:lpstr>
      <vt:lpstr>'308'!OSRRefD13x_0</vt:lpstr>
      <vt:lpstr>'309'!OSRRefD13x_0</vt:lpstr>
      <vt:lpstr>'310'!OSRRefD13x_0</vt:lpstr>
      <vt:lpstr>'310 &amp; 491'!OSRRefD13x_0</vt:lpstr>
      <vt:lpstr>'311'!OSRRefD13x_0</vt:lpstr>
      <vt:lpstr>'315'!OSRRefD13x_0</vt:lpstr>
      <vt:lpstr>'316'!OSRRefD13x_0</vt:lpstr>
      <vt:lpstr>'317'!OSRRefD13x_0</vt:lpstr>
      <vt:lpstr>'321'!OSRRefD13x_0</vt:lpstr>
      <vt:lpstr>'324'!OSRRefD13x_0</vt:lpstr>
      <vt:lpstr>'325'!OSRRefD13x_0</vt:lpstr>
      <vt:lpstr>'326'!OSRRefD13x_0</vt:lpstr>
      <vt:lpstr>'327'!OSRRefD13x_0</vt:lpstr>
      <vt:lpstr>'331'!OSRRefD13x_0</vt:lpstr>
      <vt:lpstr>'332'!OSRRefD13x_0</vt:lpstr>
      <vt:lpstr>'333'!OSRRefD13x_0</vt:lpstr>
      <vt:lpstr>'405'!OSRRefD13x_0</vt:lpstr>
      <vt:lpstr>'415'!OSRRefD13x_0</vt:lpstr>
      <vt:lpstr>'418'!OSRRefD13x_0</vt:lpstr>
      <vt:lpstr>'425'!OSRRefD13x_0</vt:lpstr>
      <vt:lpstr>'433'!OSRRefD13x_0</vt:lpstr>
      <vt:lpstr>'435'!OSRRefD13x_0</vt:lpstr>
      <vt:lpstr>'444'!OSRRefD13x_0</vt:lpstr>
      <vt:lpstr>'450'!OSRRefD13x_0</vt:lpstr>
      <vt:lpstr>'491'!OSRRefD13x_0</vt:lpstr>
      <vt:lpstr>'492'!OSRRefD13x_0</vt:lpstr>
      <vt:lpstr>'501'!OSRRefD13x_0</vt:lpstr>
      <vt:lpstr>'Div 3'!OSRRefD13x_0</vt:lpstr>
      <vt:lpstr>'Div 4'!OSRRefD13x_0</vt:lpstr>
      <vt:lpstr>'Div 5'!OSRRefD13x_0</vt:lpstr>
      <vt:lpstr>'Div 6'!OSRRefD13x_0</vt:lpstr>
      <vt:lpstr>Summary!OSRRefD13x_0</vt:lpstr>
      <vt:lpstr>'300'!OSRRefD16x_0</vt:lpstr>
      <vt:lpstr>'300 &amp; 317'!OSRRefD16x_0</vt:lpstr>
      <vt:lpstr>'301'!OSRRefD16x_0</vt:lpstr>
      <vt:lpstr>'307'!OSRRefD16x_0</vt:lpstr>
      <vt:lpstr>'308'!OSRRefD16x_0</vt:lpstr>
      <vt:lpstr>'309'!OSRRefD16x_0</vt:lpstr>
      <vt:lpstr>'310'!OSRRefD16x_0</vt:lpstr>
      <vt:lpstr>'310 &amp; 491'!OSRRefD16x_0</vt:lpstr>
      <vt:lpstr>'311'!OSRRefD16x_0</vt:lpstr>
      <vt:lpstr>'315'!OSRRefD16x_0</vt:lpstr>
      <vt:lpstr>'316'!OSRRefD16x_0</vt:lpstr>
      <vt:lpstr>'317'!OSRRefD16x_0</vt:lpstr>
      <vt:lpstr>'321'!OSRRefD16x_0</vt:lpstr>
      <vt:lpstr>'324'!OSRRefD16x_0</vt:lpstr>
      <vt:lpstr>'325'!OSRRefD16x_0</vt:lpstr>
      <vt:lpstr>'326'!OSRRefD16x_0</vt:lpstr>
      <vt:lpstr>'327'!OSRRefD16x_0</vt:lpstr>
      <vt:lpstr>'331'!OSRRefD16x_0</vt:lpstr>
      <vt:lpstr>'332'!OSRRefD16x_0</vt:lpstr>
      <vt:lpstr>'333'!OSRRefD16x_0</vt:lpstr>
      <vt:lpstr>'405'!OSRRefD16x_0</vt:lpstr>
      <vt:lpstr>'412'!OSRRefD16x_0</vt:lpstr>
      <vt:lpstr>'415'!OSRRefD16x_0</vt:lpstr>
      <vt:lpstr>'418'!OSRRefD16x_0</vt:lpstr>
      <vt:lpstr>'424'!OSRRefD16x_0</vt:lpstr>
      <vt:lpstr>'425'!OSRRefD16x_0</vt:lpstr>
      <vt:lpstr>'433'!OSRRefD16x_0</vt:lpstr>
      <vt:lpstr>'435'!OSRRefD16x_0</vt:lpstr>
      <vt:lpstr>'444'!OSRRefD16x_0</vt:lpstr>
      <vt:lpstr>'450'!OSRRefD16x_0</vt:lpstr>
      <vt:lpstr>'491'!OSRRefD16x_0</vt:lpstr>
      <vt:lpstr>'492'!OSRRefD16x_0</vt:lpstr>
      <vt:lpstr>'Div 3'!OSRRefD16x_0</vt:lpstr>
      <vt:lpstr>'Div 4'!OSRRefD16x_0</vt:lpstr>
      <vt:lpstr>'Div 6'!OSRRefD16x_0</vt:lpstr>
      <vt:lpstr>Summary!OSRRefD16x_0</vt:lpstr>
      <vt:lpstr>'200'!OSRRefD22_0x_0</vt:lpstr>
      <vt:lpstr>'201'!OSRRefD22_0x_0</vt:lpstr>
      <vt:lpstr>'202'!OSRRefD22_0x_0</vt:lpstr>
      <vt:lpstr>'203'!OSRRefD22_0x_0</vt:lpstr>
      <vt:lpstr>'204'!OSRRefD22_0x_0</vt:lpstr>
      <vt:lpstr>'205'!OSRRefD22_0x_0</vt:lpstr>
      <vt:lpstr>'206'!OSRRefD22_0x_0</vt:lpstr>
      <vt:lpstr>'300'!OSRRefD22_0x_0</vt:lpstr>
      <vt:lpstr>'300 &amp; 317'!OSRRefD22_0x_0</vt:lpstr>
      <vt:lpstr>'301'!OSRRefD22_0x_0</vt:lpstr>
      <vt:lpstr>'307'!OSRRefD22_0x_0</vt:lpstr>
      <vt:lpstr>'308'!OSRRefD22_0x_0</vt:lpstr>
      <vt:lpstr>'309'!OSRRefD22_0x_0</vt:lpstr>
      <vt:lpstr>'310'!OSRRefD22_0x_0</vt:lpstr>
      <vt:lpstr>'310 &amp; 491'!OSRRefD22_0x_0</vt:lpstr>
      <vt:lpstr>'311'!OSRRefD22_0x_0</vt:lpstr>
      <vt:lpstr>'315'!OSRRefD22_0x_0</vt:lpstr>
      <vt:lpstr>'316'!OSRRefD22_0x_0</vt:lpstr>
      <vt:lpstr>'317'!OSRRefD22_0x_0</vt:lpstr>
      <vt:lpstr>'321'!OSRRefD22_0x_0</vt:lpstr>
      <vt:lpstr>'325'!OSRRefD22_0x_0</vt:lpstr>
      <vt:lpstr>'326'!OSRRefD22_0x_0</vt:lpstr>
      <vt:lpstr>'327'!OSRRefD22_0x_0</vt:lpstr>
      <vt:lpstr>'331'!OSRRefD22_0x_0</vt:lpstr>
      <vt:lpstr>'332'!OSRRefD22_0x_0</vt:lpstr>
      <vt:lpstr>'333'!OSRRefD22_0x_0</vt:lpstr>
      <vt:lpstr>'405'!OSRRefD22_0x_0</vt:lpstr>
      <vt:lpstr>'406'!OSRRefD22_0x_0</vt:lpstr>
      <vt:lpstr>'411'!OSRRefD22_0x_0</vt:lpstr>
      <vt:lpstr>'412'!OSRRefD22_0x_0</vt:lpstr>
      <vt:lpstr>'413'!OSRRefD22_0x_0</vt:lpstr>
      <vt:lpstr>'414'!OSRRefD22_0x_0</vt:lpstr>
      <vt:lpstr>'415'!OSRRefD22_0x_0</vt:lpstr>
      <vt:lpstr>'418'!OSRRefD22_0x_0</vt:lpstr>
      <vt:lpstr>'423'!OSRRefD22_0x_0</vt:lpstr>
      <vt:lpstr>'424'!OSRRefD22_0x_0</vt:lpstr>
      <vt:lpstr>'425'!OSRRefD22_0x_0</vt:lpstr>
      <vt:lpstr>'430'!OSRRefD22_0x_0</vt:lpstr>
      <vt:lpstr>'433'!OSRRefD22_0x_0</vt:lpstr>
      <vt:lpstr>'435'!OSRRefD22_0x_0</vt:lpstr>
      <vt:lpstr>'444'!OSRRefD22_0x_0</vt:lpstr>
      <vt:lpstr>'450'!OSRRefD22_0x_0</vt:lpstr>
      <vt:lpstr>'491'!OSRRefD22_0x_0</vt:lpstr>
      <vt:lpstr>'492'!OSRRefD22_0x_0</vt:lpstr>
      <vt:lpstr>'501'!OSRRefD22_0x_0</vt:lpstr>
      <vt:lpstr>'Div 2'!OSRRefD22_0x_0</vt:lpstr>
      <vt:lpstr>'Div 3'!OSRRefD22_0x_0</vt:lpstr>
      <vt:lpstr>'Div 4'!OSRRefD22_0x_0</vt:lpstr>
      <vt:lpstr>'Div 5'!OSRRefD22_0x_0</vt:lpstr>
      <vt:lpstr>'Div 6'!OSRRefD22_0x_0</vt:lpstr>
      <vt:lpstr>Summary!OSRRefD22_0x_0</vt:lpstr>
      <vt:lpstr>'201'!OSRRefD22_10x_0</vt:lpstr>
      <vt:lpstr>'202'!OSRRefD22_10x_0</vt:lpstr>
      <vt:lpstr>'203'!OSRRefD22_10x_0</vt:lpstr>
      <vt:lpstr>'204'!OSRRefD22_10x_0</vt:lpstr>
      <vt:lpstr>'300'!OSRRefD22_10x_0</vt:lpstr>
      <vt:lpstr>'300 &amp; 317'!OSRRefD22_10x_0</vt:lpstr>
      <vt:lpstr>'301'!OSRRefD22_10x_0</vt:lpstr>
      <vt:lpstr>'307'!OSRRefD22_10x_0</vt:lpstr>
      <vt:lpstr>'308'!OSRRefD22_10x_0</vt:lpstr>
      <vt:lpstr>'309'!OSRRefD22_10x_0</vt:lpstr>
      <vt:lpstr>'310'!OSRRefD22_10x_0</vt:lpstr>
      <vt:lpstr>'310 &amp; 491'!OSRRefD22_10x_0</vt:lpstr>
      <vt:lpstr>'311'!OSRRefD22_10x_0</vt:lpstr>
      <vt:lpstr>'315'!OSRRefD22_10x_0</vt:lpstr>
      <vt:lpstr>'316'!OSRRefD22_10x_0</vt:lpstr>
      <vt:lpstr>'317'!OSRRefD22_10x_0</vt:lpstr>
      <vt:lpstr>'321'!OSRRefD22_10x_0</vt:lpstr>
      <vt:lpstr>'325'!OSRRefD22_10x_0</vt:lpstr>
      <vt:lpstr>'326'!OSRRefD22_10x_0</vt:lpstr>
      <vt:lpstr>'331'!OSRRefD22_10x_0</vt:lpstr>
      <vt:lpstr>'332'!OSRRefD22_10x_0</vt:lpstr>
      <vt:lpstr>'333'!OSRRefD22_10x_0</vt:lpstr>
      <vt:lpstr>'405'!OSRRefD22_10x_0</vt:lpstr>
      <vt:lpstr>'411'!OSRRefD22_10x_0</vt:lpstr>
      <vt:lpstr>'415'!OSRRefD22_10x_0</vt:lpstr>
      <vt:lpstr>'418'!OSRRefD22_10x_0</vt:lpstr>
      <vt:lpstr>'433'!OSRRefD22_10x_0</vt:lpstr>
      <vt:lpstr>'444'!OSRRefD22_10x_0</vt:lpstr>
      <vt:lpstr>'450'!OSRRefD22_10x_0</vt:lpstr>
      <vt:lpstr>'491'!OSRRefD22_10x_0</vt:lpstr>
      <vt:lpstr>'492'!OSRRefD22_10x_0</vt:lpstr>
      <vt:lpstr>'501'!OSRRefD22_10x_0</vt:lpstr>
      <vt:lpstr>'Div 2'!OSRRefD22_10x_0</vt:lpstr>
      <vt:lpstr>'Div 3'!OSRRefD22_10x_0</vt:lpstr>
      <vt:lpstr>'Div 4'!OSRRefD22_10x_0</vt:lpstr>
      <vt:lpstr>'Div 5'!OSRRefD22_10x_0</vt:lpstr>
      <vt:lpstr>'Div 6'!OSRRefD22_10x_0</vt:lpstr>
      <vt:lpstr>Summary!OSRRefD22_10x_0</vt:lpstr>
      <vt:lpstr>'201'!OSRRefD22_11x_0</vt:lpstr>
      <vt:lpstr>'202'!OSRRefD22_11x_0</vt:lpstr>
      <vt:lpstr>'203'!OSRRefD22_11x_0</vt:lpstr>
      <vt:lpstr>'300'!OSRRefD22_11x_0</vt:lpstr>
      <vt:lpstr>'300 &amp; 317'!OSRRefD22_11x_0</vt:lpstr>
      <vt:lpstr>'301'!OSRRefD22_11x_0</vt:lpstr>
      <vt:lpstr>'307'!OSRRefD22_11x_0</vt:lpstr>
      <vt:lpstr>'308'!OSRRefD22_11x_0</vt:lpstr>
      <vt:lpstr>'309'!OSRRefD22_11x_0</vt:lpstr>
      <vt:lpstr>'310'!OSRRefD22_11x_0</vt:lpstr>
      <vt:lpstr>'310 &amp; 491'!OSRRefD22_11x_0</vt:lpstr>
      <vt:lpstr>'311'!OSRRefD22_11x_0</vt:lpstr>
      <vt:lpstr>'315'!OSRRefD22_11x_0</vt:lpstr>
      <vt:lpstr>'316'!OSRRefD22_11x_0</vt:lpstr>
      <vt:lpstr>'321'!OSRRefD22_11x_0</vt:lpstr>
      <vt:lpstr>'325'!OSRRefD22_11x_0</vt:lpstr>
      <vt:lpstr>'326'!OSRRefD22_11x_0</vt:lpstr>
      <vt:lpstr>'331'!OSRRefD22_11x_0</vt:lpstr>
      <vt:lpstr>'332'!OSRRefD22_11x_0</vt:lpstr>
      <vt:lpstr>'333'!OSRRefD22_11x_0</vt:lpstr>
      <vt:lpstr>'405'!OSRRefD22_11x_0</vt:lpstr>
      <vt:lpstr>'411'!OSRRefD22_11x_0</vt:lpstr>
      <vt:lpstr>'415'!OSRRefD22_11x_0</vt:lpstr>
      <vt:lpstr>'418'!OSRRefD22_11x_0</vt:lpstr>
      <vt:lpstr>'433'!OSRRefD22_11x_0</vt:lpstr>
      <vt:lpstr>'444'!OSRRefD22_11x_0</vt:lpstr>
      <vt:lpstr>'450'!OSRRefD22_11x_0</vt:lpstr>
      <vt:lpstr>'491'!OSRRefD22_11x_0</vt:lpstr>
      <vt:lpstr>'492'!OSRRefD22_11x_0</vt:lpstr>
      <vt:lpstr>'501'!OSRRefD22_11x_0</vt:lpstr>
      <vt:lpstr>'Div 2'!OSRRefD22_11x_0</vt:lpstr>
      <vt:lpstr>'Div 3'!OSRRefD22_11x_0</vt:lpstr>
      <vt:lpstr>'Div 4'!OSRRefD22_11x_0</vt:lpstr>
      <vt:lpstr>'Div 5'!OSRRefD22_11x_0</vt:lpstr>
      <vt:lpstr>Summary!OSRRefD22_11x_0</vt:lpstr>
      <vt:lpstr>'201'!OSRRefD22_12x_0</vt:lpstr>
      <vt:lpstr>'202'!OSRRefD22_12x_0</vt:lpstr>
      <vt:lpstr>'203'!OSRRefD22_12x_0</vt:lpstr>
      <vt:lpstr>'300'!OSRRefD22_12x_0</vt:lpstr>
      <vt:lpstr>'300 &amp; 317'!OSRRefD22_12x_0</vt:lpstr>
      <vt:lpstr>'301'!OSRRefD22_12x_0</vt:lpstr>
      <vt:lpstr>'307'!OSRRefD22_12x_0</vt:lpstr>
      <vt:lpstr>'308'!OSRRefD22_12x_0</vt:lpstr>
      <vt:lpstr>'309'!OSRRefD22_12x_0</vt:lpstr>
      <vt:lpstr>'310'!OSRRefD22_12x_0</vt:lpstr>
      <vt:lpstr>'310 &amp; 491'!OSRRefD22_12x_0</vt:lpstr>
      <vt:lpstr>'311'!OSRRefD22_12x_0</vt:lpstr>
      <vt:lpstr>'315'!OSRRefD22_12x_0</vt:lpstr>
      <vt:lpstr>'316'!OSRRefD22_12x_0</vt:lpstr>
      <vt:lpstr>'321'!OSRRefD22_12x_0</vt:lpstr>
      <vt:lpstr>'325'!OSRRefD22_12x_0</vt:lpstr>
      <vt:lpstr>'326'!OSRRefD22_12x_0</vt:lpstr>
      <vt:lpstr>'331'!OSRRefD22_12x_0</vt:lpstr>
      <vt:lpstr>'332'!OSRRefD22_12x_0</vt:lpstr>
      <vt:lpstr>'333'!OSRRefD22_12x_0</vt:lpstr>
      <vt:lpstr>'405'!OSRRefD22_12x_0</vt:lpstr>
      <vt:lpstr>'411'!OSRRefD22_12x_0</vt:lpstr>
      <vt:lpstr>'415'!OSRRefD22_12x_0</vt:lpstr>
      <vt:lpstr>'418'!OSRRefD22_12x_0</vt:lpstr>
      <vt:lpstr>'433'!OSRRefD22_12x_0</vt:lpstr>
      <vt:lpstr>'444'!OSRRefD22_12x_0</vt:lpstr>
      <vt:lpstr>'450'!OSRRefD22_12x_0</vt:lpstr>
      <vt:lpstr>'491'!OSRRefD22_12x_0</vt:lpstr>
      <vt:lpstr>'492'!OSRRefD22_12x_0</vt:lpstr>
      <vt:lpstr>'501'!OSRRefD22_12x_0</vt:lpstr>
      <vt:lpstr>'Div 2'!OSRRefD22_12x_0</vt:lpstr>
      <vt:lpstr>'Div 3'!OSRRefD22_12x_0</vt:lpstr>
      <vt:lpstr>'Div 4'!OSRRefD22_12x_0</vt:lpstr>
      <vt:lpstr>'Div 5'!OSRRefD22_12x_0</vt:lpstr>
      <vt:lpstr>Summary!OSRRefD22_12x_0</vt:lpstr>
      <vt:lpstr>'201'!OSRRefD22_13x_0</vt:lpstr>
      <vt:lpstr>'202'!OSRRefD22_13x_0</vt:lpstr>
      <vt:lpstr>'203'!OSRRefD22_13x_0</vt:lpstr>
      <vt:lpstr>'300'!OSRRefD22_13x_0</vt:lpstr>
      <vt:lpstr>'300 &amp; 317'!OSRRefD22_13x_0</vt:lpstr>
      <vt:lpstr>'301'!OSRRefD22_13x_0</vt:lpstr>
      <vt:lpstr>'307'!OSRRefD22_13x_0</vt:lpstr>
      <vt:lpstr>'308'!OSRRefD22_13x_0</vt:lpstr>
      <vt:lpstr>'310'!OSRRefD22_13x_0</vt:lpstr>
      <vt:lpstr>'310 &amp; 491'!OSRRefD22_13x_0</vt:lpstr>
      <vt:lpstr>'311'!OSRRefD22_13x_0</vt:lpstr>
      <vt:lpstr>'315'!OSRRefD22_13x_0</vt:lpstr>
      <vt:lpstr>'321'!OSRRefD22_13x_0</vt:lpstr>
      <vt:lpstr>'325'!OSRRefD22_13x_0</vt:lpstr>
      <vt:lpstr>'326'!OSRRefD22_13x_0</vt:lpstr>
      <vt:lpstr>'331'!OSRRefD22_13x_0</vt:lpstr>
      <vt:lpstr>'333'!OSRRefD22_13x_0</vt:lpstr>
      <vt:lpstr>'405'!OSRRefD22_13x_0</vt:lpstr>
      <vt:lpstr>'411'!OSRRefD22_13x_0</vt:lpstr>
      <vt:lpstr>'415'!OSRRefD22_13x_0</vt:lpstr>
      <vt:lpstr>'418'!OSRRefD22_13x_0</vt:lpstr>
      <vt:lpstr>'433'!OSRRefD22_13x_0</vt:lpstr>
      <vt:lpstr>'444'!OSRRefD22_13x_0</vt:lpstr>
      <vt:lpstr>'450'!OSRRefD22_13x_0</vt:lpstr>
      <vt:lpstr>'491'!OSRRefD22_13x_0</vt:lpstr>
      <vt:lpstr>'492'!OSRRefD22_13x_0</vt:lpstr>
      <vt:lpstr>'501'!OSRRefD22_13x_0</vt:lpstr>
      <vt:lpstr>'Div 2'!OSRRefD22_13x_0</vt:lpstr>
      <vt:lpstr>'Div 3'!OSRRefD22_13x_0</vt:lpstr>
      <vt:lpstr>'Div 4'!OSRRefD22_13x_0</vt:lpstr>
      <vt:lpstr>'Div 5'!OSRRefD22_13x_0</vt:lpstr>
      <vt:lpstr>Summary!OSRRefD22_13x_0</vt:lpstr>
      <vt:lpstr>'201'!OSRRefD22_14x_0</vt:lpstr>
      <vt:lpstr>'203'!OSRRefD22_14x_0</vt:lpstr>
      <vt:lpstr>'300'!OSRRefD22_14x_0</vt:lpstr>
      <vt:lpstr>'300 &amp; 317'!OSRRefD22_14x_0</vt:lpstr>
      <vt:lpstr>'301'!OSRRefD22_14x_0</vt:lpstr>
      <vt:lpstr>'310'!OSRRefD22_14x_0</vt:lpstr>
      <vt:lpstr>'310 &amp; 491'!OSRRefD22_14x_0</vt:lpstr>
      <vt:lpstr>'315'!OSRRefD22_14x_0</vt:lpstr>
      <vt:lpstr>'325'!OSRRefD22_14x_0</vt:lpstr>
      <vt:lpstr>'326'!OSRRefD22_14x_0</vt:lpstr>
      <vt:lpstr>'331'!OSRRefD22_14x_0</vt:lpstr>
      <vt:lpstr>'333'!OSRRefD22_14x_0</vt:lpstr>
      <vt:lpstr>'405'!OSRRefD22_14x_0</vt:lpstr>
      <vt:lpstr>'411'!OSRRefD22_14x_0</vt:lpstr>
      <vt:lpstr>'415'!OSRRefD22_14x_0</vt:lpstr>
      <vt:lpstr>'418'!OSRRefD22_14x_0</vt:lpstr>
      <vt:lpstr>'433'!OSRRefD22_14x_0</vt:lpstr>
      <vt:lpstr>'444'!OSRRefD22_14x_0</vt:lpstr>
      <vt:lpstr>'450'!OSRRefD22_14x_0</vt:lpstr>
      <vt:lpstr>'491'!OSRRefD22_14x_0</vt:lpstr>
      <vt:lpstr>'492'!OSRRefD22_14x_0</vt:lpstr>
      <vt:lpstr>'Div 2'!OSRRefD22_14x_0</vt:lpstr>
      <vt:lpstr>'Div 3'!OSRRefD22_14x_0</vt:lpstr>
      <vt:lpstr>'Div 4'!OSRRefD22_14x_0</vt:lpstr>
      <vt:lpstr>Summary!OSRRefD22_14x_0</vt:lpstr>
      <vt:lpstr>'201'!OSRRefD22_15x_0</vt:lpstr>
      <vt:lpstr>'300'!OSRRefD22_15x_0</vt:lpstr>
      <vt:lpstr>'300 &amp; 317'!OSRRefD22_15x_0</vt:lpstr>
      <vt:lpstr>'301'!OSRRefD22_15x_0</vt:lpstr>
      <vt:lpstr>'310'!OSRRefD22_15x_0</vt:lpstr>
      <vt:lpstr>'310 &amp; 491'!OSRRefD22_15x_0</vt:lpstr>
      <vt:lpstr>'315'!OSRRefD22_15x_0</vt:lpstr>
      <vt:lpstr>'325'!OSRRefD22_15x_0</vt:lpstr>
      <vt:lpstr>'326'!OSRRefD22_15x_0</vt:lpstr>
      <vt:lpstr>'331'!OSRRefD22_15x_0</vt:lpstr>
      <vt:lpstr>'333'!OSRRefD22_15x_0</vt:lpstr>
      <vt:lpstr>'405'!OSRRefD22_15x_0</vt:lpstr>
      <vt:lpstr>'411'!OSRRefD22_15x_0</vt:lpstr>
      <vt:lpstr>'415'!OSRRefD22_15x_0</vt:lpstr>
      <vt:lpstr>'418'!OSRRefD22_15x_0</vt:lpstr>
      <vt:lpstr>'433'!OSRRefD22_15x_0</vt:lpstr>
      <vt:lpstr>'444'!OSRRefD22_15x_0</vt:lpstr>
      <vt:lpstr>'450'!OSRRefD22_15x_0</vt:lpstr>
      <vt:lpstr>'491'!OSRRefD22_15x_0</vt:lpstr>
      <vt:lpstr>'492'!OSRRefD22_15x_0</vt:lpstr>
      <vt:lpstr>'Div 2'!OSRRefD22_15x_0</vt:lpstr>
      <vt:lpstr>'Div 3'!OSRRefD22_15x_0</vt:lpstr>
      <vt:lpstr>'Div 4'!OSRRefD22_15x_0</vt:lpstr>
      <vt:lpstr>Summary!OSRRefD22_15x_0</vt:lpstr>
      <vt:lpstr>'201'!OSRRefD22_16x_0</vt:lpstr>
      <vt:lpstr>'300'!OSRRefD22_16x_0</vt:lpstr>
      <vt:lpstr>'300 &amp; 317'!OSRRefD22_16x_0</vt:lpstr>
      <vt:lpstr>'301'!OSRRefD22_16x_0</vt:lpstr>
      <vt:lpstr>'310'!OSRRefD22_16x_0</vt:lpstr>
      <vt:lpstr>'310 &amp; 491'!OSRRefD22_16x_0</vt:lpstr>
      <vt:lpstr>'315'!OSRRefD22_16x_0</vt:lpstr>
      <vt:lpstr>'325'!OSRRefD22_16x_0</vt:lpstr>
      <vt:lpstr>'326'!OSRRefD22_16x_0</vt:lpstr>
      <vt:lpstr>'331'!OSRRefD22_16x_0</vt:lpstr>
      <vt:lpstr>'333'!OSRRefD22_16x_0</vt:lpstr>
      <vt:lpstr>'405'!OSRRefD22_16x_0</vt:lpstr>
      <vt:lpstr>'411'!OSRRefD22_16x_0</vt:lpstr>
      <vt:lpstr>'415'!OSRRefD22_16x_0</vt:lpstr>
      <vt:lpstr>'444'!OSRRefD22_16x_0</vt:lpstr>
      <vt:lpstr>'450'!OSRRefD22_16x_0</vt:lpstr>
      <vt:lpstr>'491'!OSRRefD22_16x_0</vt:lpstr>
      <vt:lpstr>'492'!OSRRefD22_16x_0</vt:lpstr>
      <vt:lpstr>'Div 2'!OSRRefD22_16x_0</vt:lpstr>
      <vt:lpstr>'Div 3'!OSRRefD22_16x_0</vt:lpstr>
      <vt:lpstr>'Div 4'!OSRRefD22_16x_0</vt:lpstr>
      <vt:lpstr>Summary!OSRRefD22_16x_0</vt:lpstr>
      <vt:lpstr>'300'!OSRRefD22_17x_0</vt:lpstr>
      <vt:lpstr>'300 &amp; 317'!OSRRefD22_17x_0</vt:lpstr>
      <vt:lpstr>'301'!OSRRefD22_17x_0</vt:lpstr>
      <vt:lpstr>'310'!OSRRefD22_17x_0</vt:lpstr>
      <vt:lpstr>'310 &amp; 491'!OSRRefD22_17x_0</vt:lpstr>
      <vt:lpstr>'315'!OSRRefD22_17x_0</vt:lpstr>
      <vt:lpstr>'326'!OSRRefD22_17x_0</vt:lpstr>
      <vt:lpstr>'331'!OSRRefD22_17x_0</vt:lpstr>
      <vt:lpstr>'333'!OSRRefD22_17x_0</vt:lpstr>
      <vt:lpstr>'415'!OSRRefD22_17x_0</vt:lpstr>
      <vt:lpstr>'491'!OSRRefD22_17x_0</vt:lpstr>
      <vt:lpstr>'492'!OSRRefD22_17x_0</vt:lpstr>
      <vt:lpstr>'Div 2'!OSRRefD22_17x_0</vt:lpstr>
      <vt:lpstr>'Div 3'!OSRRefD22_17x_0</vt:lpstr>
      <vt:lpstr>'Div 4'!OSRRefD22_17x_0</vt:lpstr>
      <vt:lpstr>Summary!OSRRefD22_17x_0</vt:lpstr>
      <vt:lpstr>'300'!OSRRefD22_18x_0</vt:lpstr>
      <vt:lpstr>'300 &amp; 317'!OSRRefD22_18x_0</vt:lpstr>
      <vt:lpstr>'301'!OSRRefD22_18x_0</vt:lpstr>
      <vt:lpstr>'310 &amp; 491'!OSRRefD22_18x_0</vt:lpstr>
      <vt:lpstr>'315'!OSRRefD22_18x_0</vt:lpstr>
      <vt:lpstr>'331'!OSRRefD22_18x_0</vt:lpstr>
      <vt:lpstr>'333'!OSRRefD22_18x_0</vt:lpstr>
      <vt:lpstr>'491'!OSRRefD22_18x_0</vt:lpstr>
      <vt:lpstr>'492'!OSRRefD22_18x_0</vt:lpstr>
      <vt:lpstr>'Div 2'!OSRRefD22_18x_0</vt:lpstr>
      <vt:lpstr>'Div 3'!OSRRefD22_18x_0</vt:lpstr>
      <vt:lpstr>'Div 4'!OSRRefD22_18x_0</vt:lpstr>
      <vt:lpstr>Summary!OSRRefD22_18x_0</vt:lpstr>
      <vt:lpstr>'300'!OSRRefD22_19x_0</vt:lpstr>
      <vt:lpstr>'300 &amp; 317'!OSRRefD22_19x_0</vt:lpstr>
      <vt:lpstr>'301'!OSRRefD22_19x_0</vt:lpstr>
      <vt:lpstr>'310 &amp; 491'!OSRRefD22_19x_0</vt:lpstr>
      <vt:lpstr>'331'!OSRRefD22_19x_0</vt:lpstr>
      <vt:lpstr>'333'!OSRRefD22_19x_0</vt:lpstr>
      <vt:lpstr>'491'!OSRRefD22_19x_0</vt:lpstr>
      <vt:lpstr>'Div 2'!OSRRefD22_19x_0</vt:lpstr>
      <vt:lpstr>'Div 3'!OSRRefD22_19x_0</vt:lpstr>
      <vt:lpstr>'Div 4'!OSRRefD22_19x_0</vt:lpstr>
      <vt:lpstr>Summary!OSRRefD22_19x_0</vt:lpstr>
      <vt:lpstr>'200'!OSRRefD22_1x_0</vt:lpstr>
      <vt:lpstr>'201'!OSRRefD22_1x_0</vt:lpstr>
      <vt:lpstr>'202'!OSRRefD22_1x_0</vt:lpstr>
      <vt:lpstr>'203'!OSRRefD22_1x_0</vt:lpstr>
      <vt:lpstr>'204'!OSRRefD22_1x_0</vt:lpstr>
      <vt:lpstr>'205'!OSRRefD22_1x_0</vt:lpstr>
      <vt:lpstr>'206'!OSRRefD22_1x_0</vt:lpstr>
      <vt:lpstr>'300'!OSRRefD22_1x_0</vt:lpstr>
      <vt:lpstr>'300 &amp; 317'!OSRRefD22_1x_0</vt:lpstr>
      <vt:lpstr>'301'!OSRRefD22_1x_0</vt:lpstr>
      <vt:lpstr>'307'!OSRRefD22_1x_0</vt:lpstr>
      <vt:lpstr>'308'!OSRRefD22_1x_0</vt:lpstr>
      <vt:lpstr>'309'!OSRRefD22_1x_0</vt:lpstr>
      <vt:lpstr>'310'!OSRRefD22_1x_0</vt:lpstr>
      <vt:lpstr>'310 &amp; 491'!OSRRefD22_1x_0</vt:lpstr>
      <vt:lpstr>'311'!OSRRefD22_1x_0</vt:lpstr>
      <vt:lpstr>'315'!OSRRefD22_1x_0</vt:lpstr>
      <vt:lpstr>'316'!OSRRefD22_1x_0</vt:lpstr>
      <vt:lpstr>'317'!OSRRefD22_1x_0</vt:lpstr>
      <vt:lpstr>'321'!OSRRefD22_1x_0</vt:lpstr>
      <vt:lpstr>'325'!OSRRefD22_1x_0</vt:lpstr>
      <vt:lpstr>'326'!OSRRefD22_1x_0</vt:lpstr>
      <vt:lpstr>'327'!OSRRefD22_1x_0</vt:lpstr>
      <vt:lpstr>'331'!OSRRefD22_1x_0</vt:lpstr>
      <vt:lpstr>'332'!OSRRefD22_1x_0</vt:lpstr>
      <vt:lpstr>'333'!OSRRefD22_1x_0</vt:lpstr>
      <vt:lpstr>'405'!OSRRefD22_1x_0</vt:lpstr>
      <vt:lpstr>'406'!OSRRefD22_1x_0</vt:lpstr>
      <vt:lpstr>'411'!OSRRefD22_1x_0</vt:lpstr>
      <vt:lpstr>'412'!OSRRefD22_1x_0</vt:lpstr>
      <vt:lpstr>'413'!OSRRefD22_1x_0</vt:lpstr>
      <vt:lpstr>'414'!OSRRefD22_1x_0</vt:lpstr>
      <vt:lpstr>'415'!OSRRefD22_1x_0</vt:lpstr>
      <vt:lpstr>'418'!OSRRefD22_1x_0</vt:lpstr>
      <vt:lpstr>'423'!OSRRefD22_1x_0</vt:lpstr>
      <vt:lpstr>'424'!OSRRefD22_1x_0</vt:lpstr>
      <vt:lpstr>'425'!OSRRefD22_1x_0</vt:lpstr>
      <vt:lpstr>'430'!OSRRefD22_1x_0</vt:lpstr>
      <vt:lpstr>'433'!OSRRefD22_1x_0</vt:lpstr>
      <vt:lpstr>'435'!OSRRefD22_1x_0</vt:lpstr>
      <vt:lpstr>'444'!OSRRefD22_1x_0</vt:lpstr>
      <vt:lpstr>'450'!OSRRefD22_1x_0</vt:lpstr>
      <vt:lpstr>'491'!OSRRefD22_1x_0</vt:lpstr>
      <vt:lpstr>'492'!OSRRefD22_1x_0</vt:lpstr>
      <vt:lpstr>'501'!OSRRefD22_1x_0</vt:lpstr>
      <vt:lpstr>'Div 2'!OSRRefD22_1x_0</vt:lpstr>
      <vt:lpstr>'Div 3'!OSRRefD22_1x_0</vt:lpstr>
      <vt:lpstr>'Div 4'!OSRRefD22_1x_0</vt:lpstr>
      <vt:lpstr>'Div 5'!OSRRefD22_1x_0</vt:lpstr>
      <vt:lpstr>'Div 6'!OSRRefD22_1x_0</vt:lpstr>
      <vt:lpstr>Summary!OSRRefD22_1x_0</vt:lpstr>
      <vt:lpstr>'300'!OSRRefD22_20x_0</vt:lpstr>
      <vt:lpstr>'300 &amp; 317'!OSRRefD22_20x_0</vt:lpstr>
      <vt:lpstr>'301'!OSRRefD22_20x_0</vt:lpstr>
      <vt:lpstr>'310 &amp; 491'!OSRRefD22_20x_0</vt:lpstr>
      <vt:lpstr>'331'!OSRRefD22_20x_0</vt:lpstr>
      <vt:lpstr>'333'!OSRRefD22_20x_0</vt:lpstr>
      <vt:lpstr>'491'!OSRRefD22_20x_0</vt:lpstr>
      <vt:lpstr>'Div 3'!OSRRefD22_20x_0</vt:lpstr>
      <vt:lpstr>'Div 4'!OSRRefD22_20x_0</vt:lpstr>
      <vt:lpstr>Summary!OSRRefD22_20x_0</vt:lpstr>
      <vt:lpstr>'300'!OSRRefD22_21x_0</vt:lpstr>
      <vt:lpstr>'300 &amp; 317'!OSRRefD22_21x_0</vt:lpstr>
      <vt:lpstr>'301'!OSRRefD22_21x_0</vt:lpstr>
      <vt:lpstr>'310 &amp; 491'!OSRRefD22_21x_0</vt:lpstr>
      <vt:lpstr>'331'!OSRRefD22_21x_0</vt:lpstr>
      <vt:lpstr>'333'!OSRRefD22_21x_0</vt:lpstr>
      <vt:lpstr>'491'!OSRRefD22_21x_0</vt:lpstr>
      <vt:lpstr>'Div 3'!OSRRefD22_21x_0</vt:lpstr>
      <vt:lpstr>'Div 4'!OSRRefD22_21x_0</vt:lpstr>
      <vt:lpstr>Summary!OSRRefD22_21x_0</vt:lpstr>
      <vt:lpstr>'300'!OSRRefD22_22x_0</vt:lpstr>
      <vt:lpstr>'300 &amp; 317'!OSRRefD22_22x_0</vt:lpstr>
      <vt:lpstr>'301'!OSRRefD22_22x_0</vt:lpstr>
      <vt:lpstr>'331'!OSRRefD22_22x_0</vt:lpstr>
      <vt:lpstr>'333'!OSRRefD22_22x_0</vt:lpstr>
      <vt:lpstr>'Div 3'!OSRRefD22_22x_0</vt:lpstr>
      <vt:lpstr>'Div 4'!OSRRefD22_22x_0</vt:lpstr>
      <vt:lpstr>Summary!OSRRefD22_22x_0</vt:lpstr>
      <vt:lpstr>'300'!OSRRefD22_23x_0</vt:lpstr>
      <vt:lpstr>'300 &amp; 317'!OSRRefD22_23x_0</vt:lpstr>
      <vt:lpstr>'Div 3'!OSRRefD22_23x_0</vt:lpstr>
      <vt:lpstr>'Div 4'!OSRRefD22_23x_0</vt:lpstr>
      <vt:lpstr>Summary!OSRRefD22_23x_0</vt:lpstr>
      <vt:lpstr>'300'!OSRRefD22_24x_0</vt:lpstr>
      <vt:lpstr>'300 &amp; 317'!OSRRefD22_24x_0</vt:lpstr>
      <vt:lpstr>'Div 3'!OSRRefD22_24x_0</vt:lpstr>
      <vt:lpstr>Summary!OSRRefD22_24x_0</vt:lpstr>
      <vt:lpstr>'Div 3'!OSRRefD22_25x_0</vt:lpstr>
      <vt:lpstr>Summary!OSRRefD22_25x_0</vt:lpstr>
      <vt:lpstr>Summary!OSRRefD22_26x_0</vt:lpstr>
      <vt:lpstr>'200'!OSRRefD22_2x_0</vt:lpstr>
      <vt:lpstr>'201'!OSRRefD22_2x_0</vt:lpstr>
      <vt:lpstr>'202'!OSRRefD22_2x_0</vt:lpstr>
      <vt:lpstr>'203'!OSRRefD22_2x_0</vt:lpstr>
      <vt:lpstr>'204'!OSRRefD22_2x_0</vt:lpstr>
      <vt:lpstr>'205'!OSRRefD22_2x_0</vt:lpstr>
      <vt:lpstr>'206'!OSRRefD22_2x_0</vt:lpstr>
      <vt:lpstr>'300'!OSRRefD22_2x_0</vt:lpstr>
      <vt:lpstr>'300 &amp; 317'!OSRRefD22_2x_0</vt:lpstr>
      <vt:lpstr>'301'!OSRRefD22_2x_0</vt:lpstr>
      <vt:lpstr>'307'!OSRRefD22_2x_0</vt:lpstr>
      <vt:lpstr>'308'!OSRRefD22_2x_0</vt:lpstr>
      <vt:lpstr>'309'!OSRRefD22_2x_0</vt:lpstr>
      <vt:lpstr>'310'!OSRRefD22_2x_0</vt:lpstr>
      <vt:lpstr>'310 &amp; 491'!OSRRefD22_2x_0</vt:lpstr>
      <vt:lpstr>'311'!OSRRefD22_2x_0</vt:lpstr>
      <vt:lpstr>'315'!OSRRefD22_2x_0</vt:lpstr>
      <vt:lpstr>'316'!OSRRefD22_2x_0</vt:lpstr>
      <vt:lpstr>'317'!OSRRefD22_2x_0</vt:lpstr>
      <vt:lpstr>'321'!OSRRefD22_2x_0</vt:lpstr>
      <vt:lpstr>'325'!OSRRefD22_2x_0</vt:lpstr>
      <vt:lpstr>'326'!OSRRefD22_2x_0</vt:lpstr>
      <vt:lpstr>'331'!OSRRefD22_2x_0</vt:lpstr>
      <vt:lpstr>'332'!OSRRefD22_2x_0</vt:lpstr>
      <vt:lpstr>'333'!OSRRefD22_2x_0</vt:lpstr>
      <vt:lpstr>'405'!OSRRefD22_2x_0</vt:lpstr>
      <vt:lpstr>'411'!OSRRefD22_2x_0</vt:lpstr>
      <vt:lpstr>'412'!OSRRefD22_2x_0</vt:lpstr>
      <vt:lpstr>'413'!OSRRefD22_2x_0</vt:lpstr>
      <vt:lpstr>'414'!OSRRefD22_2x_0</vt:lpstr>
      <vt:lpstr>'415'!OSRRefD22_2x_0</vt:lpstr>
      <vt:lpstr>'418'!OSRRefD22_2x_0</vt:lpstr>
      <vt:lpstr>'423'!OSRRefD22_2x_0</vt:lpstr>
      <vt:lpstr>'424'!OSRRefD22_2x_0</vt:lpstr>
      <vt:lpstr>'425'!OSRRefD22_2x_0</vt:lpstr>
      <vt:lpstr>'430'!OSRRefD22_2x_0</vt:lpstr>
      <vt:lpstr>'433'!OSRRefD22_2x_0</vt:lpstr>
      <vt:lpstr>'435'!OSRRefD22_2x_0</vt:lpstr>
      <vt:lpstr>'444'!OSRRefD22_2x_0</vt:lpstr>
      <vt:lpstr>'450'!OSRRefD22_2x_0</vt:lpstr>
      <vt:lpstr>'491'!OSRRefD22_2x_0</vt:lpstr>
      <vt:lpstr>'492'!OSRRefD22_2x_0</vt:lpstr>
      <vt:lpstr>'501'!OSRRefD22_2x_0</vt:lpstr>
      <vt:lpstr>'Div 2'!OSRRefD22_2x_0</vt:lpstr>
      <vt:lpstr>'Div 3'!OSRRefD22_2x_0</vt:lpstr>
      <vt:lpstr>'Div 4'!OSRRefD22_2x_0</vt:lpstr>
      <vt:lpstr>'Div 5'!OSRRefD22_2x_0</vt:lpstr>
      <vt:lpstr>'Div 6'!OSRRefD22_2x_0</vt:lpstr>
      <vt:lpstr>Summary!OSRRefD22_2x_0</vt:lpstr>
      <vt:lpstr>'200'!OSRRefD22_3x_0</vt:lpstr>
      <vt:lpstr>'201'!OSRRefD22_3x_0</vt:lpstr>
      <vt:lpstr>'202'!OSRRefD22_3x_0</vt:lpstr>
      <vt:lpstr>'203'!OSRRefD22_3x_0</vt:lpstr>
      <vt:lpstr>'204'!OSRRefD22_3x_0</vt:lpstr>
      <vt:lpstr>'205'!OSRRefD22_3x_0</vt:lpstr>
      <vt:lpstr>'206'!OSRRefD22_3x_0</vt:lpstr>
      <vt:lpstr>'300'!OSRRefD22_3x_0</vt:lpstr>
      <vt:lpstr>'300 &amp; 317'!OSRRefD22_3x_0</vt:lpstr>
      <vt:lpstr>'301'!OSRRefD22_3x_0</vt:lpstr>
      <vt:lpstr>'307'!OSRRefD22_3x_0</vt:lpstr>
      <vt:lpstr>'308'!OSRRefD22_3x_0</vt:lpstr>
      <vt:lpstr>'309'!OSRRefD22_3x_0</vt:lpstr>
      <vt:lpstr>'310'!OSRRefD22_3x_0</vt:lpstr>
      <vt:lpstr>'310 &amp; 491'!OSRRefD22_3x_0</vt:lpstr>
      <vt:lpstr>'311'!OSRRefD22_3x_0</vt:lpstr>
      <vt:lpstr>'315'!OSRRefD22_3x_0</vt:lpstr>
      <vt:lpstr>'316'!OSRRefD22_3x_0</vt:lpstr>
      <vt:lpstr>'317'!OSRRefD22_3x_0</vt:lpstr>
      <vt:lpstr>'321'!OSRRefD22_3x_0</vt:lpstr>
      <vt:lpstr>'325'!OSRRefD22_3x_0</vt:lpstr>
      <vt:lpstr>'326'!OSRRefD22_3x_0</vt:lpstr>
      <vt:lpstr>'331'!OSRRefD22_3x_0</vt:lpstr>
      <vt:lpstr>'332'!OSRRefD22_3x_0</vt:lpstr>
      <vt:lpstr>'333'!OSRRefD22_3x_0</vt:lpstr>
      <vt:lpstr>'405'!OSRRefD22_3x_0</vt:lpstr>
      <vt:lpstr>'411'!OSRRefD22_3x_0</vt:lpstr>
      <vt:lpstr>'412'!OSRRefD22_3x_0</vt:lpstr>
      <vt:lpstr>'415'!OSRRefD22_3x_0</vt:lpstr>
      <vt:lpstr>'418'!OSRRefD22_3x_0</vt:lpstr>
      <vt:lpstr>'423'!OSRRefD22_3x_0</vt:lpstr>
      <vt:lpstr>'425'!OSRRefD22_3x_0</vt:lpstr>
      <vt:lpstr>'430'!OSRRefD22_3x_0</vt:lpstr>
      <vt:lpstr>'433'!OSRRefD22_3x_0</vt:lpstr>
      <vt:lpstr>'435'!OSRRefD22_3x_0</vt:lpstr>
      <vt:lpstr>'444'!OSRRefD22_3x_0</vt:lpstr>
      <vt:lpstr>'450'!OSRRefD22_3x_0</vt:lpstr>
      <vt:lpstr>'491'!OSRRefD22_3x_0</vt:lpstr>
      <vt:lpstr>'492'!OSRRefD22_3x_0</vt:lpstr>
      <vt:lpstr>'501'!OSRRefD22_3x_0</vt:lpstr>
      <vt:lpstr>'Div 2'!OSRRefD22_3x_0</vt:lpstr>
      <vt:lpstr>'Div 3'!OSRRefD22_3x_0</vt:lpstr>
      <vt:lpstr>'Div 4'!OSRRefD22_3x_0</vt:lpstr>
      <vt:lpstr>'Div 5'!OSRRefD22_3x_0</vt:lpstr>
      <vt:lpstr>'Div 6'!OSRRefD22_3x_0</vt:lpstr>
      <vt:lpstr>Summary!OSRRefD22_3x_0</vt:lpstr>
      <vt:lpstr>'201'!OSRRefD22_4x_0</vt:lpstr>
      <vt:lpstr>'202'!OSRRefD22_4x_0</vt:lpstr>
      <vt:lpstr>'203'!OSRRefD22_4x_0</vt:lpstr>
      <vt:lpstr>'204'!OSRRefD22_4x_0</vt:lpstr>
      <vt:lpstr>'205'!OSRRefD22_4x_0</vt:lpstr>
      <vt:lpstr>'206'!OSRRefD22_4x_0</vt:lpstr>
      <vt:lpstr>'300'!OSRRefD22_4x_0</vt:lpstr>
      <vt:lpstr>'300 &amp; 317'!OSRRefD22_4x_0</vt:lpstr>
      <vt:lpstr>'301'!OSRRefD22_4x_0</vt:lpstr>
      <vt:lpstr>'307'!OSRRefD22_4x_0</vt:lpstr>
      <vt:lpstr>'308'!OSRRefD22_4x_0</vt:lpstr>
      <vt:lpstr>'309'!OSRRefD22_4x_0</vt:lpstr>
      <vt:lpstr>'310'!OSRRefD22_4x_0</vt:lpstr>
      <vt:lpstr>'310 &amp; 491'!OSRRefD22_4x_0</vt:lpstr>
      <vt:lpstr>'311'!OSRRefD22_4x_0</vt:lpstr>
      <vt:lpstr>'315'!OSRRefD22_4x_0</vt:lpstr>
      <vt:lpstr>'316'!OSRRefD22_4x_0</vt:lpstr>
      <vt:lpstr>'317'!OSRRefD22_4x_0</vt:lpstr>
      <vt:lpstr>'321'!OSRRefD22_4x_0</vt:lpstr>
      <vt:lpstr>'325'!OSRRefD22_4x_0</vt:lpstr>
      <vt:lpstr>'326'!OSRRefD22_4x_0</vt:lpstr>
      <vt:lpstr>'331'!OSRRefD22_4x_0</vt:lpstr>
      <vt:lpstr>'332'!OSRRefD22_4x_0</vt:lpstr>
      <vt:lpstr>'333'!OSRRefD22_4x_0</vt:lpstr>
      <vt:lpstr>'405'!OSRRefD22_4x_0</vt:lpstr>
      <vt:lpstr>'411'!OSRRefD22_4x_0</vt:lpstr>
      <vt:lpstr>'412'!OSRRefD22_4x_0</vt:lpstr>
      <vt:lpstr>'415'!OSRRefD22_4x_0</vt:lpstr>
      <vt:lpstr>'418'!OSRRefD22_4x_0</vt:lpstr>
      <vt:lpstr>'423'!OSRRefD22_4x_0</vt:lpstr>
      <vt:lpstr>'425'!OSRRefD22_4x_0</vt:lpstr>
      <vt:lpstr>'430'!OSRRefD22_4x_0</vt:lpstr>
      <vt:lpstr>'433'!OSRRefD22_4x_0</vt:lpstr>
      <vt:lpstr>'435'!OSRRefD22_4x_0</vt:lpstr>
      <vt:lpstr>'444'!OSRRefD22_4x_0</vt:lpstr>
      <vt:lpstr>'450'!OSRRefD22_4x_0</vt:lpstr>
      <vt:lpstr>'491'!OSRRefD22_4x_0</vt:lpstr>
      <vt:lpstr>'492'!OSRRefD22_4x_0</vt:lpstr>
      <vt:lpstr>'501'!OSRRefD22_4x_0</vt:lpstr>
      <vt:lpstr>'Div 2'!OSRRefD22_4x_0</vt:lpstr>
      <vt:lpstr>'Div 3'!OSRRefD22_4x_0</vt:lpstr>
      <vt:lpstr>'Div 4'!OSRRefD22_4x_0</vt:lpstr>
      <vt:lpstr>'Div 5'!OSRRefD22_4x_0</vt:lpstr>
      <vt:lpstr>'Div 6'!OSRRefD22_4x_0</vt:lpstr>
      <vt:lpstr>Summary!OSRRefD22_4x_0</vt:lpstr>
      <vt:lpstr>'201'!OSRRefD22_5x_0</vt:lpstr>
      <vt:lpstr>'202'!OSRRefD22_5x_0</vt:lpstr>
      <vt:lpstr>'203'!OSRRefD22_5x_0</vt:lpstr>
      <vt:lpstr>'204'!OSRRefD22_5x_0</vt:lpstr>
      <vt:lpstr>'205'!OSRRefD22_5x_0</vt:lpstr>
      <vt:lpstr>'206'!OSRRefD22_5x_0</vt:lpstr>
      <vt:lpstr>'300'!OSRRefD22_5x_0</vt:lpstr>
      <vt:lpstr>'300 &amp; 317'!OSRRefD22_5x_0</vt:lpstr>
      <vt:lpstr>'301'!OSRRefD22_5x_0</vt:lpstr>
      <vt:lpstr>'307'!OSRRefD22_5x_0</vt:lpstr>
      <vt:lpstr>'308'!OSRRefD22_5x_0</vt:lpstr>
      <vt:lpstr>'309'!OSRRefD22_5x_0</vt:lpstr>
      <vt:lpstr>'310'!OSRRefD22_5x_0</vt:lpstr>
      <vt:lpstr>'310 &amp; 491'!OSRRefD22_5x_0</vt:lpstr>
      <vt:lpstr>'311'!OSRRefD22_5x_0</vt:lpstr>
      <vt:lpstr>'315'!OSRRefD22_5x_0</vt:lpstr>
      <vt:lpstr>'316'!OSRRefD22_5x_0</vt:lpstr>
      <vt:lpstr>'317'!OSRRefD22_5x_0</vt:lpstr>
      <vt:lpstr>'321'!OSRRefD22_5x_0</vt:lpstr>
      <vt:lpstr>'325'!OSRRefD22_5x_0</vt:lpstr>
      <vt:lpstr>'326'!OSRRefD22_5x_0</vt:lpstr>
      <vt:lpstr>'331'!OSRRefD22_5x_0</vt:lpstr>
      <vt:lpstr>'332'!OSRRefD22_5x_0</vt:lpstr>
      <vt:lpstr>'333'!OSRRefD22_5x_0</vt:lpstr>
      <vt:lpstr>'405'!OSRRefD22_5x_0</vt:lpstr>
      <vt:lpstr>'411'!OSRRefD22_5x_0</vt:lpstr>
      <vt:lpstr>'415'!OSRRefD22_5x_0</vt:lpstr>
      <vt:lpstr>'418'!OSRRefD22_5x_0</vt:lpstr>
      <vt:lpstr>'423'!OSRRefD22_5x_0</vt:lpstr>
      <vt:lpstr>'425'!OSRRefD22_5x_0</vt:lpstr>
      <vt:lpstr>'430'!OSRRefD22_5x_0</vt:lpstr>
      <vt:lpstr>'433'!OSRRefD22_5x_0</vt:lpstr>
      <vt:lpstr>'444'!OSRRefD22_5x_0</vt:lpstr>
      <vt:lpstr>'450'!OSRRefD22_5x_0</vt:lpstr>
      <vt:lpstr>'491'!OSRRefD22_5x_0</vt:lpstr>
      <vt:lpstr>'492'!OSRRefD22_5x_0</vt:lpstr>
      <vt:lpstr>'501'!OSRRefD22_5x_0</vt:lpstr>
      <vt:lpstr>'Div 2'!OSRRefD22_5x_0</vt:lpstr>
      <vt:lpstr>'Div 3'!OSRRefD22_5x_0</vt:lpstr>
      <vt:lpstr>'Div 4'!OSRRefD22_5x_0</vt:lpstr>
      <vt:lpstr>'Div 5'!OSRRefD22_5x_0</vt:lpstr>
      <vt:lpstr>'Div 6'!OSRRefD22_5x_0</vt:lpstr>
      <vt:lpstr>Summary!OSRRefD22_5x_0</vt:lpstr>
      <vt:lpstr>'201'!OSRRefD22_6x_0</vt:lpstr>
      <vt:lpstr>'202'!OSRRefD22_6x_0</vt:lpstr>
      <vt:lpstr>'203'!OSRRefD22_6x_0</vt:lpstr>
      <vt:lpstr>'204'!OSRRefD22_6x_0</vt:lpstr>
      <vt:lpstr>'205'!OSRRefD22_6x_0</vt:lpstr>
      <vt:lpstr>'206'!OSRRefD22_6x_0</vt:lpstr>
      <vt:lpstr>'300'!OSRRefD22_6x_0</vt:lpstr>
      <vt:lpstr>'300 &amp; 317'!OSRRefD22_6x_0</vt:lpstr>
      <vt:lpstr>'301'!OSRRefD22_6x_0</vt:lpstr>
      <vt:lpstr>'307'!OSRRefD22_6x_0</vt:lpstr>
      <vt:lpstr>'308'!OSRRefD22_6x_0</vt:lpstr>
      <vt:lpstr>'309'!OSRRefD22_6x_0</vt:lpstr>
      <vt:lpstr>'310'!OSRRefD22_6x_0</vt:lpstr>
      <vt:lpstr>'310 &amp; 491'!OSRRefD22_6x_0</vt:lpstr>
      <vt:lpstr>'311'!OSRRefD22_6x_0</vt:lpstr>
      <vt:lpstr>'315'!OSRRefD22_6x_0</vt:lpstr>
      <vt:lpstr>'316'!OSRRefD22_6x_0</vt:lpstr>
      <vt:lpstr>'317'!OSRRefD22_6x_0</vt:lpstr>
      <vt:lpstr>'321'!OSRRefD22_6x_0</vt:lpstr>
      <vt:lpstr>'325'!OSRRefD22_6x_0</vt:lpstr>
      <vt:lpstr>'326'!OSRRefD22_6x_0</vt:lpstr>
      <vt:lpstr>'331'!OSRRefD22_6x_0</vt:lpstr>
      <vt:lpstr>'332'!OSRRefD22_6x_0</vt:lpstr>
      <vt:lpstr>'333'!OSRRefD22_6x_0</vt:lpstr>
      <vt:lpstr>'405'!OSRRefD22_6x_0</vt:lpstr>
      <vt:lpstr>'411'!OSRRefD22_6x_0</vt:lpstr>
      <vt:lpstr>'415'!OSRRefD22_6x_0</vt:lpstr>
      <vt:lpstr>'418'!OSRRefD22_6x_0</vt:lpstr>
      <vt:lpstr>'430'!OSRRefD22_6x_0</vt:lpstr>
      <vt:lpstr>'433'!OSRRefD22_6x_0</vt:lpstr>
      <vt:lpstr>'444'!OSRRefD22_6x_0</vt:lpstr>
      <vt:lpstr>'450'!OSRRefD22_6x_0</vt:lpstr>
      <vt:lpstr>'491'!OSRRefD22_6x_0</vt:lpstr>
      <vt:lpstr>'492'!OSRRefD22_6x_0</vt:lpstr>
      <vt:lpstr>'501'!OSRRefD22_6x_0</vt:lpstr>
      <vt:lpstr>'Div 2'!OSRRefD22_6x_0</vt:lpstr>
      <vt:lpstr>'Div 3'!OSRRefD22_6x_0</vt:lpstr>
      <vt:lpstr>'Div 4'!OSRRefD22_6x_0</vt:lpstr>
      <vt:lpstr>'Div 5'!OSRRefD22_6x_0</vt:lpstr>
      <vt:lpstr>'Div 6'!OSRRefD22_6x_0</vt:lpstr>
      <vt:lpstr>Summary!OSRRefD22_6x_0</vt:lpstr>
      <vt:lpstr>'201'!OSRRefD22_7x_0</vt:lpstr>
      <vt:lpstr>'202'!OSRRefD22_7x_0</vt:lpstr>
      <vt:lpstr>'203'!OSRRefD22_7x_0</vt:lpstr>
      <vt:lpstr>'204'!OSRRefD22_7x_0</vt:lpstr>
      <vt:lpstr>'205'!OSRRefD22_7x_0</vt:lpstr>
      <vt:lpstr>'206'!OSRRefD22_7x_0</vt:lpstr>
      <vt:lpstr>'300'!OSRRefD22_7x_0</vt:lpstr>
      <vt:lpstr>'300 &amp; 317'!OSRRefD22_7x_0</vt:lpstr>
      <vt:lpstr>'301'!OSRRefD22_7x_0</vt:lpstr>
      <vt:lpstr>'307'!OSRRefD22_7x_0</vt:lpstr>
      <vt:lpstr>'308'!OSRRefD22_7x_0</vt:lpstr>
      <vt:lpstr>'309'!OSRRefD22_7x_0</vt:lpstr>
      <vt:lpstr>'310'!OSRRefD22_7x_0</vt:lpstr>
      <vt:lpstr>'310 &amp; 491'!OSRRefD22_7x_0</vt:lpstr>
      <vt:lpstr>'311'!OSRRefD22_7x_0</vt:lpstr>
      <vt:lpstr>'315'!OSRRefD22_7x_0</vt:lpstr>
      <vt:lpstr>'316'!OSRRefD22_7x_0</vt:lpstr>
      <vt:lpstr>'317'!OSRRefD22_7x_0</vt:lpstr>
      <vt:lpstr>'321'!OSRRefD22_7x_0</vt:lpstr>
      <vt:lpstr>'325'!OSRRefD22_7x_0</vt:lpstr>
      <vt:lpstr>'326'!OSRRefD22_7x_0</vt:lpstr>
      <vt:lpstr>'331'!OSRRefD22_7x_0</vt:lpstr>
      <vt:lpstr>'332'!OSRRefD22_7x_0</vt:lpstr>
      <vt:lpstr>'333'!OSRRefD22_7x_0</vt:lpstr>
      <vt:lpstr>'405'!OSRRefD22_7x_0</vt:lpstr>
      <vt:lpstr>'411'!OSRRefD22_7x_0</vt:lpstr>
      <vt:lpstr>'415'!OSRRefD22_7x_0</vt:lpstr>
      <vt:lpstr>'418'!OSRRefD22_7x_0</vt:lpstr>
      <vt:lpstr>'430'!OSRRefD22_7x_0</vt:lpstr>
      <vt:lpstr>'433'!OSRRefD22_7x_0</vt:lpstr>
      <vt:lpstr>'444'!OSRRefD22_7x_0</vt:lpstr>
      <vt:lpstr>'450'!OSRRefD22_7x_0</vt:lpstr>
      <vt:lpstr>'491'!OSRRefD22_7x_0</vt:lpstr>
      <vt:lpstr>'492'!OSRRefD22_7x_0</vt:lpstr>
      <vt:lpstr>'501'!OSRRefD22_7x_0</vt:lpstr>
      <vt:lpstr>'Div 2'!OSRRefD22_7x_0</vt:lpstr>
      <vt:lpstr>'Div 3'!OSRRefD22_7x_0</vt:lpstr>
      <vt:lpstr>'Div 4'!OSRRefD22_7x_0</vt:lpstr>
      <vt:lpstr>'Div 5'!OSRRefD22_7x_0</vt:lpstr>
      <vt:lpstr>'Div 6'!OSRRefD22_7x_0</vt:lpstr>
      <vt:lpstr>Summary!OSRRefD22_7x_0</vt:lpstr>
      <vt:lpstr>'201'!OSRRefD22_8x_0</vt:lpstr>
      <vt:lpstr>'202'!OSRRefD22_8x_0</vt:lpstr>
      <vt:lpstr>'203'!OSRRefD22_8x_0</vt:lpstr>
      <vt:lpstr>'204'!OSRRefD22_8x_0</vt:lpstr>
      <vt:lpstr>'300'!OSRRefD22_8x_0</vt:lpstr>
      <vt:lpstr>'300 &amp; 317'!OSRRefD22_8x_0</vt:lpstr>
      <vt:lpstr>'301'!OSRRefD22_8x_0</vt:lpstr>
      <vt:lpstr>'307'!OSRRefD22_8x_0</vt:lpstr>
      <vt:lpstr>'308'!OSRRefD22_8x_0</vt:lpstr>
      <vt:lpstr>'309'!OSRRefD22_8x_0</vt:lpstr>
      <vt:lpstr>'310'!OSRRefD22_8x_0</vt:lpstr>
      <vt:lpstr>'310 &amp; 491'!OSRRefD22_8x_0</vt:lpstr>
      <vt:lpstr>'311'!OSRRefD22_8x_0</vt:lpstr>
      <vt:lpstr>'315'!OSRRefD22_8x_0</vt:lpstr>
      <vt:lpstr>'316'!OSRRefD22_8x_0</vt:lpstr>
      <vt:lpstr>'317'!OSRRefD22_8x_0</vt:lpstr>
      <vt:lpstr>'321'!OSRRefD22_8x_0</vt:lpstr>
      <vt:lpstr>'325'!OSRRefD22_8x_0</vt:lpstr>
      <vt:lpstr>'326'!OSRRefD22_8x_0</vt:lpstr>
      <vt:lpstr>'331'!OSRRefD22_8x_0</vt:lpstr>
      <vt:lpstr>'332'!OSRRefD22_8x_0</vt:lpstr>
      <vt:lpstr>'333'!OSRRefD22_8x_0</vt:lpstr>
      <vt:lpstr>'405'!OSRRefD22_8x_0</vt:lpstr>
      <vt:lpstr>'411'!OSRRefD22_8x_0</vt:lpstr>
      <vt:lpstr>'415'!OSRRefD22_8x_0</vt:lpstr>
      <vt:lpstr>'418'!OSRRefD22_8x_0</vt:lpstr>
      <vt:lpstr>'430'!OSRRefD22_8x_0</vt:lpstr>
      <vt:lpstr>'433'!OSRRefD22_8x_0</vt:lpstr>
      <vt:lpstr>'444'!OSRRefD22_8x_0</vt:lpstr>
      <vt:lpstr>'450'!OSRRefD22_8x_0</vt:lpstr>
      <vt:lpstr>'491'!OSRRefD22_8x_0</vt:lpstr>
      <vt:lpstr>'492'!OSRRefD22_8x_0</vt:lpstr>
      <vt:lpstr>'501'!OSRRefD22_8x_0</vt:lpstr>
      <vt:lpstr>'Div 2'!OSRRefD22_8x_0</vt:lpstr>
      <vt:lpstr>'Div 3'!OSRRefD22_8x_0</vt:lpstr>
      <vt:lpstr>'Div 4'!OSRRefD22_8x_0</vt:lpstr>
      <vt:lpstr>'Div 5'!OSRRefD22_8x_0</vt:lpstr>
      <vt:lpstr>'Div 6'!OSRRefD22_8x_0</vt:lpstr>
      <vt:lpstr>Summary!OSRRefD22_8x_0</vt:lpstr>
      <vt:lpstr>'201'!OSRRefD22_9x_0</vt:lpstr>
      <vt:lpstr>'202'!OSRRefD22_9x_0</vt:lpstr>
      <vt:lpstr>'203'!OSRRefD22_9x_0</vt:lpstr>
      <vt:lpstr>'204'!OSRRefD22_9x_0</vt:lpstr>
      <vt:lpstr>'300'!OSRRefD22_9x_0</vt:lpstr>
      <vt:lpstr>'300 &amp; 317'!OSRRefD22_9x_0</vt:lpstr>
      <vt:lpstr>'301'!OSRRefD22_9x_0</vt:lpstr>
      <vt:lpstr>'307'!OSRRefD22_9x_0</vt:lpstr>
      <vt:lpstr>'308'!OSRRefD22_9x_0</vt:lpstr>
      <vt:lpstr>'309'!OSRRefD22_9x_0</vt:lpstr>
      <vt:lpstr>'310'!OSRRefD22_9x_0</vt:lpstr>
      <vt:lpstr>'310 &amp; 491'!OSRRefD22_9x_0</vt:lpstr>
      <vt:lpstr>'311'!OSRRefD22_9x_0</vt:lpstr>
      <vt:lpstr>'315'!OSRRefD22_9x_0</vt:lpstr>
      <vt:lpstr>'316'!OSRRefD22_9x_0</vt:lpstr>
      <vt:lpstr>'317'!OSRRefD22_9x_0</vt:lpstr>
      <vt:lpstr>'321'!OSRRefD22_9x_0</vt:lpstr>
      <vt:lpstr>'325'!OSRRefD22_9x_0</vt:lpstr>
      <vt:lpstr>'326'!OSRRefD22_9x_0</vt:lpstr>
      <vt:lpstr>'331'!OSRRefD22_9x_0</vt:lpstr>
      <vt:lpstr>'332'!OSRRefD22_9x_0</vt:lpstr>
      <vt:lpstr>'333'!OSRRefD22_9x_0</vt:lpstr>
      <vt:lpstr>'405'!OSRRefD22_9x_0</vt:lpstr>
      <vt:lpstr>'411'!OSRRefD22_9x_0</vt:lpstr>
      <vt:lpstr>'415'!OSRRefD22_9x_0</vt:lpstr>
      <vt:lpstr>'418'!OSRRefD22_9x_0</vt:lpstr>
      <vt:lpstr>'433'!OSRRefD22_9x_0</vt:lpstr>
      <vt:lpstr>'444'!OSRRefD22_9x_0</vt:lpstr>
      <vt:lpstr>'450'!OSRRefD22_9x_0</vt:lpstr>
      <vt:lpstr>'491'!OSRRefD22_9x_0</vt:lpstr>
      <vt:lpstr>'492'!OSRRefD22_9x_0</vt:lpstr>
      <vt:lpstr>'501'!OSRRefD22_9x_0</vt:lpstr>
      <vt:lpstr>'Div 2'!OSRRefD22_9x_0</vt:lpstr>
      <vt:lpstr>'Div 3'!OSRRefD22_9x_0</vt:lpstr>
      <vt:lpstr>'Div 4'!OSRRefD22_9x_0</vt:lpstr>
      <vt:lpstr>'Div 5'!OSRRefD22_9x_0</vt:lpstr>
      <vt:lpstr>'Div 6'!OSRRefD22_9x_0</vt:lpstr>
      <vt:lpstr>Summary!OSRRefD22_9x_0</vt:lpstr>
      <vt:lpstr>'200'!OSRRefD22x_0</vt:lpstr>
      <vt:lpstr>'201'!OSRRefD22x_0</vt:lpstr>
      <vt:lpstr>'202'!OSRRefD22x_0</vt:lpstr>
      <vt:lpstr>'203'!OSRRefD22x_0</vt:lpstr>
      <vt:lpstr>'204'!OSRRefD22x_0</vt:lpstr>
      <vt:lpstr>'205'!OSRRefD22x_0</vt:lpstr>
      <vt:lpstr>'206'!OSRRefD22x_0</vt:lpstr>
      <vt:lpstr>'300'!OSRRefD22x_0</vt:lpstr>
      <vt:lpstr>'300 &amp; 317'!OSRRefD22x_0</vt:lpstr>
      <vt:lpstr>'301'!OSRRefD22x_0</vt:lpstr>
      <vt:lpstr>'307'!OSRRefD22x_0</vt:lpstr>
      <vt:lpstr>'308'!OSRRefD22x_0</vt:lpstr>
      <vt:lpstr>'309'!OSRRefD22x_0</vt:lpstr>
      <vt:lpstr>'310'!OSRRefD22x_0</vt:lpstr>
      <vt:lpstr>'310 &amp; 491'!OSRRefD22x_0</vt:lpstr>
      <vt:lpstr>'311'!OSRRefD22x_0</vt:lpstr>
      <vt:lpstr>'315'!OSRRefD22x_0</vt:lpstr>
      <vt:lpstr>'316'!OSRRefD22x_0</vt:lpstr>
      <vt:lpstr>'317'!OSRRefD22x_0</vt:lpstr>
      <vt:lpstr>'321'!OSRRefD22x_0</vt:lpstr>
      <vt:lpstr>'325'!OSRRefD22x_0</vt:lpstr>
      <vt:lpstr>'326'!OSRRefD22x_0</vt:lpstr>
      <vt:lpstr>'327'!OSRRefD22x_0</vt:lpstr>
      <vt:lpstr>'331'!OSRRefD22x_0</vt:lpstr>
      <vt:lpstr>'332'!OSRRefD22x_0</vt:lpstr>
      <vt:lpstr>'333'!OSRRefD22x_0</vt:lpstr>
      <vt:lpstr>'405'!OSRRefD22x_0</vt:lpstr>
      <vt:lpstr>'406'!OSRRefD22x_0</vt:lpstr>
      <vt:lpstr>'411'!OSRRefD22x_0</vt:lpstr>
      <vt:lpstr>'412'!OSRRefD22x_0</vt:lpstr>
      <vt:lpstr>'413'!OSRRefD22x_0</vt:lpstr>
      <vt:lpstr>'414'!OSRRefD22x_0</vt:lpstr>
      <vt:lpstr>'415'!OSRRefD22x_0</vt:lpstr>
      <vt:lpstr>'418'!OSRRefD22x_0</vt:lpstr>
      <vt:lpstr>'423'!OSRRefD22x_0</vt:lpstr>
      <vt:lpstr>'424'!OSRRefD22x_0</vt:lpstr>
      <vt:lpstr>'425'!OSRRefD22x_0</vt:lpstr>
      <vt:lpstr>'430'!OSRRefD22x_0</vt:lpstr>
      <vt:lpstr>'433'!OSRRefD22x_0</vt:lpstr>
      <vt:lpstr>'435'!OSRRefD22x_0</vt:lpstr>
      <vt:lpstr>'444'!OSRRefD22x_0</vt:lpstr>
      <vt:lpstr>'450'!OSRRefD22x_0</vt:lpstr>
      <vt:lpstr>'491'!OSRRefD22x_0</vt:lpstr>
      <vt:lpstr>'492'!OSRRefD22x_0</vt:lpstr>
      <vt:lpstr>'501'!OSRRefD22x_0</vt:lpstr>
      <vt:lpstr>'Div 2'!OSRRefD22x_0</vt:lpstr>
      <vt:lpstr>'Div 3'!OSRRefD22x_0</vt:lpstr>
      <vt:lpstr>'Div 4'!OSRRefD22x_0</vt:lpstr>
      <vt:lpstr>'Div 5'!OSRRefD22x_0</vt:lpstr>
      <vt:lpstr>'Div 6'!OSRRefD22x_0</vt:lpstr>
      <vt:lpstr>Summary!OSRRefD22x_0</vt:lpstr>
      <vt:lpstr>'300'!OSRRefD25x_0</vt:lpstr>
      <vt:lpstr>'300 &amp; 317'!OSRRefD25x_0</vt:lpstr>
      <vt:lpstr>'301'!OSRRefD25x_0</vt:lpstr>
      <vt:lpstr>'308'!OSRRefD25x_0</vt:lpstr>
      <vt:lpstr>'310 &amp; 491'!OSRRefD25x_0</vt:lpstr>
      <vt:lpstr>'311'!OSRRefD25x_0</vt:lpstr>
      <vt:lpstr>'315'!OSRRefD25x_0</vt:lpstr>
      <vt:lpstr>'316'!OSRRefD25x_0</vt:lpstr>
      <vt:lpstr>'317'!OSRRefD25x_0</vt:lpstr>
      <vt:lpstr>'331'!OSRRefD25x_0</vt:lpstr>
      <vt:lpstr>'332'!OSRRefD25x_0</vt:lpstr>
      <vt:lpstr>'333'!OSRRefD25x_0</vt:lpstr>
      <vt:lpstr>'405'!OSRRefD25x_0</vt:lpstr>
      <vt:lpstr>'411'!OSRRefD25x_0</vt:lpstr>
      <vt:lpstr>'415'!OSRRefD25x_0</vt:lpstr>
      <vt:lpstr>'418'!OSRRefD25x_0</vt:lpstr>
      <vt:lpstr>'423'!OSRRefD25x_0</vt:lpstr>
      <vt:lpstr>'491'!OSRRefD25x_0</vt:lpstr>
      <vt:lpstr>'501'!OSRRefD25x_0</vt:lpstr>
      <vt:lpstr>'Div 3'!OSRRefD25x_0</vt:lpstr>
      <vt:lpstr>'Div 4'!OSRRefD25x_0</vt:lpstr>
      <vt:lpstr>'Div 5'!OSRRefD25x_0</vt:lpstr>
      <vt:lpstr>'Div 6'!OSRRefD25x_0</vt:lpstr>
      <vt:lpstr>Summary!OSRRefD25x_0</vt:lpstr>
      <vt:lpstr>'300'!OSRRefH13x_0</vt:lpstr>
      <vt:lpstr>'300 &amp; 317'!OSRRefH13x_0</vt:lpstr>
      <vt:lpstr>'307'!OSRRefH13x_0</vt:lpstr>
      <vt:lpstr>'308'!OSRRefH13x_0</vt:lpstr>
      <vt:lpstr>'309'!OSRRefH13x_0</vt:lpstr>
      <vt:lpstr>'310'!OSRRefH13x_0</vt:lpstr>
      <vt:lpstr>'310 &amp; 491'!OSRRefH13x_0</vt:lpstr>
      <vt:lpstr>'311'!OSRRefH13x_0</vt:lpstr>
      <vt:lpstr>'315'!OSRRefH13x_0</vt:lpstr>
      <vt:lpstr>'316'!OSRRefH13x_0</vt:lpstr>
      <vt:lpstr>'317'!OSRRefH13x_0</vt:lpstr>
      <vt:lpstr>'321'!OSRRefH13x_0</vt:lpstr>
      <vt:lpstr>'324'!OSRRefH13x_0</vt:lpstr>
      <vt:lpstr>'325'!OSRRefH13x_0</vt:lpstr>
      <vt:lpstr>'326'!OSRRefH13x_0</vt:lpstr>
      <vt:lpstr>'327'!OSRRefH13x_0</vt:lpstr>
      <vt:lpstr>'331'!OSRRefH13x_0</vt:lpstr>
      <vt:lpstr>'332'!OSRRefH13x_0</vt:lpstr>
      <vt:lpstr>'333'!OSRRefH13x_0</vt:lpstr>
      <vt:lpstr>'405'!OSRRefH13x_0</vt:lpstr>
      <vt:lpstr>'415'!OSRRefH13x_0</vt:lpstr>
      <vt:lpstr>'418'!OSRRefH13x_0</vt:lpstr>
      <vt:lpstr>'425'!OSRRefH13x_0</vt:lpstr>
      <vt:lpstr>'433'!OSRRefH13x_0</vt:lpstr>
      <vt:lpstr>'435'!OSRRefH13x_0</vt:lpstr>
      <vt:lpstr>'444'!OSRRefH13x_0</vt:lpstr>
      <vt:lpstr>'450'!OSRRefH13x_0</vt:lpstr>
      <vt:lpstr>'491'!OSRRefH13x_0</vt:lpstr>
      <vt:lpstr>'492'!OSRRefH13x_0</vt:lpstr>
      <vt:lpstr>'501'!OSRRefH13x_0</vt:lpstr>
      <vt:lpstr>'Div 3'!OSRRefH13x_0</vt:lpstr>
      <vt:lpstr>'Div 4'!OSRRefH13x_0</vt:lpstr>
      <vt:lpstr>'Div 5'!OSRRefH13x_0</vt:lpstr>
      <vt:lpstr>'Div 6'!OSRRefH13x_0</vt:lpstr>
      <vt:lpstr>Summary!OSRRefH13x_0</vt:lpstr>
      <vt:lpstr>'300'!OSRRefH16x_0</vt:lpstr>
      <vt:lpstr>'300 &amp; 317'!OSRRefH16x_0</vt:lpstr>
      <vt:lpstr>'301'!OSRRefH16x_0</vt:lpstr>
      <vt:lpstr>'307'!OSRRefH16x_0</vt:lpstr>
      <vt:lpstr>'308'!OSRRefH16x_0</vt:lpstr>
      <vt:lpstr>'309'!OSRRefH16x_0</vt:lpstr>
      <vt:lpstr>'310'!OSRRefH16x_0</vt:lpstr>
      <vt:lpstr>'310 &amp; 491'!OSRRefH16x_0</vt:lpstr>
      <vt:lpstr>'311'!OSRRefH16x_0</vt:lpstr>
      <vt:lpstr>'315'!OSRRefH16x_0</vt:lpstr>
      <vt:lpstr>'316'!OSRRefH16x_0</vt:lpstr>
      <vt:lpstr>'317'!OSRRefH16x_0</vt:lpstr>
      <vt:lpstr>'321'!OSRRefH16x_0</vt:lpstr>
      <vt:lpstr>'324'!OSRRefH16x_0</vt:lpstr>
      <vt:lpstr>'325'!OSRRefH16x_0</vt:lpstr>
      <vt:lpstr>'326'!OSRRefH16x_0</vt:lpstr>
      <vt:lpstr>'327'!OSRRefH16x_0</vt:lpstr>
      <vt:lpstr>'331'!OSRRefH16x_0</vt:lpstr>
      <vt:lpstr>'332'!OSRRefH16x_0</vt:lpstr>
      <vt:lpstr>'333'!OSRRefH16x_0</vt:lpstr>
      <vt:lpstr>'405'!OSRRefH16x_0</vt:lpstr>
      <vt:lpstr>'412'!OSRRefH16x_0</vt:lpstr>
      <vt:lpstr>'415'!OSRRefH16x_0</vt:lpstr>
      <vt:lpstr>'418'!OSRRefH16x_0</vt:lpstr>
      <vt:lpstr>'424'!OSRRefH16x_0</vt:lpstr>
      <vt:lpstr>'425'!OSRRefH16x_0</vt:lpstr>
      <vt:lpstr>'433'!OSRRefH16x_0</vt:lpstr>
      <vt:lpstr>'435'!OSRRefH16x_0</vt:lpstr>
      <vt:lpstr>'444'!OSRRefH16x_0</vt:lpstr>
      <vt:lpstr>'450'!OSRRefH16x_0</vt:lpstr>
      <vt:lpstr>'491'!OSRRefH16x_0</vt:lpstr>
      <vt:lpstr>'492'!OSRRefH16x_0</vt:lpstr>
      <vt:lpstr>'Div 3'!OSRRefH16x_0</vt:lpstr>
      <vt:lpstr>'Div 4'!OSRRefH16x_0</vt:lpstr>
      <vt:lpstr>'Div 6'!OSRRefH16x_0</vt:lpstr>
      <vt:lpstr>Summary!OSRRefH16x_0</vt:lpstr>
      <vt:lpstr>'200'!OSRRefH22_0x_0</vt:lpstr>
      <vt:lpstr>'201'!OSRRefH22_0x_0</vt:lpstr>
      <vt:lpstr>'202'!OSRRefH22_0x_0</vt:lpstr>
      <vt:lpstr>'203'!OSRRefH22_0x_0</vt:lpstr>
      <vt:lpstr>'204'!OSRRefH22_0x_0</vt:lpstr>
      <vt:lpstr>'205'!OSRRefH22_0x_0</vt:lpstr>
      <vt:lpstr>'206'!OSRRefH22_0x_0</vt:lpstr>
      <vt:lpstr>'300'!OSRRefH22_0x_0</vt:lpstr>
      <vt:lpstr>'300 &amp; 317'!OSRRefH22_0x_0</vt:lpstr>
      <vt:lpstr>'301'!OSRRefH22_0x_0</vt:lpstr>
      <vt:lpstr>'307'!OSRRefH22_0x_0</vt:lpstr>
      <vt:lpstr>'308'!OSRRefH22_0x_0</vt:lpstr>
      <vt:lpstr>'309'!OSRRefH22_0x_0</vt:lpstr>
      <vt:lpstr>'310'!OSRRefH22_0x_0</vt:lpstr>
      <vt:lpstr>'310 &amp; 491'!OSRRefH22_0x_0</vt:lpstr>
      <vt:lpstr>'311'!OSRRefH22_0x_0</vt:lpstr>
      <vt:lpstr>'315'!OSRRefH22_0x_0</vt:lpstr>
      <vt:lpstr>'316'!OSRRefH22_0x_0</vt:lpstr>
      <vt:lpstr>'317'!OSRRefH22_0x_0</vt:lpstr>
      <vt:lpstr>'321'!OSRRefH22_0x_0</vt:lpstr>
      <vt:lpstr>'325'!OSRRefH22_0x_0</vt:lpstr>
      <vt:lpstr>'326'!OSRRefH22_0x_0</vt:lpstr>
      <vt:lpstr>'327'!OSRRefH22_0x_0</vt:lpstr>
      <vt:lpstr>'331'!OSRRefH22_0x_0</vt:lpstr>
      <vt:lpstr>'332'!OSRRefH22_0x_0</vt:lpstr>
      <vt:lpstr>'333'!OSRRefH22_0x_0</vt:lpstr>
      <vt:lpstr>'405'!OSRRefH22_0x_0</vt:lpstr>
      <vt:lpstr>'406'!OSRRefH22_0x_0</vt:lpstr>
      <vt:lpstr>'411'!OSRRefH22_0x_0</vt:lpstr>
      <vt:lpstr>'412'!OSRRefH22_0x_0</vt:lpstr>
      <vt:lpstr>'413'!OSRRefH22_0x_0</vt:lpstr>
      <vt:lpstr>'414'!OSRRefH22_0x_0</vt:lpstr>
      <vt:lpstr>'415'!OSRRefH22_0x_0</vt:lpstr>
      <vt:lpstr>'418'!OSRRefH22_0x_0</vt:lpstr>
      <vt:lpstr>'423'!OSRRefH22_0x_0</vt:lpstr>
      <vt:lpstr>'424'!OSRRefH22_0x_0</vt:lpstr>
      <vt:lpstr>'425'!OSRRefH22_0x_0</vt:lpstr>
      <vt:lpstr>'430'!OSRRefH22_0x_0</vt:lpstr>
      <vt:lpstr>'433'!OSRRefH22_0x_0</vt:lpstr>
      <vt:lpstr>'435'!OSRRefH22_0x_0</vt:lpstr>
      <vt:lpstr>'444'!OSRRefH22_0x_0</vt:lpstr>
      <vt:lpstr>'450'!OSRRefH22_0x_0</vt:lpstr>
      <vt:lpstr>'491'!OSRRefH22_0x_0</vt:lpstr>
      <vt:lpstr>'492'!OSRRefH22_0x_0</vt:lpstr>
      <vt:lpstr>'501'!OSRRefH22_0x_0</vt:lpstr>
      <vt:lpstr>'Div 2'!OSRRefH22_0x_0</vt:lpstr>
      <vt:lpstr>'Div 3'!OSRRefH22_0x_0</vt:lpstr>
      <vt:lpstr>'Div 4'!OSRRefH22_0x_0</vt:lpstr>
      <vt:lpstr>'Div 5'!OSRRefH22_0x_0</vt:lpstr>
      <vt:lpstr>'Div 6'!OSRRefH22_0x_0</vt:lpstr>
      <vt:lpstr>Summary!OSRRefH22_0x_0</vt:lpstr>
      <vt:lpstr>'201'!OSRRefH22_10x_0</vt:lpstr>
      <vt:lpstr>'202'!OSRRefH22_10x_0</vt:lpstr>
      <vt:lpstr>'203'!OSRRefH22_10x_0</vt:lpstr>
      <vt:lpstr>'204'!OSRRefH22_10x_0</vt:lpstr>
      <vt:lpstr>'300'!OSRRefH22_10x_0</vt:lpstr>
      <vt:lpstr>'300 &amp; 317'!OSRRefH22_10x_0</vt:lpstr>
      <vt:lpstr>'301'!OSRRefH22_10x_0</vt:lpstr>
      <vt:lpstr>'307'!OSRRefH22_10x_0</vt:lpstr>
      <vt:lpstr>'308'!OSRRefH22_10x_0</vt:lpstr>
      <vt:lpstr>'309'!OSRRefH22_10x_0</vt:lpstr>
      <vt:lpstr>'310'!OSRRefH22_10x_0</vt:lpstr>
      <vt:lpstr>'310 &amp; 491'!OSRRefH22_10x_0</vt:lpstr>
      <vt:lpstr>'311'!OSRRefH22_10x_0</vt:lpstr>
      <vt:lpstr>'315'!OSRRefH22_10x_0</vt:lpstr>
      <vt:lpstr>'316'!OSRRefH22_10x_0</vt:lpstr>
      <vt:lpstr>'317'!OSRRefH22_10x_0</vt:lpstr>
      <vt:lpstr>'321'!OSRRefH22_10x_0</vt:lpstr>
      <vt:lpstr>'325'!OSRRefH22_10x_0</vt:lpstr>
      <vt:lpstr>'326'!OSRRefH22_10x_0</vt:lpstr>
      <vt:lpstr>'331'!OSRRefH22_10x_0</vt:lpstr>
      <vt:lpstr>'332'!OSRRefH22_10x_0</vt:lpstr>
      <vt:lpstr>'333'!OSRRefH22_10x_0</vt:lpstr>
      <vt:lpstr>'405'!OSRRefH22_10x_0</vt:lpstr>
      <vt:lpstr>'411'!OSRRefH22_10x_0</vt:lpstr>
      <vt:lpstr>'415'!OSRRefH22_10x_0</vt:lpstr>
      <vt:lpstr>'418'!OSRRefH22_10x_0</vt:lpstr>
      <vt:lpstr>'433'!OSRRefH22_10x_0</vt:lpstr>
      <vt:lpstr>'444'!OSRRefH22_10x_0</vt:lpstr>
      <vt:lpstr>'450'!OSRRefH22_10x_0</vt:lpstr>
      <vt:lpstr>'491'!OSRRefH22_10x_0</vt:lpstr>
      <vt:lpstr>'492'!OSRRefH22_10x_0</vt:lpstr>
      <vt:lpstr>'501'!OSRRefH22_10x_0</vt:lpstr>
      <vt:lpstr>'Div 2'!OSRRefH22_10x_0</vt:lpstr>
      <vt:lpstr>'Div 3'!OSRRefH22_10x_0</vt:lpstr>
      <vt:lpstr>'Div 4'!OSRRefH22_10x_0</vt:lpstr>
      <vt:lpstr>'Div 5'!OSRRefH22_10x_0</vt:lpstr>
      <vt:lpstr>'Div 6'!OSRRefH22_10x_0</vt:lpstr>
      <vt:lpstr>Summary!OSRRefH22_10x_0</vt:lpstr>
      <vt:lpstr>'201'!OSRRefH22_11x_0</vt:lpstr>
      <vt:lpstr>'202'!OSRRefH22_11x_0</vt:lpstr>
      <vt:lpstr>'203'!OSRRefH22_11x_0</vt:lpstr>
      <vt:lpstr>'300'!OSRRefH22_11x_0</vt:lpstr>
      <vt:lpstr>'300 &amp; 317'!OSRRefH22_11x_0</vt:lpstr>
      <vt:lpstr>'301'!OSRRefH22_11x_0</vt:lpstr>
      <vt:lpstr>'307'!OSRRefH22_11x_0</vt:lpstr>
      <vt:lpstr>'308'!OSRRefH22_11x_0</vt:lpstr>
      <vt:lpstr>'309'!OSRRefH22_11x_0</vt:lpstr>
      <vt:lpstr>'310'!OSRRefH22_11x_0</vt:lpstr>
      <vt:lpstr>'310 &amp; 491'!OSRRefH22_11x_0</vt:lpstr>
      <vt:lpstr>'311'!OSRRefH22_11x_0</vt:lpstr>
      <vt:lpstr>'315'!OSRRefH22_11x_0</vt:lpstr>
      <vt:lpstr>'316'!OSRRefH22_11x_0</vt:lpstr>
      <vt:lpstr>'321'!OSRRefH22_11x_0</vt:lpstr>
      <vt:lpstr>'325'!OSRRefH22_11x_0</vt:lpstr>
      <vt:lpstr>'326'!OSRRefH22_11x_0</vt:lpstr>
      <vt:lpstr>'331'!OSRRefH22_11x_0</vt:lpstr>
      <vt:lpstr>'332'!OSRRefH22_11x_0</vt:lpstr>
      <vt:lpstr>'333'!OSRRefH22_11x_0</vt:lpstr>
      <vt:lpstr>'405'!OSRRefH22_11x_0</vt:lpstr>
      <vt:lpstr>'411'!OSRRefH22_11x_0</vt:lpstr>
      <vt:lpstr>'415'!OSRRefH22_11x_0</vt:lpstr>
      <vt:lpstr>'418'!OSRRefH22_11x_0</vt:lpstr>
      <vt:lpstr>'433'!OSRRefH22_11x_0</vt:lpstr>
      <vt:lpstr>'444'!OSRRefH22_11x_0</vt:lpstr>
      <vt:lpstr>'450'!OSRRefH22_11x_0</vt:lpstr>
      <vt:lpstr>'491'!OSRRefH22_11x_0</vt:lpstr>
      <vt:lpstr>'492'!OSRRefH22_11x_0</vt:lpstr>
      <vt:lpstr>'501'!OSRRefH22_11x_0</vt:lpstr>
      <vt:lpstr>'Div 2'!OSRRefH22_11x_0</vt:lpstr>
      <vt:lpstr>'Div 3'!OSRRefH22_11x_0</vt:lpstr>
      <vt:lpstr>'Div 4'!OSRRefH22_11x_0</vt:lpstr>
      <vt:lpstr>'Div 5'!OSRRefH22_11x_0</vt:lpstr>
      <vt:lpstr>Summary!OSRRefH22_11x_0</vt:lpstr>
      <vt:lpstr>'201'!OSRRefH22_12x_0</vt:lpstr>
      <vt:lpstr>'202'!OSRRefH22_12x_0</vt:lpstr>
      <vt:lpstr>'203'!OSRRefH22_12x_0</vt:lpstr>
      <vt:lpstr>'300'!OSRRefH22_12x_0</vt:lpstr>
      <vt:lpstr>'300 &amp; 317'!OSRRefH22_12x_0</vt:lpstr>
      <vt:lpstr>'301'!OSRRefH22_12x_0</vt:lpstr>
      <vt:lpstr>'307'!OSRRefH22_12x_0</vt:lpstr>
      <vt:lpstr>'308'!OSRRefH22_12x_0</vt:lpstr>
      <vt:lpstr>'309'!OSRRefH22_12x_0</vt:lpstr>
      <vt:lpstr>'310'!OSRRefH22_12x_0</vt:lpstr>
      <vt:lpstr>'310 &amp; 491'!OSRRefH22_12x_0</vt:lpstr>
      <vt:lpstr>'311'!OSRRefH22_12x_0</vt:lpstr>
      <vt:lpstr>'315'!OSRRefH22_12x_0</vt:lpstr>
      <vt:lpstr>'316'!OSRRefH22_12x_0</vt:lpstr>
      <vt:lpstr>'321'!OSRRefH22_12x_0</vt:lpstr>
      <vt:lpstr>'325'!OSRRefH22_12x_0</vt:lpstr>
      <vt:lpstr>'326'!OSRRefH22_12x_0</vt:lpstr>
      <vt:lpstr>'331'!OSRRefH22_12x_0</vt:lpstr>
      <vt:lpstr>'332'!OSRRefH22_12x_0</vt:lpstr>
      <vt:lpstr>'333'!OSRRefH22_12x_0</vt:lpstr>
      <vt:lpstr>'405'!OSRRefH22_12x_0</vt:lpstr>
      <vt:lpstr>'411'!OSRRefH22_12x_0</vt:lpstr>
      <vt:lpstr>'415'!OSRRefH22_12x_0</vt:lpstr>
      <vt:lpstr>'418'!OSRRefH22_12x_0</vt:lpstr>
      <vt:lpstr>'433'!OSRRefH22_12x_0</vt:lpstr>
      <vt:lpstr>'444'!OSRRefH22_12x_0</vt:lpstr>
      <vt:lpstr>'450'!OSRRefH22_12x_0</vt:lpstr>
      <vt:lpstr>'491'!OSRRefH22_12x_0</vt:lpstr>
      <vt:lpstr>'492'!OSRRefH22_12x_0</vt:lpstr>
      <vt:lpstr>'501'!OSRRefH22_12x_0</vt:lpstr>
      <vt:lpstr>'Div 2'!OSRRefH22_12x_0</vt:lpstr>
      <vt:lpstr>'Div 3'!OSRRefH22_12x_0</vt:lpstr>
      <vt:lpstr>'Div 4'!OSRRefH22_12x_0</vt:lpstr>
      <vt:lpstr>'Div 5'!OSRRefH22_12x_0</vt:lpstr>
      <vt:lpstr>Summary!OSRRefH22_12x_0</vt:lpstr>
      <vt:lpstr>'201'!OSRRefH22_13x_0</vt:lpstr>
      <vt:lpstr>'202'!OSRRefH22_13x_0</vt:lpstr>
      <vt:lpstr>'203'!OSRRefH22_13x_0</vt:lpstr>
      <vt:lpstr>'300'!OSRRefH22_13x_0</vt:lpstr>
      <vt:lpstr>'300 &amp; 317'!OSRRefH22_13x_0</vt:lpstr>
      <vt:lpstr>'301'!OSRRefH22_13x_0</vt:lpstr>
      <vt:lpstr>'307'!OSRRefH22_13x_0</vt:lpstr>
      <vt:lpstr>'308'!OSRRefH22_13x_0</vt:lpstr>
      <vt:lpstr>'310'!OSRRefH22_13x_0</vt:lpstr>
      <vt:lpstr>'310 &amp; 491'!OSRRefH22_13x_0</vt:lpstr>
      <vt:lpstr>'311'!OSRRefH22_13x_0</vt:lpstr>
      <vt:lpstr>'315'!OSRRefH22_13x_0</vt:lpstr>
      <vt:lpstr>'321'!OSRRefH22_13x_0</vt:lpstr>
      <vt:lpstr>'325'!OSRRefH22_13x_0</vt:lpstr>
      <vt:lpstr>'326'!OSRRefH22_13x_0</vt:lpstr>
      <vt:lpstr>'331'!OSRRefH22_13x_0</vt:lpstr>
      <vt:lpstr>'333'!OSRRefH22_13x_0</vt:lpstr>
      <vt:lpstr>'405'!OSRRefH22_13x_0</vt:lpstr>
      <vt:lpstr>'411'!OSRRefH22_13x_0</vt:lpstr>
      <vt:lpstr>'415'!OSRRefH22_13x_0</vt:lpstr>
      <vt:lpstr>'418'!OSRRefH22_13x_0</vt:lpstr>
      <vt:lpstr>'433'!OSRRefH22_13x_0</vt:lpstr>
      <vt:lpstr>'444'!OSRRefH22_13x_0</vt:lpstr>
      <vt:lpstr>'450'!OSRRefH22_13x_0</vt:lpstr>
      <vt:lpstr>'491'!OSRRefH22_13x_0</vt:lpstr>
      <vt:lpstr>'492'!OSRRefH22_13x_0</vt:lpstr>
      <vt:lpstr>'501'!OSRRefH22_13x_0</vt:lpstr>
      <vt:lpstr>'Div 2'!OSRRefH22_13x_0</vt:lpstr>
      <vt:lpstr>'Div 3'!OSRRefH22_13x_0</vt:lpstr>
      <vt:lpstr>'Div 4'!OSRRefH22_13x_0</vt:lpstr>
      <vt:lpstr>'Div 5'!OSRRefH22_13x_0</vt:lpstr>
      <vt:lpstr>Summary!OSRRefH22_13x_0</vt:lpstr>
      <vt:lpstr>'201'!OSRRefH22_14x_0</vt:lpstr>
      <vt:lpstr>'203'!OSRRefH22_14x_0</vt:lpstr>
      <vt:lpstr>'300'!OSRRefH22_14x_0</vt:lpstr>
      <vt:lpstr>'300 &amp; 317'!OSRRefH22_14x_0</vt:lpstr>
      <vt:lpstr>'301'!OSRRefH22_14x_0</vt:lpstr>
      <vt:lpstr>'310'!OSRRefH22_14x_0</vt:lpstr>
      <vt:lpstr>'310 &amp; 491'!OSRRefH22_14x_0</vt:lpstr>
      <vt:lpstr>'315'!OSRRefH22_14x_0</vt:lpstr>
      <vt:lpstr>'325'!OSRRefH22_14x_0</vt:lpstr>
      <vt:lpstr>'326'!OSRRefH22_14x_0</vt:lpstr>
      <vt:lpstr>'331'!OSRRefH22_14x_0</vt:lpstr>
      <vt:lpstr>'333'!OSRRefH22_14x_0</vt:lpstr>
      <vt:lpstr>'405'!OSRRefH22_14x_0</vt:lpstr>
      <vt:lpstr>'411'!OSRRefH22_14x_0</vt:lpstr>
      <vt:lpstr>'415'!OSRRefH22_14x_0</vt:lpstr>
      <vt:lpstr>'418'!OSRRefH22_14x_0</vt:lpstr>
      <vt:lpstr>'433'!OSRRefH22_14x_0</vt:lpstr>
      <vt:lpstr>'444'!OSRRefH22_14x_0</vt:lpstr>
      <vt:lpstr>'450'!OSRRefH22_14x_0</vt:lpstr>
      <vt:lpstr>'491'!OSRRefH22_14x_0</vt:lpstr>
      <vt:lpstr>'492'!OSRRefH22_14x_0</vt:lpstr>
      <vt:lpstr>'Div 2'!OSRRefH22_14x_0</vt:lpstr>
      <vt:lpstr>'Div 3'!OSRRefH22_14x_0</vt:lpstr>
      <vt:lpstr>'Div 4'!OSRRefH22_14x_0</vt:lpstr>
      <vt:lpstr>Summary!OSRRefH22_14x_0</vt:lpstr>
      <vt:lpstr>'201'!OSRRefH22_15x_0</vt:lpstr>
      <vt:lpstr>'300'!OSRRefH22_15x_0</vt:lpstr>
      <vt:lpstr>'300 &amp; 317'!OSRRefH22_15x_0</vt:lpstr>
      <vt:lpstr>'301'!OSRRefH22_15x_0</vt:lpstr>
      <vt:lpstr>'310'!OSRRefH22_15x_0</vt:lpstr>
      <vt:lpstr>'310 &amp; 491'!OSRRefH22_15x_0</vt:lpstr>
      <vt:lpstr>'315'!OSRRefH22_15x_0</vt:lpstr>
      <vt:lpstr>'325'!OSRRefH22_15x_0</vt:lpstr>
      <vt:lpstr>'326'!OSRRefH22_15x_0</vt:lpstr>
      <vt:lpstr>'331'!OSRRefH22_15x_0</vt:lpstr>
      <vt:lpstr>'333'!OSRRefH22_15x_0</vt:lpstr>
      <vt:lpstr>'405'!OSRRefH22_15x_0</vt:lpstr>
      <vt:lpstr>'411'!OSRRefH22_15x_0</vt:lpstr>
      <vt:lpstr>'415'!OSRRefH22_15x_0</vt:lpstr>
      <vt:lpstr>'418'!OSRRefH22_15x_0</vt:lpstr>
      <vt:lpstr>'433'!OSRRefH22_15x_0</vt:lpstr>
      <vt:lpstr>'444'!OSRRefH22_15x_0</vt:lpstr>
      <vt:lpstr>'450'!OSRRefH22_15x_0</vt:lpstr>
      <vt:lpstr>'491'!OSRRefH22_15x_0</vt:lpstr>
      <vt:lpstr>'492'!OSRRefH22_15x_0</vt:lpstr>
      <vt:lpstr>'Div 2'!OSRRefH22_15x_0</vt:lpstr>
      <vt:lpstr>'Div 3'!OSRRefH22_15x_0</vt:lpstr>
      <vt:lpstr>'Div 4'!OSRRefH22_15x_0</vt:lpstr>
      <vt:lpstr>Summary!OSRRefH22_15x_0</vt:lpstr>
      <vt:lpstr>'201'!OSRRefH22_16x_0</vt:lpstr>
      <vt:lpstr>'300'!OSRRefH22_16x_0</vt:lpstr>
      <vt:lpstr>'300 &amp; 317'!OSRRefH22_16x_0</vt:lpstr>
      <vt:lpstr>'301'!OSRRefH22_16x_0</vt:lpstr>
      <vt:lpstr>'310'!OSRRefH22_16x_0</vt:lpstr>
      <vt:lpstr>'310 &amp; 491'!OSRRefH22_16x_0</vt:lpstr>
      <vt:lpstr>'315'!OSRRefH22_16x_0</vt:lpstr>
      <vt:lpstr>'325'!OSRRefH22_16x_0</vt:lpstr>
      <vt:lpstr>'326'!OSRRefH22_16x_0</vt:lpstr>
      <vt:lpstr>'331'!OSRRefH22_16x_0</vt:lpstr>
      <vt:lpstr>'333'!OSRRefH22_16x_0</vt:lpstr>
      <vt:lpstr>'405'!OSRRefH22_16x_0</vt:lpstr>
      <vt:lpstr>'411'!OSRRefH22_16x_0</vt:lpstr>
      <vt:lpstr>'415'!OSRRefH22_16x_0</vt:lpstr>
      <vt:lpstr>'444'!OSRRefH22_16x_0</vt:lpstr>
      <vt:lpstr>'450'!OSRRefH22_16x_0</vt:lpstr>
      <vt:lpstr>'491'!OSRRefH22_16x_0</vt:lpstr>
      <vt:lpstr>'492'!OSRRefH22_16x_0</vt:lpstr>
      <vt:lpstr>'Div 2'!OSRRefH22_16x_0</vt:lpstr>
      <vt:lpstr>'Div 3'!OSRRefH22_16x_0</vt:lpstr>
      <vt:lpstr>'Div 4'!OSRRefH22_16x_0</vt:lpstr>
      <vt:lpstr>Summary!OSRRefH22_16x_0</vt:lpstr>
      <vt:lpstr>'300'!OSRRefH22_17x_0</vt:lpstr>
      <vt:lpstr>'300 &amp; 317'!OSRRefH22_17x_0</vt:lpstr>
      <vt:lpstr>'301'!OSRRefH22_17x_0</vt:lpstr>
      <vt:lpstr>'310'!OSRRefH22_17x_0</vt:lpstr>
      <vt:lpstr>'310 &amp; 491'!OSRRefH22_17x_0</vt:lpstr>
      <vt:lpstr>'315'!OSRRefH22_17x_0</vt:lpstr>
      <vt:lpstr>'326'!OSRRefH22_17x_0</vt:lpstr>
      <vt:lpstr>'331'!OSRRefH22_17x_0</vt:lpstr>
      <vt:lpstr>'333'!OSRRefH22_17x_0</vt:lpstr>
      <vt:lpstr>'415'!OSRRefH22_17x_0</vt:lpstr>
      <vt:lpstr>'491'!OSRRefH22_17x_0</vt:lpstr>
      <vt:lpstr>'492'!OSRRefH22_17x_0</vt:lpstr>
      <vt:lpstr>'Div 2'!OSRRefH22_17x_0</vt:lpstr>
      <vt:lpstr>'Div 3'!OSRRefH22_17x_0</vt:lpstr>
      <vt:lpstr>'Div 4'!OSRRefH22_17x_0</vt:lpstr>
      <vt:lpstr>Summary!OSRRefH22_17x_0</vt:lpstr>
      <vt:lpstr>'300'!OSRRefH22_18x_0</vt:lpstr>
      <vt:lpstr>'300 &amp; 317'!OSRRefH22_18x_0</vt:lpstr>
      <vt:lpstr>'301'!OSRRefH22_18x_0</vt:lpstr>
      <vt:lpstr>'310 &amp; 491'!OSRRefH22_18x_0</vt:lpstr>
      <vt:lpstr>'315'!OSRRefH22_18x_0</vt:lpstr>
      <vt:lpstr>'331'!OSRRefH22_18x_0</vt:lpstr>
      <vt:lpstr>'333'!OSRRefH22_18x_0</vt:lpstr>
      <vt:lpstr>'491'!OSRRefH22_18x_0</vt:lpstr>
      <vt:lpstr>'492'!OSRRefH22_18x_0</vt:lpstr>
      <vt:lpstr>'Div 2'!OSRRefH22_18x_0</vt:lpstr>
      <vt:lpstr>'Div 3'!OSRRefH22_18x_0</vt:lpstr>
      <vt:lpstr>'Div 4'!OSRRefH22_18x_0</vt:lpstr>
      <vt:lpstr>Summary!OSRRefH22_18x_0</vt:lpstr>
      <vt:lpstr>'300'!OSRRefH22_19x_0</vt:lpstr>
      <vt:lpstr>'300 &amp; 317'!OSRRefH22_19x_0</vt:lpstr>
      <vt:lpstr>'301'!OSRRefH22_19x_0</vt:lpstr>
      <vt:lpstr>'310 &amp; 491'!OSRRefH22_19x_0</vt:lpstr>
      <vt:lpstr>'331'!OSRRefH22_19x_0</vt:lpstr>
      <vt:lpstr>'333'!OSRRefH22_19x_0</vt:lpstr>
      <vt:lpstr>'491'!OSRRefH22_19x_0</vt:lpstr>
      <vt:lpstr>'Div 2'!OSRRefH22_19x_0</vt:lpstr>
      <vt:lpstr>'Div 3'!OSRRefH22_19x_0</vt:lpstr>
      <vt:lpstr>'Div 4'!OSRRefH22_19x_0</vt:lpstr>
      <vt:lpstr>Summary!OSRRefH22_19x_0</vt:lpstr>
      <vt:lpstr>'200'!OSRRefH22_1x_0</vt:lpstr>
      <vt:lpstr>'201'!OSRRefH22_1x_0</vt:lpstr>
      <vt:lpstr>'202'!OSRRefH22_1x_0</vt:lpstr>
      <vt:lpstr>'203'!OSRRefH22_1x_0</vt:lpstr>
      <vt:lpstr>'204'!OSRRefH22_1x_0</vt:lpstr>
      <vt:lpstr>'205'!OSRRefH22_1x_0</vt:lpstr>
      <vt:lpstr>'206'!OSRRefH22_1x_0</vt:lpstr>
      <vt:lpstr>'300'!OSRRefH22_1x_0</vt:lpstr>
      <vt:lpstr>'300 &amp; 317'!OSRRefH22_1x_0</vt:lpstr>
      <vt:lpstr>'301'!OSRRefH22_1x_0</vt:lpstr>
      <vt:lpstr>'307'!OSRRefH22_1x_0</vt:lpstr>
      <vt:lpstr>'308'!OSRRefH22_1x_0</vt:lpstr>
      <vt:lpstr>'309'!OSRRefH22_1x_0</vt:lpstr>
      <vt:lpstr>'310'!OSRRefH22_1x_0</vt:lpstr>
      <vt:lpstr>'310 &amp; 491'!OSRRefH22_1x_0</vt:lpstr>
      <vt:lpstr>'311'!OSRRefH22_1x_0</vt:lpstr>
      <vt:lpstr>'315'!OSRRefH22_1x_0</vt:lpstr>
      <vt:lpstr>'316'!OSRRefH22_1x_0</vt:lpstr>
      <vt:lpstr>'317'!OSRRefH22_1x_0</vt:lpstr>
      <vt:lpstr>'321'!OSRRefH22_1x_0</vt:lpstr>
      <vt:lpstr>'325'!OSRRefH22_1x_0</vt:lpstr>
      <vt:lpstr>'326'!OSRRefH22_1x_0</vt:lpstr>
      <vt:lpstr>'327'!OSRRefH22_1x_0</vt:lpstr>
      <vt:lpstr>'331'!OSRRefH22_1x_0</vt:lpstr>
      <vt:lpstr>'332'!OSRRefH22_1x_0</vt:lpstr>
      <vt:lpstr>'333'!OSRRefH22_1x_0</vt:lpstr>
      <vt:lpstr>'405'!OSRRefH22_1x_0</vt:lpstr>
      <vt:lpstr>'406'!OSRRefH22_1x_0</vt:lpstr>
      <vt:lpstr>'411'!OSRRefH22_1x_0</vt:lpstr>
      <vt:lpstr>'412'!OSRRefH22_1x_0</vt:lpstr>
      <vt:lpstr>'413'!OSRRefH22_1x_0</vt:lpstr>
      <vt:lpstr>'414'!OSRRefH22_1x_0</vt:lpstr>
      <vt:lpstr>'415'!OSRRefH22_1x_0</vt:lpstr>
      <vt:lpstr>'418'!OSRRefH22_1x_0</vt:lpstr>
      <vt:lpstr>'423'!OSRRefH22_1x_0</vt:lpstr>
      <vt:lpstr>'424'!OSRRefH22_1x_0</vt:lpstr>
      <vt:lpstr>'425'!OSRRefH22_1x_0</vt:lpstr>
      <vt:lpstr>'430'!OSRRefH22_1x_0</vt:lpstr>
      <vt:lpstr>'433'!OSRRefH22_1x_0</vt:lpstr>
      <vt:lpstr>'435'!OSRRefH22_1x_0</vt:lpstr>
      <vt:lpstr>'444'!OSRRefH22_1x_0</vt:lpstr>
      <vt:lpstr>'450'!OSRRefH22_1x_0</vt:lpstr>
      <vt:lpstr>'491'!OSRRefH22_1x_0</vt:lpstr>
      <vt:lpstr>'492'!OSRRefH22_1x_0</vt:lpstr>
      <vt:lpstr>'501'!OSRRefH22_1x_0</vt:lpstr>
      <vt:lpstr>'Div 2'!OSRRefH22_1x_0</vt:lpstr>
      <vt:lpstr>'Div 3'!OSRRefH22_1x_0</vt:lpstr>
      <vt:lpstr>'Div 4'!OSRRefH22_1x_0</vt:lpstr>
      <vt:lpstr>'Div 5'!OSRRefH22_1x_0</vt:lpstr>
      <vt:lpstr>'Div 6'!OSRRefH22_1x_0</vt:lpstr>
      <vt:lpstr>Summary!OSRRefH22_1x_0</vt:lpstr>
      <vt:lpstr>'300'!OSRRefH22_20x_0</vt:lpstr>
      <vt:lpstr>'300 &amp; 317'!OSRRefH22_20x_0</vt:lpstr>
      <vt:lpstr>'301'!OSRRefH22_20x_0</vt:lpstr>
      <vt:lpstr>'310 &amp; 491'!OSRRefH22_20x_0</vt:lpstr>
      <vt:lpstr>'331'!OSRRefH22_20x_0</vt:lpstr>
      <vt:lpstr>'333'!OSRRefH22_20x_0</vt:lpstr>
      <vt:lpstr>'491'!OSRRefH22_20x_0</vt:lpstr>
      <vt:lpstr>'Div 3'!OSRRefH22_20x_0</vt:lpstr>
      <vt:lpstr>'Div 4'!OSRRefH22_20x_0</vt:lpstr>
      <vt:lpstr>Summary!OSRRefH22_20x_0</vt:lpstr>
      <vt:lpstr>'300'!OSRRefH22_21x_0</vt:lpstr>
      <vt:lpstr>'300 &amp; 317'!OSRRefH22_21x_0</vt:lpstr>
      <vt:lpstr>'301'!OSRRefH22_21x_0</vt:lpstr>
      <vt:lpstr>'310 &amp; 491'!OSRRefH22_21x_0</vt:lpstr>
      <vt:lpstr>'331'!OSRRefH22_21x_0</vt:lpstr>
      <vt:lpstr>'333'!OSRRefH22_21x_0</vt:lpstr>
      <vt:lpstr>'491'!OSRRefH22_21x_0</vt:lpstr>
      <vt:lpstr>'Div 3'!OSRRefH22_21x_0</vt:lpstr>
      <vt:lpstr>'Div 4'!OSRRefH22_21x_0</vt:lpstr>
      <vt:lpstr>Summary!OSRRefH22_21x_0</vt:lpstr>
      <vt:lpstr>'300'!OSRRefH22_22x_0</vt:lpstr>
      <vt:lpstr>'300 &amp; 317'!OSRRefH22_22x_0</vt:lpstr>
      <vt:lpstr>'301'!OSRRefH22_22x_0</vt:lpstr>
      <vt:lpstr>'331'!OSRRefH22_22x_0</vt:lpstr>
      <vt:lpstr>'333'!OSRRefH22_22x_0</vt:lpstr>
      <vt:lpstr>'Div 3'!OSRRefH22_22x_0</vt:lpstr>
      <vt:lpstr>'Div 4'!OSRRefH22_22x_0</vt:lpstr>
      <vt:lpstr>Summary!OSRRefH22_22x_0</vt:lpstr>
      <vt:lpstr>'300'!OSRRefH22_23x_0</vt:lpstr>
      <vt:lpstr>'300 &amp; 317'!OSRRefH22_23x_0</vt:lpstr>
      <vt:lpstr>'Div 3'!OSRRefH22_23x_0</vt:lpstr>
      <vt:lpstr>'Div 4'!OSRRefH22_23x_0</vt:lpstr>
      <vt:lpstr>Summary!OSRRefH22_23x_0</vt:lpstr>
      <vt:lpstr>'300'!OSRRefH22_24x_0</vt:lpstr>
      <vt:lpstr>'300 &amp; 317'!OSRRefH22_24x_0</vt:lpstr>
      <vt:lpstr>'Div 3'!OSRRefH22_24x_0</vt:lpstr>
      <vt:lpstr>Summary!OSRRefH22_24x_0</vt:lpstr>
      <vt:lpstr>'Div 3'!OSRRefH22_25x_0</vt:lpstr>
      <vt:lpstr>Summary!OSRRefH22_25x_0</vt:lpstr>
      <vt:lpstr>Summary!OSRRefH22_26x_0</vt:lpstr>
      <vt:lpstr>'200'!OSRRefH22_2x_0</vt:lpstr>
      <vt:lpstr>'201'!OSRRefH22_2x_0</vt:lpstr>
      <vt:lpstr>'202'!OSRRefH22_2x_0</vt:lpstr>
      <vt:lpstr>'203'!OSRRefH22_2x_0</vt:lpstr>
      <vt:lpstr>'204'!OSRRefH22_2x_0</vt:lpstr>
      <vt:lpstr>'205'!OSRRefH22_2x_0</vt:lpstr>
      <vt:lpstr>'206'!OSRRefH22_2x_0</vt:lpstr>
      <vt:lpstr>'300'!OSRRefH22_2x_0</vt:lpstr>
      <vt:lpstr>'300 &amp; 317'!OSRRefH22_2x_0</vt:lpstr>
      <vt:lpstr>'301'!OSRRefH22_2x_0</vt:lpstr>
      <vt:lpstr>'307'!OSRRefH22_2x_0</vt:lpstr>
      <vt:lpstr>'308'!OSRRefH22_2x_0</vt:lpstr>
      <vt:lpstr>'309'!OSRRefH22_2x_0</vt:lpstr>
      <vt:lpstr>'310'!OSRRefH22_2x_0</vt:lpstr>
      <vt:lpstr>'310 &amp; 491'!OSRRefH22_2x_0</vt:lpstr>
      <vt:lpstr>'311'!OSRRefH22_2x_0</vt:lpstr>
      <vt:lpstr>'315'!OSRRefH22_2x_0</vt:lpstr>
      <vt:lpstr>'316'!OSRRefH22_2x_0</vt:lpstr>
      <vt:lpstr>'317'!OSRRefH22_2x_0</vt:lpstr>
      <vt:lpstr>'321'!OSRRefH22_2x_0</vt:lpstr>
      <vt:lpstr>'325'!OSRRefH22_2x_0</vt:lpstr>
      <vt:lpstr>'326'!OSRRefH22_2x_0</vt:lpstr>
      <vt:lpstr>'331'!OSRRefH22_2x_0</vt:lpstr>
      <vt:lpstr>'332'!OSRRefH22_2x_0</vt:lpstr>
      <vt:lpstr>'333'!OSRRefH22_2x_0</vt:lpstr>
      <vt:lpstr>'405'!OSRRefH22_2x_0</vt:lpstr>
      <vt:lpstr>'411'!OSRRefH22_2x_0</vt:lpstr>
      <vt:lpstr>'412'!OSRRefH22_2x_0</vt:lpstr>
      <vt:lpstr>'413'!OSRRefH22_2x_0</vt:lpstr>
      <vt:lpstr>'414'!OSRRefH22_2x_0</vt:lpstr>
      <vt:lpstr>'415'!OSRRefH22_2x_0</vt:lpstr>
      <vt:lpstr>'418'!OSRRefH22_2x_0</vt:lpstr>
      <vt:lpstr>'423'!OSRRefH22_2x_0</vt:lpstr>
      <vt:lpstr>'424'!OSRRefH22_2x_0</vt:lpstr>
      <vt:lpstr>'425'!OSRRefH22_2x_0</vt:lpstr>
      <vt:lpstr>'430'!OSRRefH22_2x_0</vt:lpstr>
      <vt:lpstr>'433'!OSRRefH22_2x_0</vt:lpstr>
      <vt:lpstr>'435'!OSRRefH22_2x_0</vt:lpstr>
      <vt:lpstr>'444'!OSRRefH22_2x_0</vt:lpstr>
      <vt:lpstr>'450'!OSRRefH22_2x_0</vt:lpstr>
      <vt:lpstr>'491'!OSRRefH22_2x_0</vt:lpstr>
      <vt:lpstr>'492'!OSRRefH22_2x_0</vt:lpstr>
      <vt:lpstr>'501'!OSRRefH22_2x_0</vt:lpstr>
      <vt:lpstr>'Div 2'!OSRRefH22_2x_0</vt:lpstr>
      <vt:lpstr>'Div 3'!OSRRefH22_2x_0</vt:lpstr>
      <vt:lpstr>'Div 4'!OSRRefH22_2x_0</vt:lpstr>
      <vt:lpstr>'Div 5'!OSRRefH22_2x_0</vt:lpstr>
      <vt:lpstr>'Div 6'!OSRRefH22_2x_0</vt:lpstr>
      <vt:lpstr>Summary!OSRRefH22_2x_0</vt:lpstr>
      <vt:lpstr>'200'!OSRRefH22_3x_0</vt:lpstr>
      <vt:lpstr>'201'!OSRRefH22_3x_0</vt:lpstr>
      <vt:lpstr>'202'!OSRRefH22_3x_0</vt:lpstr>
      <vt:lpstr>'203'!OSRRefH22_3x_0</vt:lpstr>
      <vt:lpstr>'204'!OSRRefH22_3x_0</vt:lpstr>
      <vt:lpstr>'205'!OSRRefH22_3x_0</vt:lpstr>
      <vt:lpstr>'206'!OSRRefH22_3x_0</vt:lpstr>
      <vt:lpstr>'300'!OSRRefH22_3x_0</vt:lpstr>
      <vt:lpstr>'300 &amp; 317'!OSRRefH22_3x_0</vt:lpstr>
      <vt:lpstr>'301'!OSRRefH22_3x_0</vt:lpstr>
      <vt:lpstr>'307'!OSRRefH22_3x_0</vt:lpstr>
      <vt:lpstr>'308'!OSRRefH22_3x_0</vt:lpstr>
      <vt:lpstr>'309'!OSRRefH22_3x_0</vt:lpstr>
      <vt:lpstr>'310'!OSRRefH22_3x_0</vt:lpstr>
      <vt:lpstr>'310 &amp; 491'!OSRRefH22_3x_0</vt:lpstr>
      <vt:lpstr>'311'!OSRRefH22_3x_0</vt:lpstr>
      <vt:lpstr>'315'!OSRRefH22_3x_0</vt:lpstr>
      <vt:lpstr>'316'!OSRRefH22_3x_0</vt:lpstr>
      <vt:lpstr>'317'!OSRRefH22_3x_0</vt:lpstr>
      <vt:lpstr>'321'!OSRRefH22_3x_0</vt:lpstr>
      <vt:lpstr>'325'!OSRRefH22_3x_0</vt:lpstr>
      <vt:lpstr>'326'!OSRRefH22_3x_0</vt:lpstr>
      <vt:lpstr>'331'!OSRRefH22_3x_0</vt:lpstr>
      <vt:lpstr>'332'!OSRRefH22_3x_0</vt:lpstr>
      <vt:lpstr>'333'!OSRRefH22_3x_0</vt:lpstr>
      <vt:lpstr>'405'!OSRRefH22_3x_0</vt:lpstr>
      <vt:lpstr>'411'!OSRRefH22_3x_0</vt:lpstr>
      <vt:lpstr>'412'!OSRRefH22_3x_0</vt:lpstr>
      <vt:lpstr>'415'!OSRRefH22_3x_0</vt:lpstr>
      <vt:lpstr>'418'!OSRRefH22_3x_0</vt:lpstr>
      <vt:lpstr>'423'!OSRRefH22_3x_0</vt:lpstr>
      <vt:lpstr>'425'!OSRRefH22_3x_0</vt:lpstr>
      <vt:lpstr>'430'!OSRRefH22_3x_0</vt:lpstr>
      <vt:lpstr>'433'!OSRRefH22_3x_0</vt:lpstr>
      <vt:lpstr>'435'!OSRRefH22_3x_0</vt:lpstr>
      <vt:lpstr>'444'!OSRRefH22_3x_0</vt:lpstr>
      <vt:lpstr>'450'!OSRRefH22_3x_0</vt:lpstr>
      <vt:lpstr>'491'!OSRRefH22_3x_0</vt:lpstr>
      <vt:lpstr>'492'!OSRRefH22_3x_0</vt:lpstr>
      <vt:lpstr>'501'!OSRRefH22_3x_0</vt:lpstr>
      <vt:lpstr>'Div 2'!OSRRefH22_3x_0</vt:lpstr>
      <vt:lpstr>'Div 3'!OSRRefH22_3x_0</vt:lpstr>
      <vt:lpstr>'Div 4'!OSRRefH22_3x_0</vt:lpstr>
      <vt:lpstr>'Div 5'!OSRRefH22_3x_0</vt:lpstr>
      <vt:lpstr>'Div 6'!OSRRefH22_3x_0</vt:lpstr>
      <vt:lpstr>Summary!OSRRefH22_3x_0</vt:lpstr>
      <vt:lpstr>'201'!OSRRefH22_4x_0</vt:lpstr>
      <vt:lpstr>'202'!OSRRefH22_4x_0</vt:lpstr>
      <vt:lpstr>'203'!OSRRefH22_4x_0</vt:lpstr>
      <vt:lpstr>'204'!OSRRefH22_4x_0</vt:lpstr>
      <vt:lpstr>'205'!OSRRefH22_4x_0</vt:lpstr>
      <vt:lpstr>'206'!OSRRefH22_4x_0</vt:lpstr>
      <vt:lpstr>'300'!OSRRefH22_4x_0</vt:lpstr>
      <vt:lpstr>'300 &amp; 317'!OSRRefH22_4x_0</vt:lpstr>
      <vt:lpstr>'301'!OSRRefH22_4x_0</vt:lpstr>
      <vt:lpstr>'307'!OSRRefH22_4x_0</vt:lpstr>
      <vt:lpstr>'308'!OSRRefH22_4x_0</vt:lpstr>
      <vt:lpstr>'309'!OSRRefH22_4x_0</vt:lpstr>
      <vt:lpstr>'310'!OSRRefH22_4x_0</vt:lpstr>
      <vt:lpstr>'310 &amp; 491'!OSRRefH22_4x_0</vt:lpstr>
      <vt:lpstr>'311'!OSRRefH22_4x_0</vt:lpstr>
      <vt:lpstr>'315'!OSRRefH22_4x_0</vt:lpstr>
      <vt:lpstr>'316'!OSRRefH22_4x_0</vt:lpstr>
      <vt:lpstr>'317'!OSRRefH22_4x_0</vt:lpstr>
      <vt:lpstr>'321'!OSRRefH22_4x_0</vt:lpstr>
      <vt:lpstr>'325'!OSRRefH22_4x_0</vt:lpstr>
      <vt:lpstr>'326'!OSRRefH22_4x_0</vt:lpstr>
      <vt:lpstr>'331'!OSRRefH22_4x_0</vt:lpstr>
      <vt:lpstr>'332'!OSRRefH22_4x_0</vt:lpstr>
      <vt:lpstr>'333'!OSRRefH22_4x_0</vt:lpstr>
      <vt:lpstr>'405'!OSRRefH22_4x_0</vt:lpstr>
      <vt:lpstr>'411'!OSRRefH22_4x_0</vt:lpstr>
      <vt:lpstr>'412'!OSRRefH22_4x_0</vt:lpstr>
      <vt:lpstr>'415'!OSRRefH22_4x_0</vt:lpstr>
      <vt:lpstr>'418'!OSRRefH22_4x_0</vt:lpstr>
      <vt:lpstr>'423'!OSRRefH22_4x_0</vt:lpstr>
      <vt:lpstr>'425'!OSRRefH22_4x_0</vt:lpstr>
      <vt:lpstr>'430'!OSRRefH22_4x_0</vt:lpstr>
      <vt:lpstr>'433'!OSRRefH22_4x_0</vt:lpstr>
      <vt:lpstr>'435'!OSRRefH22_4x_0</vt:lpstr>
      <vt:lpstr>'444'!OSRRefH22_4x_0</vt:lpstr>
      <vt:lpstr>'450'!OSRRefH22_4x_0</vt:lpstr>
      <vt:lpstr>'491'!OSRRefH22_4x_0</vt:lpstr>
      <vt:lpstr>'492'!OSRRefH22_4x_0</vt:lpstr>
      <vt:lpstr>'501'!OSRRefH22_4x_0</vt:lpstr>
      <vt:lpstr>'Div 2'!OSRRefH22_4x_0</vt:lpstr>
      <vt:lpstr>'Div 3'!OSRRefH22_4x_0</vt:lpstr>
      <vt:lpstr>'Div 4'!OSRRefH22_4x_0</vt:lpstr>
      <vt:lpstr>'Div 5'!OSRRefH22_4x_0</vt:lpstr>
      <vt:lpstr>'Div 6'!OSRRefH22_4x_0</vt:lpstr>
      <vt:lpstr>Summary!OSRRefH22_4x_0</vt:lpstr>
      <vt:lpstr>'201'!OSRRefH22_5x_0</vt:lpstr>
      <vt:lpstr>'202'!OSRRefH22_5x_0</vt:lpstr>
      <vt:lpstr>'203'!OSRRefH22_5x_0</vt:lpstr>
      <vt:lpstr>'204'!OSRRefH22_5x_0</vt:lpstr>
      <vt:lpstr>'205'!OSRRefH22_5x_0</vt:lpstr>
      <vt:lpstr>'206'!OSRRefH22_5x_0</vt:lpstr>
      <vt:lpstr>'300'!OSRRefH22_5x_0</vt:lpstr>
      <vt:lpstr>'300 &amp; 317'!OSRRefH22_5x_0</vt:lpstr>
      <vt:lpstr>'301'!OSRRefH22_5x_0</vt:lpstr>
      <vt:lpstr>'307'!OSRRefH22_5x_0</vt:lpstr>
      <vt:lpstr>'308'!OSRRefH22_5x_0</vt:lpstr>
      <vt:lpstr>'309'!OSRRefH22_5x_0</vt:lpstr>
      <vt:lpstr>'310'!OSRRefH22_5x_0</vt:lpstr>
      <vt:lpstr>'310 &amp; 491'!OSRRefH22_5x_0</vt:lpstr>
      <vt:lpstr>'311'!OSRRefH22_5x_0</vt:lpstr>
      <vt:lpstr>'315'!OSRRefH22_5x_0</vt:lpstr>
      <vt:lpstr>'316'!OSRRefH22_5x_0</vt:lpstr>
      <vt:lpstr>'317'!OSRRefH22_5x_0</vt:lpstr>
      <vt:lpstr>'321'!OSRRefH22_5x_0</vt:lpstr>
      <vt:lpstr>'325'!OSRRefH22_5x_0</vt:lpstr>
      <vt:lpstr>'326'!OSRRefH22_5x_0</vt:lpstr>
      <vt:lpstr>'331'!OSRRefH22_5x_0</vt:lpstr>
      <vt:lpstr>'332'!OSRRefH22_5x_0</vt:lpstr>
      <vt:lpstr>'333'!OSRRefH22_5x_0</vt:lpstr>
      <vt:lpstr>'405'!OSRRefH22_5x_0</vt:lpstr>
      <vt:lpstr>'411'!OSRRefH22_5x_0</vt:lpstr>
      <vt:lpstr>'415'!OSRRefH22_5x_0</vt:lpstr>
      <vt:lpstr>'418'!OSRRefH22_5x_0</vt:lpstr>
      <vt:lpstr>'423'!OSRRefH22_5x_0</vt:lpstr>
      <vt:lpstr>'425'!OSRRefH22_5x_0</vt:lpstr>
      <vt:lpstr>'430'!OSRRefH22_5x_0</vt:lpstr>
      <vt:lpstr>'433'!OSRRefH22_5x_0</vt:lpstr>
      <vt:lpstr>'444'!OSRRefH22_5x_0</vt:lpstr>
      <vt:lpstr>'450'!OSRRefH22_5x_0</vt:lpstr>
      <vt:lpstr>'491'!OSRRefH22_5x_0</vt:lpstr>
      <vt:lpstr>'492'!OSRRefH22_5x_0</vt:lpstr>
      <vt:lpstr>'501'!OSRRefH22_5x_0</vt:lpstr>
      <vt:lpstr>'Div 2'!OSRRefH22_5x_0</vt:lpstr>
      <vt:lpstr>'Div 3'!OSRRefH22_5x_0</vt:lpstr>
      <vt:lpstr>'Div 4'!OSRRefH22_5x_0</vt:lpstr>
      <vt:lpstr>'Div 5'!OSRRefH22_5x_0</vt:lpstr>
      <vt:lpstr>'Div 6'!OSRRefH22_5x_0</vt:lpstr>
      <vt:lpstr>Summary!OSRRefH22_5x_0</vt:lpstr>
      <vt:lpstr>'201'!OSRRefH22_6x_0</vt:lpstr>
      <vt:lpstr>'202'!OSRRefH22_6x_0</vt:lpstr>
      <vt:lpstr>'203'!OSRRefH22_6x_0</vt:lpstr>
      <vt:lpstr>'204'!OSRRefH22_6x_0</vt:lpstr>
      <vt:lpstr>'205'!OSRRefH22_6x_0</vt:lpstr>
      <vt:lpstr>'206'!OSRRefH22_6x_0</vt:lpstr>
      <vt:lpstr>'300'!OSRRefH22_6x_0</vt:lpstr>
      <vt:lpstr>'300 &amp; 317'!OSRRefH22_6x_0</vt:lpstr>
      <vt:lpstr>'301'!OSRRefH22_6x_0</vt:lpstr>
      <vt:lpstr>'307'!OSRRefH22_6x_0</vt:lpstr>
      <vt:lpstr>'308'!OSRRefH22_6x_0</vt:lpstr>
      <vt:lpstr>'309'!OSRRefH22_6x_0</vt:lpstr>
      <vt:lpstr>'310'!OSRRefH22_6x_0</vt:lpstr>
      <vt:lpstr>'310 &amp; 491'!OSRRefH22_6x_0</vt:lpstr>
      <vt:lpstr>'311'!OSRRefH22_6x_0</vt:lpstr>
      <vt:lpstr>'315'!OSRRefH22_6x_0</vt:lpstr>
      <vt:lpstr>'316'!OSRRefH22_6x_0</vt:lpstr>
      <vt:lpstr>'317'!OSRRefH22_6x_0</vt:lpstr>
      <vt:lpstr>'321'!OSRRefH22_6x_0</vt:lpstr>
      <vt:lpstr>'325'!OSRRefH22_6x_0</vt:lpstr>
      <vt:lpstr>'326'!OSRRefH22_6x_0</vt:lpstr>
      <vt:lpstr>'331'!OSRRefH22_6x_0</vt:lpstr>
      <vt:lpstr>'332'!OSRRefH22_6x_0</vt:lpstr>
      <vt:lpstr>'333'!OSRRefH22_6x_0</vt:lpstr>
      <vt:lpstr>'405'!OSRRefH22_6x_0</vt:lpstr>
      <vt:lpstr>'411'!OSRRefH22_6x_0</vt:lpstr>
      <vt:lpstr>'415'!OSRRefH22_6x_0</vt:lpstr>
      <vt:lpstr>'418'!OSRRefH22_6x_0</vt:lpstr>
      <vt:lpstr>'430'!OSRRefH22_6x_0</vt:lpstr>
      <vt:lpstr>'433'!OSRRefH22_6x_0</vt:lpstr>
      <vt:lpstr>'444'!OSRRefH22_6x_0</vt:lpstr>
      <vt:lpstr>'450'!OSRRefH22_6x_0</vt:lpstr>
      <vt:lpstr>'491'!OSRRefH22_6x_0</vt:lpstr>
      <vt:lpstr>'492'!OSRRefH22_6x_0</vt:lpstr>
      <vt:lpstr>'501'!OSRRefH22_6x_0</vt:lpstr>
      <vt:lpstr>'Div 2'!OSRRefH22_6x_0</vt:lpstr>
      <vt:lpstr>'Div 3'!OSRRefH22_6x_0</vt:lpstr>
      <vt:lpstr>'Div 4'!OSRRefH22_6x_0</vt:lpstr>
      <vt:lpstr>'Div 5'!OSRRefH22_6x_0</vt:lpstr>
      <vt:lpstr>'Div 6'!OSRRefH22_6x_0</vt:lpstr>
      <vt:lpstr>Summary!OSRRefH22_6x_0</vt:lpstr>
      <vt:lpstr>'201'!OSRRefH22_7x_0</vt:lpstr>
      <vt:lpstr>'202'!OSRRefH22_7x_0</vt:lpstr>
      <vt:lpstr>'203'!OSRRefH22_7x_0</vt:lpstr>
      <vt:lpstr>'204'!OSRRefH22_7x_0</vt:lpstr>
      <vt:lpstr>'205'!OSRRefH22_7x_0</vt:lpstr>
      <vt:lpstr>'206'!OSRRefH22_7x_0</vt:lpstr>
      <vt:lpstr>'300'!OSRRefH22_7x_0</vt:lpstr>
      <vt:lpstr>'300 &amp; 317'!OSRRefH22_7x_0</vt:lpstr>
      <vt:lpstr>'301'!OSRRefH22_7x_0</vt:lpstr>
      <vt:lpstr>'307'!OSRRefH22_7x_0</vt:lpstr>
      <vt:lpstr>'308'!OSRRefH22_7x_0</vt:lpstr>
      <vt:lpstr>'309'!OSRRefH22_7x_0</vt:lpstr>
      <vt:lpstr>'310'!OSRRefH22_7x_0</vt:lpstr>
      <vt:lpstr>'310 &amp; 491'!OSRRefH22_7x_0</vt:lpstr>
      <vt:lpstr>'311'!OSRRefH22_7x_0</vt:lpstr>
      <vt:lpstr>'315'!OSRRefH22_7x_0</vt:lpstr>
      <vt:lpstr>'316'!OSRRefH22_7x_0</vt:lpstr>
      <vt:lpstr>'317'!OSRRefH22_7x_0</vt:lpstr>
      <vt:lpstr>'321'!OSRRefH22_7x_0</vt:lpstr>
      <vt:lpstr>'325'!OSRRefH22_7x_0</vt:lpstr>
      <vt:lpstr>'326'!OSRRefH22_7x_0</vt:lpstr>
      <vt:lpstr>'331'!OSRRefH22_7x_0</vt:lpstr>
      <vt:lpstr>'332'!OSRRefH22_7x_0</vt:lpstr>
      <vt:lpstr>'333'!OSRRefH22_7x_0</vt:lpstr>
      <vt:lpstr>'405'!OSRRefH22_7x_0</vt:lpstr>
      <vt:lpstr>'411'!OSRRefH22_7x_0</vt:lpstr>
      <vt:lpstr>'415'!OSRRefH22_7x_0</vt:lpstr>
      <vt:lpstr>'418'!OSRRefH22_7x_0</vt:lpstr>
      <vt:lpstr>'430'!OSRRefH22_7x_0</vt:lpstr>
      <vt:lpstr>'433'!OSRRefH22_7x_0</vt:lpstr>
      <vt:lpstr>'444'!OSRRefH22_7x_0</vt:lpstr>
      <vt:lpstr>'450'!OSRRefH22_7x_0</vt:lpstr>
      <vt:lpstr>'491'!OSRRefH22_7x_0</vt:lpstr>
      <vt:lpstr>'492'!OSRRefH22_7x_0</vt:lpstr>
      <vt:lpstr>'501'!OSRRefH22_7x_0</vt:lpstr>
      <vt:lpstr>'Div 2'!OSRRefH22_7x_0</vt:lpstr>
      <vt:lpstr>'Div 3'!OSRRefH22_7x_0</vt:lpstr>
      <vt:lpstr>'Div 4'!OSRRefH22_7x_0</vt:lpstr>
      <vt:lpstr>'Div 5'!OSRRefH22_7x_0</vt:lpstr>
      <vt:lpstr>'Div 6'!OSRRefH22_7x_0</vt:lpstr>
      <vt:lpstr>Summary!OSRRefH22_7x_0</vt:lpstr>
      <vt:lpstr>'201'!OSRRefH22_8x_0</vt:lpstr>
      <vt:lpstr>'202'!OSRRefH22_8x_0</vt:lpstr>
      <vt:lpstr>'203'!OSRRefH22_8x_0</vt:lpstr>
      <vt:lpstr>'204'!OSRRefH22_8x_0</vt:lpstr>
      <vt:lpstr>'300'!OSRRefH22_8x_0</vt:lpstr>
      <vt:lpstr>'300 &amp; 317'!OSRRefH22_8x_0</vt:lpstr>
      <vt:lpstr>'301'!OSRRefH22_8x_0</vt:lpstr>
      <vt:lpstr>'307'!OSRRefH22_8x_0</vt:lpstr>
      <vt:lpstr>'308'!OSRRefH22_8x_0</vt:lpstr>
      <vt:lpstr>'309'!OSRRefH22_8x_0</vt:lpstr>
      <vt:lpstr>'310'!OSRRefH22_8x_0</vt:lpstr>
      <vt:lpstr>'310 &amp; 491'!OSRRefH22_8x_0</vt:lpstr>
      <vt:lpstr>'311'!OSRRefH22_8x_0</vt:lpstr>
      <vt:lpstr>'315'!OSRRefH22_8x_0</vt:lpstr>
      <vt:lpstr>'316'!OSRRefH22_8x_0</vt:lpstr>
      <vt:lpstr>'317'!OSRRefH22_8x_0</vt:lpstr>
      <vt:lpstr>'321'!OSRRefH22_8x_0</vt:lpstr>
      <vt:lpstr>'325'!OSRRefH22_8x_0</vt:lpstr>
      <vt:lpstr>'326'!OSRRefH22_8x_0</vt:lpstr>
      <vt:lpstr>'331'!OSRRefH22_8x_0</vt:lpstr>
      <vt:lpstr>'332'!OSRRefH22_8x_0</vt:lpstr>
      <vt:lpstr>'333'!OSRRefH22_8x_0</vt:lpstr>
      <vt:lpstr>'405'!OSRRefH22_8x_0</vt:lpstr>
      <vt:lpstr>'411'!OSRRefH22_8x_0</vt:lpstr>
      <vt:lpstr>'415'!OSRRefH22_8x_0</vt:lpstr>
      <vt:lpstr>'418'!OSRRefH22_8x_0</vt:lpstr>
      <vt:lpstr>'430'!OSRRefH22_8x_0</vt:lpstr>
      <vt:lpstr>'433'!OSRRefH22_8x_0</vt:lpstr>
      <vt:lpstr>'444'!OSRRefH22_8x_0</vt:lpstr>
      <vt:lpstr>'450'!OSRRefH22_8x_0</vt:lpstr>
      <vt:lpstr>'491'!OSRRefH22_8x_0</vt:lpstr>
      <vt:lpstr>'492'!OSRRefH22_8x_0</vt:lpstr>
      <vt:lpstr>'501'!OSRRefH22_8x_0</vt:lpstr>
      <vt:lpstr>'Div 2'!OSRRefH22_8x_0</vt:lpstr>
      <vt:lpstr>'Div 3'!OSRRefH22_8x_0</vt:lpstr>
      <vt:lpstr>'Div 4'!OSRRefH22_8x_0</vt:lpstr>
      <vt:lpstr>'Div 5'!OSRRefH22_8x_0</vt:lpstr>
      <vt:lpstr>'Div 6'!OSRRefH22_8x_0</vt:lpstr>
      <vt:lpstr>Summary!OSRRefH22_8x_0</vt:lpstr>
      <vt:lpstr>'201'!OSRRefH22_9x_0</vt:lpstr>
      <vt:lpstr>'202'!OSRRefH22_9x_0</vt:lpstr>
      <vt:lpstr>'203'!OSRRefH22_9x_0</vt:lpstr>
      <vt:lpstr>'204'!OSRRefH22_9x_0</vt:lpstr>
      <vt:lpstr>'300'!OSRRefH22_9x_0</vt:lpstr>
      <vt:lpstr>'300 &amp; 317'!OSRRefH22_9x_0</vt:lpstr>
      <vt:lpstr>'301'!OSRRefH22_9x_0</vt:lpstr>
      <vt:lpstr>'307'!OSRRefH22_9x_0</vt:lpstr>
      <vt:lpstr>'308'!OSRRefH22_9x_0</vt:lpstr>
      <vt:lpstr>'309'!OSRRefH22_9x_0</vt:lpstr>
      <vt:lpstr>'310'!OSRRefH22_9x_0</vt:lpstr>
      <vt:lpstr>'310 &amp; 491'!OSRRefH22_9x_0</vt:lpstr>
      <vt:lpstr>'311'!OSRRefH22_9x_0</vt:lpstr>
      <vt:lpstr>'315'!OSRRefH22_9x_0</vt:lpstr>
      <vt:lpstr>'316'!OSRRefH22_9x_0</vt:lpstr>
      <vt:lpstr>'317'!OSRRefH22_9x_0</vt:lpstr>
      <vt:lpstr>'321'!OSRRefH22_9x_0</vt:lpstr>
      <vt:lpstr>'325'!OSRRefH22_9x_0</vt:lpstr>
      <vt:lpstr>'326'!OSRRefH22_9x_0</vt:lpstr>
      <vt:lpstr>'331'!OSRRefH22_9x_0</vt:lpstr>
      <vt:lpstr>'332'!OSRRefH22_9x_0</vt:lpstr>
      <vt:lpstr>'333'!OSRRefH22_9x_0</vt:lpstr>
      <vt:lpstr>'405'!OSRRefH22_9x_0</vt:lpstr>
      <vt:lpstr>'411'!OSRRefH22_9x_0</vt:lpstr>
      <vt:lpstr>'415'!OSRRefH22_9x_0</vt:lpstr>
      <vt:lpstr>'418'!OSRRefH22_9x_0</vt:lpstr>
      <vt:lpstr>'433'!OSRRefH22_9x_0</vt:lpstr>
      <vt:lpstr>'444'!OSRRefH22_9x_0</vt:lpstr>
      <vt:lpstr>'450'!OSRRefH22_9x_0</vt:lpstr>
      <vt:lpstr>'491'!OSRRefH22_9x_0</vt:lpstr>
      <vt:lpstr>'492'!OSRRefH22_9x_0</vt:lpstr>
      <vt:lpstr>'501'!OSRRefH22_9x_0</vt:lpstr>
      <vt:lpstr>'Div 2'!OSRRefH22_9x_0</vt:lpstr>
      <vt:lpstr>'Div 3'!OSRRefH22_9x_0</vt:lpstr>
      <vt:lpstr>'Div 4'!OSRRefH22_9x_0</vt:lpstr>
      <vt:lpstr>'Div 5'!OSRRefH22_9x_0</vt:lpstr>
      <vt:lpstr>'Div 6'!OSRRefH22_9x_0</vt:lpstr>
      <vt:lpstr>Summary!OSRRefH22_9x_0</vt:lpstr>
      <vt:lpstr>'200'!OSRRefH22x_0</vt:lpstr>
      <vt:lpstr>'201'!OSRRefH22x_0</vt:lpstr>
      <vt:lpstr>'202'!OSRRefH22x_0</vt:lpstr>
      <vt:lpstr>'203'!OSRRefH22x_0</vt:lpstr>
      <vt:lpstr>'204'!OSRRefH22x_0</vt:lpstr>
      <vt:lpstr>'205'!OSRRefH22x_0</vt:lpstr>
      <vt:lpstr>'206'!OSRRefH22x_0</vt:lpstr>
      <vt:lpstr>'300'!OSRRefH22x_0</vt:lpstr>
      <vt:lpstr>'300 &amp; 317'!OSRRefH22x_0</vt:lpstr>
      <vt:lpstr>'301'!OSRRefH22x_0</vt:lpstr>
      <vt:lpstr>'307'!OSRRefH22x_0</vt:lpstr>
      <vt:lpstr>'308'!OSRRefH22x_0</vt:lpstr>
      <vt:lpstr>'309'!OSRRefH22x_0</vt:lpstr>
      <vt:lpstr>'310'!OSRRefH22x_0</vt:lpstr>
      <vt:lpstr>'310 &amp; 491'!OSRRefH22x_0</vt:lpstr>
      <vt:lpstr>'311'!OSRRefH22x_0</vt:lpstr>
      <vt:lpstr>'315'!OSRRefH22x_0</vt:lpstr>
      <vt:lpstr>'316'!OSRRefH22x_0</vt:lpstr>
      <vt:lpstr>'317'!OSRRefH22x_0</vt:lpstr>
      <vt:lpstr>'321'!OSRRefH22x_0</vt:lpstr>
      <vt:lpstr>'325'!OSRRefH22x_0</vt:lpstr>
      <vt:lpstr>'326'!OSRRefH22x_0</vt:lpstr>
      <vt:lpstr>'327'!OSRRefH22x_0</vt:lpstr>
      <vt:lpstr>'331'!OSRRefH22x_0</vt:lpstr>
      <vt:lpstr>'332'!OSRRefH22x_0</vt:lpstr>
      <vt:lpstr>'333'!OSRRefH22x_0</vt:lpstr>
      <vt:lpstr>'405'!OSRRefH22x_0</vt:lpstr>
      <vt:lpstr>'406'!OSRRefH22x_0</vt:lpstr>
      <vt:lpstr>'411'!OSRRefH22x_0</vt:lpstr>
      <vt:lpstr>'412'!OSRRefH22x_0</vt:lpstr>
      <vt:lpstr>'413'!OSRRefH22x_0</vt:lpstr>
      <vt:lpstr>'414'!OSRRefH22x_0</vt:lpstr>
      <vt:lpstr>'415'!OSRRefH22x_0</vt:lpstr>
      <vt:lpstr>'418'!OSRRefH22x_0</vt:lpstr>
      <vt:lpstr>'423'!OSRRefH22x_0</vt:lpstr>
      <vt:lpstr>'424'!OSRRefH22x_0</vt:lpstr>
      <vt:lpstr>'425'!OSRRefH22x_0</vt:lpstr>
      <vt:lpstr>'430'!OSRRefH22x_0</vt:lpstr>
      <vt:lpstr>'433'!OSRRefH22x_0</vt:lpstr>
      <vt:lpstr>'435'!OSRRefH22x_0</vt:lpstr>
      <vt:lpstr>'444'!OSRRefH22x_0</vt:lpstr>
      <vt:lpstr>'450'!OSRRefH22x_0</vt:lpstr>
      <vt:lpstr>'491'!OSRRefH22x_0</vt:lpstr>
      <vt:lpstr>'492'!OSRRefH22x_0</vt:lpstr>
      <vt:lpstr>'501'!OSRRefH22x_0</vt:lpstr>
      <vt:lpstr>'Div 2'!OSRRefH22x_0</vt:lpstr>
      <vt:lpstr>'Div 3'!OSRRefH22x_0</vt:lpstr>
      <vt:lpstr>'Div 4'!OSRRefH22x_0</vt:lpstr>
      <vt:lpstr>'Div 5'!OSRRefH22x_0</vt:lpstr>
      <vt:lpstr>'Div 6'!OSRRefH22x_0</vt:lpstr>
      <vt:lpstr>Summary!OSRRefH22x_0</vt:lpstr>
      <vt:lpstr>'300'!OSRRefH25x_0</vt:lpstr>
      <vt:lpstr>'300 &amp; 317'!OSRRefH25x_0</vt:lpstr>
      <vt:lpstr>'301'!OSRRefH25x_0</vt:lpstr>
      <vt:lpstr>'308'!OSRRefH25x_0</vt:lpstr>
      <vt:lpstr>'310 &amp; 491'!OSRRefH25x_0</vt:lpstr>
      <vt:lpstr>'311'!OSRRefH25x_0</vt:lpstr>
      <vt:lpstr>'315'!OSRRefH25x_0</vt:lpstr>
      <vt:lpstr>'316'!OSRRefH25x_0</vt:lpstr>
      <vt:lpstr>'317'!OSRRefH25x_0</vt:lpstr>
      <vt:lpstr>'331'!OSRRefH25x_0</vt:lpstr>
      <vt:lpstr>'332'!OSRRefH25x_0</vt:lpstr>
      <vt:lpstr>'333'!OSRRefH25x_0</vt:lpstr>
      <vt:lpstr>'405'!OSRRefH25x_0</vt:lpstr>
      <vt:lpstr>'411'!OSRRefH25x_0</vt:lpstr>
      <vt:lpstr>'415'!OSRRefH25x_0</vt:lpstr>
      <vt:lpstr>'418'!OSRRefH25x_0</vt:lpstr>
      <vt:lpstr>'423'!OSRRefH25x_0</vt:lpstr>
      <vt:lpstr>'491'!OSRRefH25x_0</vt:lpstr>
      <vt:lpstr>'501'!OSRRefH25x_0</vt:lpstr>
      <vt:lpstr>'Div 3'!OSRRefH25x_0</vt:lpstr>
      <vt:lpstr>'Div 4'!OSRRefH25x_0</vt:lpstr>
      <vt:lpstr>'Div 5'!OSRRefH25x_0</vt:lpstr>
      <vt:lpstr>'Div 6'!OSRRefH25x_0</vt:lpstr>
      <vt:lpstr>Summary!OSRRefH25x_0</vt:lpstr>
      <vt:lpstr>'300'!OSRRefP13x_0</vt:lpstr>
      <vt:lpstr>'300 &amp; 317'!OSRRefP13x_0</vt:lpstr>
      <vt:lpstr>'307'!OSRRefP13x_0</vt:lpstr>
      <vt:lpstr>'308'!OSRRefP13x_0</vt:lpstr>
      <vt:lpstr>'309'!OSRRefP13x_0</vt:lpstr>
      <vt:lpstr>'310'!OSRRefP13x_0</vt:lpstr>
      <vt:lpstr>'310 &amp; 491'!OSRRefP13x_0</vt:lpstr>
      <vt:lpstr>'311'!OSRRefP13x_0</vt:lpstr>
      <vt:lpstr>'315'!OSRRefP13x_0</vt:lpstr>
      <vt:lpstr>'316'!OSRRefP13x_0</vt:lpstr>
      <vt:lpstr>'317'!OSRRefP13x_0</vt:lpstr>
      <vt:lpstr>'321'!OSRRefP13x_0</vt:lpstr>
      <vt:lpstr>'324'!OSRRefP13x_0</vt:lpstr>
      <vt:lpstr>'325'!OSRRefP13x_0</vt:lpstr>
      <vt:lpstr>'326'!OSRRefP13x_0</vt:lpstr>
      <vt:lpstr>'327'!OSRRefP13x_0</vt:lpstr>
      <vt:lpstr>'331'!OSRRefP13x_0</vt:lpstr>
      <vt:lpstr>'332'!OSRRefP13x_0</vt:lpstr>
      <vt:lpstr>'333'!OSRRefP13x_0</vt:lpstr>
      <vt:lpstr>'405'!OSRRefP13x_0</vt:lpstr>
      <vt:lpstr>'415'!OSRRefP13x_0</vt:lpstr>
      <vt:lpstr>'418'!OSRRefP13x_0</vt:lpstr>
      <vt:lpstr>'425'!OSRRefP13x_0</vt:lpstr>
      <vt:lpstr>'433'!OSRRefP13x_0</vt:lpstr>
      <vt:lpstr>'435'!OSRRefP13x_0</vt:lpstr>
      <vt:lpstr>'444'!OSRRefP13x_0</vt:lpstr>
      <vt:lpstr>'450'!OSRRefP13x_0</vt:lpstr>
      <vt:lpstr>'491'!OSRRefP13x_0</vt:lpstr>
      <vt:lpstr>'492'!OSRRefP13x_0</vt:lpstr>
      <vt:lpstr>'501'!OSRRefP13x_0</vt:lpstr>
      <vt:lpstr>'Div 3'!OSRRefP13x_0</vt:lpstr>
      <vt:lpstr>'Div 4'!OSRRefP13x_0</vt:lpstr>
      <vt:lpstr>'Div 5'!OSRRefP13x_0</vt:lpstr>
      <vt:lpstr>'Div 6'!OSRRefP13x_0</vt:lpstr>
      <vt:lpstr>Summary!OSRRefP13x_0</vt:lpstr>
      <vt:lpstr>'300'!OSRRefP16x_0</vt:lpstr>
      <vt:lpstr>'300 &amp; 317'!OSRRefP16x_0</vt:lpstr>
      <vt:lpstr>'301'!OSRRefP16x_0</vt:lpstr>
      <vt:lpstr>'307'!OSRRefP16x_0</vt:lpstr>
      <vt:lpstr>'308'!OSRRefP16x_0</vt:lpstr>
      <vt:lpstr>'309'!OSRRefP16x_0</vt:lpstr>
      <vt:lpstr>'310'!OSRRefP16x_0</vt:lpstr>
      <vt:lpstr>'310 &amp; 491'!OSRRefP16x_0</vt:lpstr>
      <vt:lpstr>'311'!OSRRefP16x_0</vt:lpstr>
      <vt:lpstr>'315'!OSRRefP16x_0</vt:lpstr>
      <vt:lpstr>'316'!OSRRefP16x_0</vt:lpstr>
      <vt:lpstr>'317'!OSRRefP16x_0</vt:lpstr>
      <vt:lpstr>'321'!OSRRefP16x_0</vt:lpstr>
      <vt:lpstr>'324'!OSRRefP16x_0</vt:lpstr>
      <vt:lpstr>'325'!OSRRefP16x_0</vt:lpstr>
      <vt:lpstr>'326'!OSRRefP16x_0</vt:lpstr>
      <vt:lpstr>'327'!OSRRefP16x_0</vt:lpstr>
      <vt:lpstr>'331'!OSRRefP16x_0</vt:lpstr>
      <vt:lpstr>'332'!OSRRefP16x_0</vt:lpstr>
      <vt:lpstr>'333'!OSRRefP16x_0</vt:lpstr>
      <vt:lpstr>'405'!OSRRefP16x_0</vt:lpstr>
      <vt:lpstr>'412'!OSRRefP16x_0</vt:lpstr>
      <vt:lpstr>'415'!OSRRefP16x_0</vt:lpstr>
      <vt:lpstr>'418'!OSRRefP16x_0</vt:lpstr>
      <vt:lpstr>'424'!OSRRefP16x_0</vt:lpstr>
      <vt:lpstr>'425'!OSRRefP16x_0</vt:lpstr>
      <vt:lpstr>'433'!OSRRefP16x_0</vt:lpstr>
      <vt:lpstr>'435'!OSRRefP16x_0</vt:lpstr>
      <vt:lpstr>'444'!OSRRefP16x_0</vt:lpstr>
      <vt:lpstr>'450'!OSRRefP16x_0</vt:lpstr>
      <vt:lpstr>'491'!OSRRefP16x_0</vt:lpstr>
      <vt:lpstr>'492'!OSRRefP16x_0</vt:lpstr>
      <vt:lpstr>'Div 3'!OSRRefP16x_0</vt:lpstr>
      <vt:lpstr>'Div 4'!OSRRefP16x_0</vt:lpstr>
      <vt:lpstr>'Div 6'!OSRRefP16x_0</vt:lpstr>
      <vt:lpstr>Summary!OSRRefP16x_0</vt:lpstr>
      <vt:lpstr>'200'!OSRRefP22_0x_0</vt:lpstr>
      <vt:lpstr>'201'!OSRRefP22_0x_0</vt:lpstr>
      <vt:lpstr>'202'!OSRRefP22_0x_0</vt:lpstr>
      <vt:lpstr>'203'!OSRRefP22_0x_0</vt:lpstr>
      <vt:lpstr>'204'!OSRRefP22_0x_0</vt:lpstr>
      <vt:lpstr>'205'!OSRRefP22_0x_0</vt:lpstr>
      <vt:lpstr>'206'!OSRRefP22_0x_0</vt:lpstr>
      <vt:lpstr>'300'!OSRRefP22_0x_0</vt:lpstr>
      <vt:lpstr>'300 &amp; 317'!OSRRefP22_0x_0</vt:lpstr>
      <vt:lpstr>'301'!OSRRefP22_0x_0</vt:lpstr>
      <vt:lpstr>'307'!OSRRefP22_0x_0</vt:lpstr>
      <vt:lpstr>'308'!OSRRefP22_0x_0</vt:lpstr>
      <vt:lpstr>'309'!OSRRefP22_0x_0</vt:lpstr>
      <vt:lpstr>'310'!OSRRefP22_0x_0</vt:lpstr>
      <vt:lpstr>'310 &amp; 491'!OSRRefP22_0x_0</vt:lpstr>
      <vt:lpstr>'311'!OSRRefP22_0x_0</vt:lpstr>
      <vt:lpstr>'315'!OSRRefP22_0x_0</vt:lpstr>
      <vt:lpstr>'316'!OSRRefP22_0x_0</vt:lpstr>
      <vt:lpstr>'317'!OSRRefP22_0x_0</vt:lpstr>
      <vt:lpstr>'321'!OSRRefP22_0x_0</vt:lpstr>
      <vt:lpstr>'325'!OSRRefP22_0x_0</vt:lpstr>
      <vt:lpstr>'326'!OSRRefP22_0x_0</vt:lpstr>
      <vt:lpstr>'327'!OSRRefP22_0x_0</vt:lpstr>
      <vt:lpstr>'331'!OSRRefP22_0x_0</vt:lpstr>
      <vt:lpstr>'332'!OSRRefP22_0x_0</vt:lpstr>
      <vt:lpstr>'333'!OSRRefP22_0x_0</vt:lpstr>
      <vt:lpstr>'405'!OSRRefP22_0x_0</vt:lpstr>
      <vt:lpstr>'406'!OSRRefP22_0x_0</vt:lpstr>
      <vt:lpstr>'411'!OSRRefP22_0x_0</vt:lpstr>
      <vt:lpstr>'412'!OSRRefP22_0x_0</vt:lpstr>
      <vt:lpstr>'413'!OSRRefP22_0x_0</vt:lpstr>
      <vt:lpstr>'414'!OSRRefP22_0x_0</vt:lpstr>
      <vt:lpstr>'415'!OSRRefP22_0x_0</vt:lpstr>
      <vt:lpstr>'418'!OSRRefP22_0x_0</vt:lpstr>
      <vt:lpstr>'423'!OSRRefP22_0x_0</vt:lpstr>
      <vt:lpstr>'424'!OSRRefP22_0x_0</vt:lpstr>
      <vt:lpstr>'425'!OSRRefP22_0x_0</vt:lpstr>
      <vt:lpstr>'430'!OSRRefP22_0x_0</vt:lpstr>
      <vt:lpstr>'433'!OSRRefP22_0x_0</vt:lpstr>
      <vt:lpstr>'435'!OSRRefP22_0x_0</vt:lpstr>
      <vt:lpstr>'444'!OSRRefP22_0x_0</vt:lpstr>
      <vt:lpstr>'450'!OSRRefP22_0x_0</vt:lpstr>
      <vt:lpstr>'491'!OSRRefP22_0x_0</vt:lpstr>
      <vt:lpstr>'492'!OSRRefP22_0x_0</vt:lpstr>
      <vt:lpstr>'501'!OSRRefP22_0x_0</vt:lpstr>
      <vt:lpstr>'Div 2'!OSRRefP22_0x_0</vt:lpstr>
      <vt:lpstr>'Div 3'!OSRRefP22_0x_0</vt:lpstr>
      <vt:lpstr>'Div 4'!OSRRefP22_0x_0</vt:lpstr>
      <vt:lpstr>'Div 5'!OSRRefP22_0x_0</vt:lpstr>
      <vt:lpstr>'Div 6'!OSRRefP22_0x_0</vt:lpstr>
      <vt:lpstr>Summary!OSRRefP22_0x_0</vt:lpstr>
      <vt:lpstr>'201'!OSRRefP22_10x_0</vt:lpstr>
      <vt:lpstr>'202'!OSRRefP22_10x_0</vt:lpstr>
      <vt:lpstr>'203'!OSRRefP22_10x_0</vt:lpstr>
      <vt:lpstr>'204'!OSRRefP22_10x_0</vt:lpstr>
      <vt:lpstr>'300'!OSRRefP22_10x_0</vt:lpstr>
      <vt:lpstr>'300 &amp; 317'!OSRRefP22_10x_0</vt:lpstr>
      <vt:lpstr>'301'!OSRRefP22_10x_0</vt:lpstr>
      <vt:lpstr>'307'!OSRRefP22_10x_0</vt:lpstr>
      <vt:lpstr>'308'!OSRRefP22_10x_0</vt:lpstr>
      <vt:lpstr>'309'!OSRRefP22_10x_0</vt:lpstr>
      <vt:lpstr>'310'!OSRRefP22_10x_0</vt:lpstr>
      <vt:lpstr>'310 &amp; 491'!OSRRefP22_10x_0</vt:lpstr>
      <vt:lpstr>'311'!OSRRefP22_10x_0</vt:lpstr>
      <vt:lpstr>'315'!OSRRefP22_10x_0</vt:lpstr>
      <vt:lpstr>'316'!OSRRefP22_10x_0</vt:lpstr>
      <vt:lpstr>'317'!OSRRefP22_10x_0</vt:lpstr>
      <vt:lpstr>'321'!OSRRefP22_10x_0</vt:lpstr>
      <vt:lpstr>'325'!OSRRefP22_10x_0</vt:lpstr>
      <vt:lpstr>'326'!OSRRefP22_10x_0</vt:lpstr>
      <vt:lpstr>'331'!OSRRefP22_10x_0</vt:lpstr>
      <vt:lpstr>'332'!OSRRefP22_10x_0</vt:lpstr>
      <vt:lpstr>'333'!OSRRefP22_10x_0</vt:lpstr>
      <vt:lpstr>'405'!OSRRefP22_10x_0</vt:lpstr>
      <vt:lpstr>'411'!OSRRefP22_10x_0</vt:lpstr>
      <vt:lpstr>'415'!OSRRefP22_10x_0</vt:lpstr>
      <vt:lpstr>'418'!OSRRefP22_10x_0</vt:lpstr>
      <vt:lpstr>'433'!OSRRefP22_10x_0</vt:lpstr>
      <vt:lpstr>'444'!OSRRefP22_10x_0</vt:lpstr>
      <vt:lpstr>'450'!OSRRefP22_10x_0</vt:lpstr>
      <vt:lpstr>'491'!OSRRefP22_10x_0</vt:lpstr>
      <vt:lpstr>'492'!OSRRefP22_10x_0</vt:lpstr>
      <vt:lpstr>'501'!OSRRefP22_10x_0</vt:lpstr>
      <vt:lpstr>'Div 2'!OSRRefP22_10x_0</vt:lpstr>
      <vt:lpstr>'Div 3'!OSRRefP22_10x_0</vt:lpstr>
      <vt:lpstr>'Div 4'!OSRRefP22_10x_0</vt:lpstr>
      <vt:lpstr>'Div 5'!OSRRefP22_10x_0</vt:lpstr>
      <vt:lpstr>'Div 6'!OSRRefP22_10x_0</vt:lpstr>
      <vt:lpstr>Summary!OSRRefP22_10x_0</vt:lpstr>
      <vt:lpstr>'201'!OSRRefP22_11x_0</vt:lpstr>
      <vt:lpstr>'202'!OSRRefP22_11x_0</vt:lpstr>
      <vt:lpstr>'203'!OSRRefP22_11x_0</vt:lpstr>
      <vt:lpstr>'300'!OSRRefP22_11x_0</vt:lpstr>
      <vt:lpstr>'300 &amp; 317'!OSRRefP22_11x_0</vt:lpstr>
      <vt:lpstr>'301'!OSRRefP22_11x_0</vt:lpstr>
      <vt:lpstr>'307'!OSRRefP22_11x_0</vt:lpstr>
      <vt:lpstr>'308'!OSRRefP22_11x_0</vt:lpstr>
      <vt:lpstr>'309'!OSRRefP22_11x_0</vt:lpstr>
      <vt:lpstr>'310'!OSRRefP22_11x_0</vt:lpstr>
      <vt:lpstr>'310 &amp; 491'!OSRRefP22_11x_0</vt:lpstr>
      <vt:lpstr>'311'!OSRRefP22_11x_0</vt:lpstr>
      <vt:lpstr>'315'!OSRRefP22_11x_0</vt:lpstr>
      <vt:lpstr>'316'!OSRRefP22_11x_0</vt:lpstr>
      <vt:lpstr>'321'!OSRRefP22_11x_0</vt:lpstr>
      <vt:lpstr>'325'!OSRRefP22_11x_0</vt:lpstr>
      <vt:lpstr>'326'!OSRRefP22_11x_0</vt:lpstr>
      <vt:lpstr>'331'!OSRRefP22_11x_0</vt:lpstr>
      <vt:lpstr>'332'!OSRRefP22_11x_0</vt:lpstr>
      <vt:lpstr>'333'!OSRRefP22_11x_0</vt:lpstr>
      <vt:lpstr>'405'!OSRRefP22_11x_0</vt:lpstr>
      <vt:lpstr>'411'!OSRRefP22_11x_0</vt:lpstr>
      <vt:lpstr>'415'!OSRRefP22_11x_0</vt:lpstr>
      <vt:lpstr>'418'!OSRRefP22_11x_0</vt:lpstr>
      <vt:lpstr>'433'!OSRRefP22_11x_0</vt:lpstr>
      <vt:lpstr>'444'!OSRRefP22_11x_0</vt:lpstr>
      <vt:lpstr>'450'!OSRRefP22_11x_0</vt:lpstr>
      <vt:lpstr>'491'!OSRRefP22_11x_0</vt:lpstr>
      <vt:lpstr>'492'!OSRRefP22_11x_0</vt:lpstr>
      <vt:lpstr>'501'!OSRRefP22_11x_0</vt:lpstr>
      <vt:lpstr>'Div 2'!OSRRefP22_11x_0</vt:lpstr>
      <vt:lpstr>'Div 3'!OSRRefP22_11x_0</vt:lpstr>
      <vt:lpstr>'Div 4'!OSRRefP22_11x_0</vt:lpstr>
      <vt:lpstr>'Div 5'!OSRRefP22_11x_0</vt:lpstr>
      <vt:lpstr>Summary!OSRRefP22_11x_0</vt:lpstr>
      <vt:lpstr>'201'!OSRRefP22_12x_0</vt:lpstr>
      <vt:lpstr>'202'!OSRRefP22_12x_0</vt:lpstr>
      <vt:lpstr>'203'!OSRRefP22_12x_0</vt:lpstr>
      <vt:lpstr>'300'!OSRRefP22_12x_0</vt:lpstr>
      <vt:lpstr>'300 &amp; 317'!OSRRefP22_12x_0</vt:lpstr>
      <vt:lpstr>'301'!OSRRefP22_12x_0</vt:lpstr>
      <vt:lpstr>'307'!OSRRefP22_12x_0</vt:lpstr>
      <vt:lpstr>'308'!OSRRefP22_12x_0</vt:lpstr>
      <vt:lpstr>'309'!OSRRefP22_12x_0</vt:lpstr>
      <vt:lpstr>'310'!OSRRefP22_12x_0</vt:lpstr>
      <vt:lpstr>'310 &amp; 491'!OSRRefP22_12x_0</vt:lpstr>
      <vt:lpstr>'311'!OSRRefP22_12x_0</vt:lpstr>
      <vt:lpstr>'315'!OSRRefP22_12x_0</vt:lpstr>
      <vt:lpstr>'316'!OSRRefP22_12x_0</vt:lpstr>
      <vt:lpstr>'321'!OSRRefP22_12x_0</vt:lpstr>
      <vt:lpstr>'325'!OSRRefP22_12x_0</vt:lpstr>
      <vt:lpstr>'326'!OSRRefP22_12x_0</vt:lpstr>
      <vt:lpstr>'331'!OSRRefP22_12x_0</vt:lpstr>
      <vt:lpstr>'332'!OSRRefP22_12x_0</vt:lpstr>
      <vt:lpstr>'333'!OSRRefP22_12x_0</vt:lpstr>
      <vt:lpstr>'405'!OSRRefP22_12x_0</vt:lpstr>
      <vt:lpstr>'411'!OSRRefP22_12x_0</vt:lpstr>
      <vt:lpstr>'415'!OSRRefP22_12x_0</vt:lpstr>
      <vt:lpstr>'418'!OSRRefP22_12x_0</vt:lpstr>
      <vt:lpstr>'433'!OSRRefP22_12x_0</vt:lpstr>
      <vt:lpstr>'444'!OSRRefP22_12x_0</vt:lpstr>
      <vt:lpstr>'450'!OSRRefP22_12x_0</vt:lpstr>
      <vt:lpstr>'491'!OSRRefP22_12x_0</vt:lpstr>
      <vt:lpstr>'492'!OSRRefP22_12x_0</vt:lpstr>
      <vt:lpstr>'501'!OSRRefP22_12x_0</vt:lpstr>
      <vt:lpstr>'Div 2'!OSRRefP22_12x_0</vt:lpstr>
      <vt:lpstr>'Div 3'!OSRRefP22_12x_0</vt:lpstr>
      <vt:lpstr>'Div 4'!OSRRefP22_12x_0</vt:lpstr>
      <vt:lpstr>'Div 5'!OSRRefP22_12x_0</vt:lpstr>
      <vt:lpstr>Summary!OSRRefP22_12x_0</vt:lpstr>
      <vt:lpstr>'201'!OSRRefP22_13x_0</vt:lpstr>
      <vt:lpstr>'202'!OSRRefP22_13x_0</vt:lpstr>
      <vt:lpstr>'203'!OSRRefP22_13x_0</vt:lpstr>
      <vt:lpstr>'300'!OSRRefP22_13x_0</vt:lpstr>
      <vt:lpstr>'300 &amp; 317'!OSRRefP22_13x_0</vt:lpstr>
      <vt:lpstr>'301'!OSRRefP22_13x_0</vt:lpstr>
      <vt:lpstr>'307'!OSRRefP22_13x_0</vt:lpstr>
      <vt:lpstr>'308'!OSRRefP22_13x_0</vt:lpstr>
      <vt:lpstr>'310'!OSRRefP22_13x_0</vt:lpstr>
      <vt:lpstr>'310 &amp; 491'!OSRRefP22_13x_0</vt:lpstr>
      <vt:lpstr>'311'!OSRRefP22_13x_0</vt:lpstr>
      <vt:lpstr>'315'!OSRRefP22_13x_0</vt:lpstr>
      <vt:lpstr>'321'!OSRRefP22_13x_0</vt:lpstr>
      <vt:lpstr>'325'!OSRRefP22_13x_0</vt:lpstr>
      <vt:lpstr>'326'!OSRRefP22_13x_0</vt:lpstr>
      <vt:lpstr>'331'!OSRRefP22_13x_0</vt:lpstr>
      <vt:lpstr>'333'!OSRRefP22_13x_0</vt:lpstr>
      <vt:lpstr>'405'!OSRRefP22_13x_0</vt:lpstr>
      <vt:lpstr>'411'!OSRRefP22_13x_0</vt:lpstr>
      <vt:lpstr>'415'!OSRRefP22_13x_0</vt:lpstr>
      <vt:lpstr>'418'!OSRRefP22_13x_0</vt:lpstr>
      <vt:lpstr>'433'!OSRRefP22_13x_0</vt:lpstr>
      <vt:lpstr>'444'!OSRRefP22_13x_0</vt:lpstr>
      <vt:lpstr>'450'!OSRRefP22_13x_0</vt:lpstr>
      <vt:lpstr>'491'!OSRRefP22_13x_0</vt:lpstr>
      <vt:lpstr>'492'!OSRRefP22_13x_0</vt:lpstr>
      <vt:lpstr>'501'!OSRRefP22_13x_0</vt:lpstr>
      <vt:lpstr>'Div 2'!OSRRefP22_13x_0</vt:lpstr>
      <vt:lpstr>'Div 3'!OSRRefP22_13x_0</vt:lpstr>
      <vt:lpstr>'Div 4'!OSRRefP22_13x_0</vt:lpstr>
      <vt:lpstr>'Div 5'!OSRRefP22_13x_0</vt:lpstr>
      <vt:lpstr>Summary!OSRRefP22_13x_0</vt:lpstr>
      <vt:lpstr>'201'!OSRRefP22_14x_0</vt:lpstr>
      <vt:lpstr>'203'!OSRRefP22_14x_0</vt:lpstr>
      <vt:lpstr>'300'!OSRRefP22_14x_0</vt:lpstr>
      <vt:lpstr>'300 &amp; 317'!OSRRefP22_14x_0</vt:lpstr>
      <vt:lpstr>'301'!OSRRefP22_14x_0</vt:lpstr>
      <vt:lpstr>'310'!OSRRefP22_14x_0</vt:lpstr>
      <vt:lpstr>'310 &amp; 491'!OSRRefP22_14x_0</vt:lpstr>
      <vt:lpstr>'315'!OSRRefP22_14x_0</vt:lpstr>
      <vt:lpstr>'325'!OSRRefP22_14x_0</vt:lpstr>
      <vt:lpstr>'326'!OSRRefP22_14x_0</vt:lpstr>
      <vt:lpstr>'331'!OSRRefP22_14x_0</vt:lpstr>
      <vt:lpstr>'333'!OSRRefP22_14x_0</vt:lpstr>
      <vt:lpstr>'405'!OSRRefP22_14x_0</vt:lpstr>
      <vt:lpstr>'411'!OSRRefP22_14x_0</vt:lpstr>
      <vt:lpstr>'415'!OSRRefP22_14x_0</vt:lpstr>
      <vt:lpstr>'418'!OSRRefP22_14x_0</vt:lpstr>
      <vt:lpstr>'433'!OSRRefP22_14x_0</vt:lpstr>
      <vt:lpstr>'444'!OSRRefP22_14x_0</vt:lpstr>
      <vt:lpstr>'450'!OSRRefP22_14x_0</vt:lpstr>
      <vt:lpstr>'491'!OSRRefP22_14x_0</vt:lpstr>
      <vt:lpstr>'492'!OSRRefP22_14x_0</vt:lpstr>
      <vt:lpstr>'Div 2'!OSRRefP22_14x_0</vt:lpstr>
      <vt:lpstr>'Div 3'!OSRRefP22_14x_0</vt:lpstr>
      <vt:lpstr>'Div 4'!OSRRefP22_14x_0</vt:lpstr>
      <vt:lpstr>Summary!OSRRefP22_14x_0</vt:lpstr>
      <vt:lpstr>'201'!OSRRefP22_15x_0</vt:lpstr>
      <vt:lpstr>'300'!OSRRefP22_15x_0</vt:lpstr>
      <vt:lpstr>'300 &amp; 317'!OSRRefP22_15x_0</vt:lpstr>
      <vt:lpstr>'301'!OSRRefP22_15x_0</vt:lpstr>
      <vt:lpstr>'310'!OSRRefP22_15x_0</vt:lpstr>
      <vt:lpstr>'310 &amp; 491'!OSRRefP22_15x_0</vt:lpstr>
      <vt:lpstr>'315'!OSRRefP22_15x_0</vt:lpstr>
      <vt:lpstr>'325'!OSRRefP22_15x_0</vt:lpstr>
      <vt:lpstr>'326'!OSRRefP22_15x_0</vt:lpstr>
      <vt:lpstr>'331'!OSRRefP22_15x_0</vt:lpstr>
      <vt:lpstr>'333'!OSRRefP22_15x_0</vt:lpstr>
      <vt:lpstr>'405'!OSRRefP22_15x_0</vt:lpstr>
      <vt:lpstr>'411'!OSRRefP22_15x_0</vt:lpstr>
      <vt:lpstr>'415'!OSRRefP22_15x_0</vt:lpstr>
      <vt:lpstr>'418'!OSRRefP22_15x_0</vt:lpstr>
      <vt:lpstr>'433'!OSRRefP22_15x_0</vt:lpstr>
      <vt:lpstr>'444'!OSRRefP22_15x_0</vt:lpstr>
      <vt:lpstr>'450'!OSRRefP22_15x_0</vt:lpstr>
      <vt:lpstr>'491'!OSRRefP22_15x_0</vt:lpstr>
      <vt:lpstr>'492'!OSRRefP22_15x_0</vt:lpstr>
      <vt:lpstr>'Div 2'!OSRRefP22_15x_0</vt:lpstr>
      <vt:lpstr>'Div 3'!OSRRefP22_15x_0</vt:lpstr>
      <vt:lpstr>'Div 4'!OSRRefP22_15x_0</vt:lpstr>
      <vt:lpstr>Summary!OSRRefP22_15x_0</vt:lpstr>
      <vt:lpstr>'201'!OSRRefP22_16x_0</vt:lpstr>
      <vt:lpstr>'300'!OSRRefP22_16x_0</vt:lpstr>
      <vt:lpstr>'300 &amp; 317'!OSRRefP22_16x_0</vt:lpstr>
      <vt:lpstr>'301'!OSRRefP22_16x_0</vt:lpstr>
      <vt:lpstr>'310'!OSRRefP22_16x_0</vt:lpstr>
      <vt:lpstr>'310 &amp; 491'!OSRRefP22_16x_0</vt:lpstr>
      <vt:lpstr>'315'!OSRRefP22_16x_0</vt:lpstr>
      <vt:lpstr>'325'!OSRRefP22_16x_0</vt:lpstr>
      <vt:lpstr>'326'!OSRRefP22_16x_0</vt:lpstr>
      <vt:lpstr>'331'!OSRRefP22_16x_0</vt:lpstr>
      <vt:lpstr>'333'!OSRRefP22_16x_0</vt:lpstr>
      <vt:lpstr>'405'!OSRRefP22_16x_0</vt:lpstr>
      <vt:lpstr>'411'!OSRRefP22_16x_0</vt:lpstr>
      <vt:lpstr>'415'!OSRRefP22_16x_0</vt:lpstr>
      <vt:lpstr>'444'!OSRRefP22_16x_0</vt:lpstr>
      <vt:lpstr>'450'!OSRRefP22_16x_0</vt:lpstr>
      <vt:lpstr>'491'!OSRRefP22_16x_0</vt:lpstr>
      <vt:lpstr>'492'!OSRRefP22_16x_0</vt:lpstr>
      <vt:lpstr>'Div 2'!OSRRefP22_16x_0</vt:lpstr>
      <vt:lpstr>'Div 3'!OSRRefP22_16x_0</vt:lpstr>
      <vt:lpstr>'Div 4'!OSRRefP22_16x_0</vt:lpstr>
      <vt:lpstr>Summary!OSRRefP22_16x_0</vt:lpstr>
      <vt:lpstr>'300'!OSRRefP22_17x_0</vt:lpstr>
      <vt:lpstr>'300 &amp; 317'!OSRRefP22_17x_0</vt:lpstr>
      <vt:lpstr>'301'!OSRRefP22_17x_0</vt:lpstr>
      <vt:lpstr>'310'!OSRRefP22_17x_0</vt:lpstr>
      <vt:lpstr>'310 &amp; 491'!OSRRefP22_17x_0</vt:lpstr>
      <vt:lpstr>'315'!OSRRefP22_17x_0</vt:lpstr>
      <vt:lpstr>'326'!OSRRefP22_17x_0</vt:lpstr>
      <vt:lpstr>'331'!OSRRefP22_17x_0</vt:lpstr>
      <vt:lpstr>'333'!OSRRefP22_17x_0</vt:lpstr>
      <vt:lpstr>'415'!OSRRefP22_17x_0</vt:lpstr>
      <vt:lpstr>'491'!OSRRefP22_17x_0</vt:lpstr>
      <vt:lpstr>'492'!OSRRefP22_17x_0</vt:lpstr>
      <vt:lpstr>'Div 2'!OSRRefP22_17x_0</vt:lpstr>
      <vt:lpstr>'Div 3'!OSRRefP22_17x_0</vt:lpstr>
      <vt:lpstr>'Div 4'!OSRRefP22_17x_0</vt:lpstr>
      <vt:lpstr>Summary!OSRRefP22_17x_0</vt:lpstr>
      <vt:lpstr>'300'!OSRRefP22_18x_0</vt:lpstr>
      <vt:lpstr>'300 &amp; 317'!OSRRefP22_18x_0</vt:lpstr>
      <vt:lpstr>'301'!OSRRefP22_18x_0</vt:lpstr>
      <vt:lpstr>'310 &amp; 491'!OSRRefP22_18x_0</vt:lpstr>
      <vt:lpstr>'315'!OSRRefP22_18x_0</vt:lpstr>
      <vt:lpstr>'331'!OSRRefP22_18x_0</vt:lpstr>
      <vt:lpstr>'333'!OSRRefP22_18x_0</vt:lpstr>
      <vt:lpstr>'491'!OSRRefP22_18x_0</vt:lpstr>
      <vt:lpstr>'492'!OSRRefP22_18x_0</vt:lpstr>
      <vt:lpstr>'Div 2'!OSRRefP22_18x_0</vt:lpstr>
      <vt:lpstr>'Div 3'!OSRRefP22_18x_0</vt:lpstr>
      <vt:lpstr>'Div 4'!OSRRefP22_18x_0</vt:lpstr>
      <vt:lpstr>Summary!OSRRefP22_18x_0</vt:lpstr>
      <vt:lpstr>'300'!OSRRefP22_19x_0</vt:lpstr>
      <vt:lpstr>'300 &amp; 317'!OSRRefP22_19x_0</vt:lpstr>
      <vt:lpstr>'301'!OSRRefP22_19x_0</vt:lpstr>
      <vt:lpstr>'310 &amp; 491'!OSRRefP22_19x_0</vt:lpstr>
      <vt:lpstr>'331'!OSRRefP22_19x_0</vt:lpstr>
      <vt:lpstr>'333'!OSRRefP22_19x_0</vt:lpstr>
      <vt:lpstr>'491'!OSRRefP22_19x_0</vt:lpstr>
      <vt:lpstr>'Div 2'!OSRRefP22_19x_0</vt:lpstr>
      <vt:lpstr>'Div 3'!OSRRefP22_19x_0</vt:lpstr>
      <vt:lpstr>'Div 4'!OSRRefP22_19x_0</vt:lpstr>
      <vt:lpstr>Summary!OSRRefP22_19x_0</vt:lpstr>
      <vt:lpstr>'200'!OSRRefP22_1x_0</vt:lpstr>
      <vt:lpstr>'201'!OSRRefP22_1x_0</vt:lpstr>
      <vt:lpstr>'202'!OSRRefP22_1x_0</vt:lpstr>
      <vt:lpstr>'203'!OSRRefP22_1x_0</vt:lpstr>
      <vt:lpstr>'204'!OSRRefP22_1x_0</vt:lpstr>
      <vt:lpstr>'205'!OSRRefP22_1x_0</vt:lpstr>
      <vt:lpstr>'206'!OSRRefP22_1x_0</vt:lpstr>
      <vt:lpstr>'300'!OSRRefP22_1x_0</vt:lpstr>
      <vt:lpstr>'300 &amp; 317'!OSRRefP22_1x_0</vt:lpstr>
      <vt:lpstr>'301'!OSRRefP22_1x_0</vt:lpstr>
      <vt:lpstr>'307'!OSRRefP22_1x_0</vt:lpstr>
      <vt:lpstr>'308'!OSRRefP22_1x_0</vt:lpstr>
      <vt:lpstr>'309'!OSRRefP22_1x_0</vt:lpstr>
      <vt:lpstr>'310'!OSRRefP22_1x_0</vt:lpstr>
      <vt:lpstr>'310 &amp; 491'!OSRRefP22_1x_0</vt:lpstr>
      <vt:lpstr>'311'!OSRRefP22_1x_0</vt:lpstr>
      <vt:lpstr>'315'!OSRRefP22_1x_0</vt:lpstr>
      <vt:lpstr>'316'!OSRRefP22_1x_0</vt:lpstr>
      <vt:lpstr>'317'!OSRRefP22_1x_0</vt:lpstr>
      <vt:lpstr>'321'!OSRRefP22_1x_0</vt:lpstr>
      <vt:lpstr>'325'!OSRRefP22_1x_0</vt:lpstr>
      <vt:lpstr>'326'!OSRRefP22_1x_0</vt:lpstr>
      <vt:lpstr>'327'!OSRRefP22_1x_0</vt:lpstr>
      <vt:lpstr>'331'!OSRRefP22_1x_0</vt:lpstr>
      <vt:lpstr>'332'!OSRRefP22_1x_0</vt:lpstr>
      <vt:lpstr>'333'!OSRRefP22_1x_0</vt:lpstr>
      <vt:lpstr>'405'!OSRRefP22_1x_0</vt:lpstr>
      <vt:lpstr>'406'!OSRRefP22_1x_0</vt:lpstr>
      <vt:lpstr>'411'!OSRRefP22_1x_0</vt:lpstr>
      <vt:lpstr>'412'!OSRRefP22_1x_0</vt:lpstr>
      <vt:lpstr>'413'!OSRRefP22_1x_0</vt:lpstr>
      <vt:lpstr>'414'!OSRRefP22_1x_0</vt:lpstr>
      <vt:lpstr>'415'!OSRRefP22_1x_0</vt:lpstr>
      <vt:lpstr>'418'!OSRRefP22_1x_0</vt:lpstr>
      <vt:lpstr>'423'!OSRRefP22_1x_0</vt:lpstr>
      <vt:lpstr>'424'!OSRRefP22_1x_0</vt:lpstr>
      <vt:lpstr>'425'!OSRRefP22_1x_0</vt:lpstr>
      <vt:lpstr>'430'!OSRRefP22_1x_0</vt:lpstr>
      <vt:lpstr>'433'!OSRRefP22_1x_0</vt:lpstr>
      <vt:lpstr>'435'!OSRRefP22_1x_0</vt:lpstr>
      <vt:lpstr>'444'!OSRRefP22_1x_0</vt:lpstr>
      <vt:lpstr>'450'!OSRRefP22_1x_0</vt:lpstr>
      <vt:lpstr>'491'!OSRRefP22_1x_0</vt:lpstr>
      <vt:lpstr>'492'!OSRRefP22_1x_0</vt:lpstr>
      <vt:lpstr>'501'!OSRRefP22_1x_0</vt:lpstr>
      <vt:lpstr>'Div 2'!OSRRefP22_1x_0</vt:lpstr>
      <vt:lpstr>'Div 3'!OSRRefP22_1x_0</vt:lpstr>
      <vt:lpstr>'Div 4'!OSRRefP22_1x_0</vt:lpstr>
      <vt:lpstr>'Div 5'!OSRRefP22_1x_0</vt:lpstr>
      <vt:lpstr>'Div 6'!OSRRefP22_1x_0</vt:lpstr>
      <vt:lpstr>Summary!OSRRefP22_1x_0</vt:lpstr>
      <vt:lpstr>'300'!OSRRefP22_20x_0</vt:lpstr>
      <vt:lpstr>'300 &amp; 317'!OSRRefP22_20x_0</vt:lpstr>
      <vt:lpstr>'301'!OSRRefP22_20x_0</vt:lpstr>
      <vt:lpstr>'310 &amp; 491'!OSRRefP22_20x_0</vt:lpstr>
      <vt:lpstr>'331'!OSRRefP22_20x_0</vt:lpstr>
      <vt:lpstr>'333'!OSRRefP22_20x_0</vt:lpstr>
      <vt:lpstr>'491'!OSRRefP22_20x_0</vt:lpstr>
      <vt:lpstr>'Div 3'!OSRRefP22_20x_0</vt:lpstr>
      <vt:lpstr>'Div 4'!OSRRefP22_20x_0</vt:lpstr>
      <vt:lpstr>Summary!OSRRefP22_20x_0</vt:lpstr>
      <vt:lpstr>'300'!OSRRefP22_21x_0</vt:lpstr>
      <vt:lpstr>'300 &amp; 317'!OSRRefP22_21x_0</vt:lpstr>
      <vt:lpstr>'301'!OSRRefP22_21x_0</vt:lpstr>
      <vt:lpstr>'310 &amp; 491'!OSRRefP22_21x_0</vt:lpstr>
      <vt:lpstr>'331'!OSRRefP22_21x_0</vt:lpstr>
      <vt:lpstr>'333'!OSRRefP22_21x_0</vt:lpstr>
      <vt:lpstr>'491'!OSRRefP22_21x_0</vt:lpstr>
      <vt:lpstr>'Div 3'!OSRRefP22_21x_0</vt:lpstr>
      <vt:lpstr>'Div 4'!OSRRefP22_21x_0</vt:lpstr>
      <vt:lpstr>Summary!OSRRefP22_21x_0</vt:lpstr>
      <vt:lpstr>'300'!OSRRefP22_22x_0</vt:lpstr>
      <vt:lpstr>'300 &amp; 317'!OSRRefP22_22x_0</vt:lpstr>
      <vt:lpstr>'301'!OSRRefP22_22x_0</vt:lpstr>
      <vt:lpstr>'331'!OSRRefP22_22x_0</vt:lpstr>
      <vt:lpstr>'333'!OSRRefP22_22x_0</vt:lpstr>
      <vt:lpstr>'Div 3'!OSRRefP22_22x_0</vt:lpstr>
      <vt:lpstr>'Div 4'!OSRRefP22_22x_0</vt:lpstr>
      <vt:lpstr>Summary!OSRRefP22_22x_0</vt:lpstr>
      <vt:lpstr>'300'!OSRRefP22_23x_0</vt:lpstr>
      <vt:lpstr>'300 &amp; 317'!OSRRefP22_23x_0</vt:lpstr>
      <vt:lpstr>'Div 3'!OSRRefP22_23x_0</vt:lpstr>
      <vt:lpstr>'Div 4'!OSRRefP22_23x_0</vt:lpstr>
      <vt:lpstr>Summary!OSRRefP22_23x_0</vt:lpstr>
      <vt:lpstr>'300'!OSRRefP22_24x_0</vt:lpstr>
      <vt:lpstr>'300 &amp; 317'!OSRRefP22_24x_0</vt:lpstr>
      <vt:lpstr>'Div 3'!OSRRefP22_24x_0</vt:lpstr>
      <vt:lpstr>Summary!OSRRefP22_24x_0</vt:lpstr>
      <vt:lpstr>'Div 3'!OSRRefP22_25x_0</vt:lpstr>
      <vt:lpstr>Summary!OSRRefP22_25x_0</vt:lpstr>
      <vt:lpstr>Summary!OSRRefP22_26x_0</vt:lpstr>
      <vt:lpstr>'200'!OSRRefP22_2x_0</vt:lpstr>
      <vt:lpstr>'201'!OSRRefP22_2x_0</vt:lpstr>
      <vt:lpstr>'202'!OSRRefP22_2x_0</vt:lpstr>
      <vt:lpstr>'203'!OSRRefP22_2x_0</vt:lpstr>
      <vt:lpstr>'204'!OSRRefP22_2x_0</vt:lpstr>
      <vt:lpstr>'205'!OSRRefP22_2x_0</vt:lpstr>
      <vt:lpstr>'206'!OSRRefP22_2x_0</vt:lpstr>
      <vt:lpstr>'300'!OSRRefP22_2x_0</vt:lpstr>
      <vt:lpstr>'300 &amp; 317'!OSRRefP22_2x_0</vt:lpstr>
      <vt:lpstr>'301'!OSRRefP22_2x_0</vt:lpstr>
      <vt:lpstr>'307'!OSRRefP22_2x_0</vt:lpstr>
      <vt:lpstr>'308'!OSRRefP22_2x_0</vt:lpstr>
      <vt:lpstr>'309'!OSRRefP22_2x_0</vt:lpstr>
      <vt:lpstr>'310'!OSRRefP22_2x_0</vt:lpstr>
      <vt:lpstr>'310 &amp; 491'!OSRRefP22_2x_0</vt:lpstr>
      <vt:lpstr>'311'!OSRRefP22_2x_0</vt:lpstr>
      <vt:lpstr>'315'!OSRRefP22_2x_0</vt:lpstr>
      <vt:lpstr>'316'!OSRRefP22_2x_0</vt:lpstr>
      <vt:lpstr>'317'!OSRRefP22_2x_0</vt:lpstr>
      <vt:lpstr>'321'!OSRRefP22_2x_0</vt:lpstr>
      <vt:lpstr>'325'!OSRRefP22_2x_0</vt:lpstr>
      <vt:lpstr>'326'!OSRRefP22_2x_0</vt:lpstr>
      <vt:lpstr>'331'!OSRRefP22_2x_0</vt:lpstr>
      <vt:lpstr>'332'!OSRRefP22_2x_0</vt:lpstr>
      <vt:lpstr>'333'!OSRRefP22_2x_0</vt:lpstr>
      <vt:lpstr>'405'!OSRRefP22_2x_0</vt:lpstr>
      <vt:lpstr>'411'!OSRRefP22_2x_0</vt:lpstr>
      <vt:lpstr>'412'!OSRRefP22_2x_0</vt:lpstr>
      <vt:lpstr>'413'!OSRRefP22_2x_0</vt:lpstr>
      <vt:lpstr>'414'!OSRRefP22_2x_0</vt:lpstr>
      <vt:lpstr>'415'!OSRRefP22_2x_0</vt:lpstr>
      <vt:lpstr>'418'!OSRRefP22_2x_0</vt:lpstr>
      <vt:lpstr>'423'!OSRRefP22_2x_0</vt:lpstr>
      <vt:lpstr>'424'!OSRRefP22_2x_0</vt:lpstr>
      <vt:lpstr>'425'!OSRRefP22_2x_0</vt:lpstr>
      <vt:lpstr>'430'!OSRRefP22_2x_0</vt:lpstr>
      <vt:lpstr>'433'!OSRRefP22_2x_0</vt:lpstr>
      <vt:lpstr>'435'!OSRRefP22_2x_0</vt:lpstr>
      <vt:lpstr>'444'!OSRRefP22_2x_0</vt:lpstr>
      <vt:lpstr>'450'!OSRRefP22_2x_0</vt:lpstr>
      <vt:lpstr>'491'!OSRRefP22_2x_0</vt:lpstr>
      <vt:lpstr>'492'!OSRRefP22_2x_0</vt:lpstr>
      <vt:lpstr>'501'!OSRRefP22_2x_0</vt:lpstr>
      <vt:lpstr>'Div 2'!OSRRefP22_2x_0</vt:lpstr>
      <vt:lpstr>'Div 3'!OSRRefP22_2x_0</vt:lpstr>
      <vt:lpstr>'Div 4'!OSRRefP22_2x_0</vt:lpstr>
      <vt:lpstr>'Div 5'!OSRRefP22_2x_0</vt:lpstr>
      <vt:lpstr>'Div 6'!OSRRefP22_2x_0</vt:lpstr>
      <vt:lpstr>Summary!OSRRefP22_2x_0</vt:lpstr>
      <vt:lpstr>'200'!OSRRefP22_3x_0</vt:lpstr>
      <vt:lpstr>'201'!OSRRefP22_3x_0</vt:lpstr>
      <vt:lpstr>'202'!OSRRefP22_3x_0</vt:lpstr>
      <vt:lpstr>'203'!OSRRefP22_3x_0</vt:lpstr>
      <vt:lpstr>'204'!OSRRefP22_3x_0</vt:lpstr>
      <vt:lpstr>'205'!OSRRefP22_3x_0</vt:lpstr>
      <vt:lpstr>'206'!OSRRefP22_3x_0</vt:lpstr>
      <vt:lpstr>'300'!OSRRefP22_3x_0</vt:lpstr>
      <vt:lpstr>'300 &amp; 317'!OSRRefP22_3x_0</vt:lpstr>
      <vt:lpstr>'301'!OSRRefP22_3x_0</vt:lpstr>
      <vt:lpstr>'307'!OSRRefP22_3x_0</vt:lpstr>
      <vt:lpstr>'308'!OSRRefP22_3x_0</vt:lpstr>
      <vt:lpstr>'309'!OSRRefP22_3x_0</vt:lpstr>
      <vt:lpstr>'310'!OSRRefP22_3x_0</vt:lpstr>
      <vt:lpstr>'310 &amp; 491'!OSRRefP22_3x_0</vt:lpstr>
      <vt:lpstr>'311'!OSRRefP22_3x_0</vt:lpstr>
      <vt:lpstr>'315'!OSRRefP22_3x_0</vt:lpstr>
      <vt:lpstr>'316'!OSRRefP22_3x_0</vt:lpstr>
      <vt:lpstr>'317'!OSRRefP22_3x_0</vt:lpstr>
      <vt:lpstr>'321'!OSRRefP22_3x_0</vt:lpstr>
      <vt:lpstr>'325'!OSRRefP22_3x_0</vt:lpstr>
      <vt:lpstr>'326'!OSRRefP22_3x_0</vt:lpstr>
      <vt:lpstr>'331'!OSRRefP22_3x_0</vt:lpstr>
      <vt:lpstr>'332'!OSRRefP22_3x_0</vt:lpstr>
      <vt:lpstr>'333'!OSRRefP22_3x_0</vt:lpstr>
      <vt:lpstr>'405'!OSRRefP22_3x_0</vt:lpstr>
      <vt:lpstr>'411'!OSRRefP22_3x_0</vt:lpstr>
      <vt:lpstr>'412'!OSRRefP22_3x_0</vt:lpstr>
      <vt:lpstr>'415'!OSRRefP22_3x_0</vt:lpstr>
      <vt:lpstr>'418'!OSRRefP22_3x_0</vt:lpstr>
      <vt:lpstr>'423'!OSRRefP22_3x_0</vt:lpstr>
      <vt:lpstr>'425'!OSRRefP22_3x_0</vt:lpstr>
      <vt:lpstr>'430'!OSRRefP22_3x_0</vt:lpstr>
      <vt:lpstr>'433'!OSRRefP22_3x_0</vt:lpstr>
      <vt:lpstr>'435'!OSRRefP22_3x_0</vt:lpstr>
      <vt:lpstr>'444'!OSRRefP22_3x_0</vt:lpstr>
      <vt:lpstr>'450'!OSRRefP22_3x_0</vt:lpstr>
      <vt:lpstr>'491'!OSRRefP22_3x_0</vt:lpstr>
      <vt:lpstr>'492'!OSRRefP22_3x_0</vt:lpstr>
      <vt:lpstr>'501'!OSRRefP22_3x_0</vt:lpstr>
      <vt:lpstr>'Div 2'!OSRRefP22_3x_0</vt:lpstr>
      <vt:lpstr>'Div 3'!OSRRefP22_3x_0</vt:lpstr>
      <vt:lpstr>'Div 4'!OSRRefP22_3x_0</vt:lpstr>
      <vt:lpstr>'Div 5'!OSRRefP22_3x_0</vt:lpstr>
      <vt:lpstr>'Div 6'!OSRRefP22_3x_0</vt:lpstr>
      <vt:lpstr>Summary!OSRRefP22_3x_0</vt:lpstr>
      <vt:lpstr>'201'!OSRRefP22_4x_0</vt:lpstr>
      <vt:lpstr>'202'!OSRRefP22_4x_0</vt:lpstr>
      <vt:lpstr>'203'!OSRRefP22_4x_0</vt:lpstr>
      <vt:lpstr>'204'!OSRRefP22_4x_0</vt:lpstr>
      <vt:lpstr>'205'!OSRRefP22_4x_0</vt:lpstr>
      <vt:lpstr>'206'!OSRRefP22_4x_0</vt:lpstr>
      <vt:lpstr>'300'!OSRRefP22_4x_0</vt:lpstr>
      <vt:lpstr>'300 &amp; 317'!OSRRefP22_4x_0</vt:lpstr>
      <vt:lpstr>'301'!OSRRefP22_4x_0</vt:lpstr>
      <vt:lpstr>'307'!OSRRefP22_4x_0</vt:lpstr>
      <vt:lpstr>'308'!OSRRefP22_4x_0</vt:lpstr>
      <vt:lpstr>'309'!OSRRefP22_4x_0</vt:lpstr>
      <vt:lpstr>'310'!OSRRefP22_4x_0</vt:lpstr>
      <vt:lpstr>'310 &amp; 491'!OSRRefP22_4x_0</vt:lpstr>
      <vt:lpstr>'311'!OSRRefP22_4x_0</vt:lpstr>
      <vt:lpstr>'315'!OSRRefP22_4x_0</vt:lpstr>
      <vt:lpstr>'316'!OSRRefP22_4x_0</vt:lpstr>
      <vt:lpstr>'317'!OSRRefP22_4x_0</vt:lpstr>
      <vt:lpstr>'321'!OSRRefP22_4x_0</vt:lpstr>
      <vt:lpstr>'325'!OSRRefP22_4x_0</vt:lpstr>
      <vt:lpstr>'326'!OSRRefP22_4x_0</vt:lpstr>
      <vt:lpstr>'331'!OSRRefP22_4x_0</vt:lpstr>
      <vt:lpstr>'332'!OSRRefP22_4x_0</vt:lpstr>
      <vt:lpstr>'333'!OSRRefP22_4x_0</vt:lpstr>
      <vt:lpstr>'405'!OSRRefP22_4x_0</vt:lpstr>
      <vt:lpstr>'411'!OSRRefP22_4x_0</vt:lpstr>
      <vt:lpstr>'412'!OSRRefP22_4x_0</vt:lpstr>
      <vt:lpstr>'415'!OSRRefP22_4x_0</vt:lpstr>
      <vt:lpstr>'418'!OSRRefP22_4x_0</vt:lpstr>
      <vt:lpstr>'423'!OSRRefP22_4x_0</vt:lpstr>
      <vt:lpstr>'425'!OSRRefP22_4x_0</vt:lpstr>
      <vt:lpstr>'430'!OSRRefP22_4x_0</vt:lpstr>
      <vt:lpstr>'433'!OSRRefP22_4x_0</vt:lpstr>
      <vt:lpstr>'435'!OSRRefP22_4x_0</vt:lpstr>
      <vt:lpstr>'444'!OSRRefP22_4x_0</vt:lpstr>
      <vt:lpstr>'450'!OSRRefP22_4x_0</vt:lpstr>
      <vt:lpstr>'491'!OSRRefP22_4x_0</vt:lpstr>
      <vt:lpstr>'492'!OSRRefP22_4x_0</vt:lpstr>
      <vt:lpstr>'501'!OSRRefP22_4x_0</vt:lpstr>
      <vt:lpstr>'Div 2'!OSRRefP22_4x_0</vt:lpstr>
      <vt:lpstr>'Div 3'!OSRRefP22_4x_0</vt:lpstr>
      <vt:lpstr>'Div 4'!OSRRefP22_4x_0</vt:lpstr>
      <vt:lpstr>'Div 5'!OSRRefP22_4x_0</vt:lpstr>
      <vt:lpstr>'Div 6'!OSRRefP22_4x_0</vt:lpstr>
      <vt:lpstr>Summary!OSRRefP22_4x_0</vt:lpstr>
      <vt:lpstr>'201'!OSRRefP22_5x_0</vt:lpstr>
      <vt:lpstr>'202'!OSRRefP22_5x_0</vt:lpstr>
      <vt:lpstr>'203'!OSRRefP22_5x_0</vt:lpstr>
      <vt:lpstr>'204'!OSRRefP22_5x_0</vt:lpstr>
      <vt:lpstr>'205'!OSRRefP22_5x_0</vt:lpstr>
      <vt:lpstr>'206'!OSRRefP22_5x_0</vt:lpstr>
      <vt:lpstr>'300'!OSRRefP22_5x_0</vt:lpstr>
      <vt:lpstr>'300 &amp; 317'!OSRRefP22_5x_0</vt:lpstr>
      <vt:lpstr>'301'!OSRRefP22_5x_0</vt:lpstr>
      <vt:lpstr>'307'!OSRRefP22_5x_0</vt:lpstr>
      <vt:lpstr>'308'!OSRRefP22_5x_0</vt:lpstr>
      <vt:lpstr>'309'!OSRRefP22_5x_0</vt:lpstr>
      <vt:lpstr>'310'!OSRRefP22_5x_0</vt:lpstr>
      <vt:lpstr>'310 &amp; 491'!OSRRefP22_5x_0</vt:lpstr>
      <vt:lpstr>'311'!OSRRefP22_5x_0</vt:lpstr>
      <vt:lpstr>'315'!OSRRefP22_5x_0</vt:lpstr>
      <vt:lpstr>'316'!OSRRefP22_5x_0</vt:lpstr>
      <vt:lpstr>'317'!OSRRefP22_5x_0</vt:lpstr>
      <vt:lpstr>'321'!OSRRefP22_5x_0</vt:lpstr>
      <vt:lpstr>'325'!OSRRefP22_5x_0</vt:lpstr>
      <vt:lpstr>'326'!OSRRefP22_5x_0</vt:lpstr>
      <vt:lpstr>'331'!OSRRefP22_5x_0</vt:lpstr>
      <vt:lpstr>'332'!OSRRefP22_5x_0</vt:lpstr>
      <vt:lpstr>'333'!OSRRefP22_5x_0</vt:lpstr>
      <vt:lpstr>'405'!OSRRefP22_5x_0</vt:lpstr>
      <vt:lpstr>'411'!OSRRefP22_5x_0</vt:lpstr>
      <vt:lpstr>'415'!OSRRefP22_5x_0</vt:lpstr>
      <vt:lpstr>'418'!OSRRefP22_5x_0</vt:lpstr>
      <vt:lpstr>'423'!OSRRefP22_5x_0</vt:lpstr>
      <vt:lpstr>'425'!OSRRefP22_5x_0</vt:lpstr>
      <vt:lpstr>'430'!OSRRefP22_5x_0</vt:lpstr>
      <vt:lpstr>'433'!OSRRefP22_5x_0</vt:lpstr>
      <vt:lpstr>'444'!OSRRefP22_5x_0</vt:lpstr>
      <vt:lpstr>'450'!OSRRefP22_5x_0</vt:lpstr>
      <vt:lpstr>'491'!OSRRefP22_5x_0</vt:lpstr>
      <vt:lpstr>'492'!OSRRefP22_5x_0</vt:lpstr>
      <vt:lpstr>'501'!OSRRefP22_5x_0</vt:lpstr>
      <vt:lpstr>'Div 2'!OSRRefP22_5x_0</vt:lpstr>
      <vt:lpstr>'Div 3'!OSRRefP22_5x_0</vt:lpstr>
      <vt:lpstr>'Div 4'!OSRRefP22_5x_0</vt:lpstr>
      <vt:lpstr>'Div 5'!OSRRefP22_5x_0</vt:lpstr>
      <vt:lpstr>'Div 6'!OSRRefP22_5x_0</vt:lpstr>
      <vt:lpstr>Summary!OSRRefP22_5x_0</vt:lpstr>
      <vt:lpstr>'201'!OSRRefP22_6x_0</vt:lpstr>
      <vt:lpstr>'202'!OSRRefP22_6x_0</vt:lpstr>
      <vt:lpstr>'203'!OSRRefP22_6x_0</vt:lpstr>
      <vt:lpstr>'204'!OSRRefP22_6x_0</vt:lpstr>
      <vt:lpstr>'205'!OSRRefP22_6x_0</vt:lpstr>
      <vt:lpstr>'206'!OSRRefP22_6x_0</vt:lpstr>
      <vt:lpstr>'300'!OSRRefP22_6x_0</vt:lpstr>
      <vt:lpstr>'300 &amp; 317'!OSRRefP22_6x_0</vt:lpstr>
      <vt:lpstr>'301'!OSRRefP22_6x_0</vt:lpstr>
      <vt:lpstr>'307'!OSRRefP22_6x_0</vt:lpstr>
      <vt:lpstr>'308'!OSRRefP22_6x_0</vt:lpstr>
      <vt:lpstr>'309'!OSRRefP22_6x_0</vt:lpstr>
      <vt:lpstr>'310'!OSRRefP22_6x_0</vt:lpstr>
      <vt:lpstr>'310 &amp; 491'!OSRRefP22_6x_0</vt:lpstr>
      <vt:lpstr>'311'!OSRRefP22_6x_0</vt:lpstr>
      <vt:lpstr>'315'!OSRRefP22_6x_0</vt:lpstr>
      <vt:lpstr>'316'!OSRRefP22_6x_0</vt:lpstr>
      <vt:lpstr>'317'!OSRRefP22_6x_0</vt:lpstr>
      <vt:lpstr>'321'!OSRRefP22_6x_0</vt:lpstr>
      <vt:lpstr>'325'!OSRRefP22_6x_0</vt:lpstr>
      <vt:lpstr>'326'!OSRRefP22_6x_0</vt:lpstr>
      <vt:lpstr>'331'!OSRRefP22_6x_0</vt:lpstr>
      <vt:lpstr>'332'!OSRRefP22_6x_0</vt:lpstr>
      <vt:lpstr>'333'!OSRRefP22_6x_0</vt:lpstr>
      <vt:lpstr>'405'!OSRRefP22_6x_0</vt:lpstr>
      <vt:lpstr>'411'!OSRRefP22_6x_0</vt:lpstr>
      <vt:lpstr>'415'!OSRRefP22_6x_0</vt:lpstr>
      <vt:lpstr>'418'!OSRRefP22_6x_0</vt:lpstr>
      <vt:lpstr>'430'!OSRRefP22_6x_0</vt:lpstr>
      <vt:lpstr>'433'!OSRRefP22_6x_0</vt:lpstr>
      <vt:lpstr>'444'!OSRRefP22_6x_0</vt:lpstr>
      <vt:lpstr>'450'!OSRRefP22_6x_0</vt:lpstr>
      <vt:lpstr>'491'!OSRRefP22_6x_0</vt:lpstr>
      <vt:lpstr>'492'!OSRRefP22_6x_0</vt:lpstr>
      <vt:lpstr>'501'!OSRRefP22_6x_0</vt:lpstr>
      <vt:lpstr>'Div 2'!OSRRefP22_6x_0</vt:lpstr>
      <vt:lpstr>'Div 3'!OSRRefP22_6x_0</vt:lpstr>
      <vt:lpstr>'Div 4'!OSRRefP22_6x_0</vt:lpstr>
      <vt:lpstr>'Div 5'!OSRRefP22_6x_0</vt:lpstr>
      <vt:lpstr>'Div 6'!OSRRefP22_6x_0</vt:lpstr>
      <vt:lpstr>Summary!OSRRefP22_6x_0</vt:lpstr>
      <vt:lpstr>'201'!OSRRefP22_7x_0</vt:lpstr>
      <vt:lpstr>'202'!OSRRefP22_7x_0</vt:lpstr>
      <vt:lpstr>'203'!OSRRefP22_7x_0</vt:lpstr>
      <vt:lpstr>'204'!OSRRefP22_7x_0</vt:lpstr>
      <vt:lpstr>'205'!OSRRefP22_7x_0</vt:lpstr>
      <vt:lpstr>'206'!OSRRefP22_7x_0</vt:lpstr>
      <vt:lpstr>'300'!OSRRefP22_7x_0</vt:lpstr>
      <vt:lpstr>'300 &amp; 317'!OSRRefP22_7x_0</vt:lpstr>
      <vt:lpstr>'301'!OSRRefP22_7x_0</vt:lpstr>
      <vt:lpstr>'307'!OSRRefP22_7x_0</vt:lpstr>
      <vt:lpstr>'308'!OSRRefP22_7x_0</vt:lpstr>
      <vt:lpstr>'309'!OSRRefP22_7x_0</vt:lpstr>
      <vt:lpstr>'310'!OSRRefP22_7x_0</vt:lpstr>
      <vt:lpstr>'310 &amp; 491'!OSRRefP22_7x_0</vt:lpstr>
      <vt:lpstr>'311'!OSRRefP22_7x_0</vt:lpstr>
      <vt:lpstr>'315'!OSRRefP22_7x_0</vt:lpstr>
      <vt:lpstr>'316'!OSRRefP22_7x_0</vt:lpstr>
      <vt:lpstr>'317'!OSRRefP22_7x_0</vt:lpstr>
      <vt:lpstr>'321'!OSRRefP22_7x_0</vt:lpstr>
      <vt:lpstr>'325'!OSRRefP22_7x_0</vt:lpstr>
      <vt:lpstr>'326'!OSRRefP22_7x_0</vt:lpstr>
      <vt:lpstr>'331'!OSRRefP22_7x_0</vt:lpstr>
      <vt:lpstr>'332'!OSRRefP22_7x_0</vt:lpstr>
      <vt:lpstr>'333'!OSRRefP22_7x_0</vt:lpstr>
      <vt:lpstr>'405'!OSRRefP22_7x_0</vt:lpstr>
      <vt:lpstr>'411'!OSRRefP22_7x_0</vt:lpstr>
      <vt:lpstr>'415'!OSRRefP22_7x_0</vt:lpstr>
      <vt:lpstr>'418'!OSRRefP22_7x_0</vt:lpstr>
      <vt:lpstr>'430'!OSRRefP22_7x_0</vt:lpstr>
      <vt:lpstr>'433'!OSRRefP22_7x_0</vt:lpstr>
      <vt:lpstr>'444'!OSRRefP22_7x_0</vt:lpstr>
      <vt:lpstr>'450'!OSRRefP22_7x_0</vt:lpstr>
      <vt:lpstr>'491'!OSRRefP22_7x_0</vt:lpstr>
      <vt:lpstr>'492'!OSRRefP22_7x_0</vt:lpstr>
      <vt:lpstr>'501'!OSRRefP22_7x_0</vt:lpstr>
      <vt:lpstr>'Div 2'!OSRRefP22_7x_0</vt:lpstr>
      <vt:lpstr>'Div 3'!OSRRefP22_7x_0</vt:lpstr>
      <vt:lpstr>'Div 4'!OSRRefP22_7x_0</vt:lpstr>
      <vt:lpstr>'Div 5'!OSRRefP22_7x_0</vt:lpstr>
      <vt:lpstr>'Div 6'!OSRRefP22_7x_0</vt:lpstr>
      <vt:lpstr>Summary!OSRRefP22_7x_0</vt:lpstr>
      <vt:lpstr>'201'!OSRRefP22_8x_0</vt:lpstr>
      <vt:lpstr>'202'!OSRRefP22_8x_0</vt:lpstr>
      <vt:lpstr>'203'!OSRRefP22_8x_0</vt:lpstr>
      <vt:lpstr>'204'!OSRRefP22_8x_0</vt:lpstr>
      <vt:lpstr>'300'!OSRRefP22_8x_0</vt:lpstr>
      <vt:lpstr>'300 &amp; 317'!OSRRefP22_8x_0</vt:lpstr>
      <vt:lpstr>'301'!OSRRefP22_8x_0</vt:lpstr>
      <vt:lpstr>'307'!OSRRefP22_8x_0</vt:lpstr>
      <vt:lpstr>'308'!OSRRefP22_8x_0</vt:lpstr>
      <vt:lpstr>'309'!OSRRefP22_8x_0</vt:lpstr>
      <vt:lpstr>'310'!OSRRefP22_8x_0</vt:lpstr>
      <vt:lpstr>'310 &amp; 491'!OSRRefP22_8x_0</vt:lpstr>
      <vt:lpstr>'311'!OSRRefP22_8x_0</vt:lpstr>
      <vt:lpstr>'315'!OSRRefP22_8x_0</vt:lpstr>
      <vt:lpstr>'316'!OSRRefP22_8x_0</vt:lpstr>
      <vt:lpstr>'317'!OSRRefP22_8x_0</vt:lpstr>
      <vt:lpstr>'321'!OSRRefP22_8x_0</vt:lpstr>
      <vt:lpstr>'325'!OSRRefP22_8x_0</vt:lpstr>
      <vt:lpstr>'326'!OSRRefP22_8x_0</vt:lpstr>
      <vt:lpstr>'331'!OSRRefP22_8x_0</vt:lpstr>
      <vt:lpstr>'332'!OSRRefP22_8x_0</vt:lpstr>
      <vt:lpstr>'333'!OSRRefP22_8x_0</vt:lpstr>
      <vt:lpstr>'405'!OSRRefP22_8x_0</vt:lpstr>
      <vt:lpstr>'411'!OSRRefP22_8x_0</vt:lpstr>
      <vt:lpstr>'415'!OSRRefP22_8x_0</vt:lpstr>
      <vt:lpstr>'418'!OSRRefP22_8x_0</vt:lpstr>
      <vt:lpstr>'430'!OSRRefP22_8x_0</vt:lpstr>
      <vt:lpstr>'433'!OSRRefP22_8x_0</vt:lpstr>
      <vt:lpstr>'444'!OSRRefP22_8x_0</vt:lpstr>
      <vt:lpstr>'450'!OSRRefP22_8x_0</vt:lpstr>
      <vt:lpstr>'491'!OSRRefP22_8x_0</vt:lpstr>
      <vt:lpstr>'492'!OSRRefP22_8x_0</vt:lpstr>
      <vt:lpstr>'501'!OSRRefP22_8x_0</vt:lpstr>
      <vt:lpstr>'Div 2'!OSRRefP22_8x_0</vt:lpstr>
      <vt:lpstr>'Div 3'!OSRRefP22_8x_0</vt:lpstr>
      <vt:lpstr>'Div 4'!OSRRefP22_8x_0</vt:lpstr>
      <vt:lpstr>'Div 5'!OSRRefP22_8x_0</vt:lpstr>
      <vt:lpstr>'Div 6'!OSRRefP22_8x_0</vt:lpstr>
      <vt:lpstr>Summary!OSRRefP22_8x_0</vt:lpstr>
      <vt:lpstr>'201'!OSRRefP22_9x_0</vt:lpstr>
      <vt:lpstr>'202'!OSRRefP22_9x_0</vt:lpstr>
      <vt:lpstr>'203'!OSRRefP22_9x_0</vt:lpstr>
      <vt:lpstr>'204'!OSRRefP22_9x_0</vt:lpstr>
      <vt:lpstr>'300'!OSRRefP22_9x_0</vt:lpstr>
      <vt:lpstr>'300 &amp; 317'!OSRRefP22_9x_0</vt:lpstr>
      <vt:lpstr>'301'!OSRRefP22_9x_0</vt:lpstr>
      <vt:lpstr>'307'!OSRRefP22_9x_0</vt:lpstr>
      <vt:lpstr>'308'!OSRRefP22_9x_0</vt:lpstr>
      <vt:lpstr>'309'!OSRRefP22_9x_0</vt:lpstr>
      <vt:lpstr>'310'!OSRRefP22_9x_0</vt:lpstr>
      <vt:lpstr>'310 &amp; 491'!OSRRefP22_9x_0</vt:lpstr>
      <vt:lpstr>'311'!OSRRefP22_9x_0</vt:lpstr>
      <vt:lpstr>'315'!OSRRefP22_9x_0</vt:lpstr>
      <vt:lpstr>'316'!OSRRefP22_9x_0</vt:lpstr>
      <vt:lpstr>'317'!OSRRefP22_9x_0</vt:lpstr>
      <vt:lpstr>'321'!OSRRefP22_9x_0</vt:lpstr>
      <vt:lpstr>'325'!OSRRefP22_9x_0</vt:lpstr>
      <vt:lpstr>'326'!OSRRefP22_9x_0</vt:lpstr>
      <vt:lpstr>'331'!OSRRefP22_9x_0</vt:lpstr>
      <vt:lpstr>'332'!OSRRefP22_9x_0</vt:lpstr>
      <vt:lpstr>'333'!OSRRefP22_9x_0</vt:lpstr>
      <vt:lpstr>'405'!OSRRefP22_9x_0</vt:lpstr>
      <vt:lpstr>'411'!OSRRefP22_9x_0</vt:lpstr>
      <vt:lpstr>'415'!OSRRefP22_9x_0</vt:lpstr>
      <vt:lpstr>'418'!OSRRefP22_9x_0</vt:lpstr>
      <vt:lpstr>'433'!OSRRefP22_9x_0</vt:lpstr>
      <vt:lpstr>'444'!OSRRefP22_9x_0</vt:lpstr>
      <vt:lpstr>'450'!OSRRefP22_9x_0</vt:lpstr>
      <vt:lpstr>'491'!OSRRefP22_9x_0</vt:lpstr>
      <vt:lpstr>'492'!OSRRefP22_9x_0</vt:lpstr>
      <vt:lpstr>'501'!OSRRefP22_9x_0</vt:lpstr>
      <vt:lpstr>'Div 2'!OSRRefP22_9x_0</vt:lpstr>
      <vt:lpstr>'Div 3'!OSRRefP22_9x_0</vt:lpstr>
      <vt:lpstr>'Div 4'!OSRRefP22_9x_0</vt:lpstr>
      <vt:lpstr>'Div 5'!OSRRefP22_9x_0</vt:lpstr>
      <vt:lpstr>'Div 6'!OSRRefP22_9x_0</vt:lpstr>
      <vt:lpstr>Summary!OSRRefP22_9x_0</vt:lpstr>
      <vt:lpstr>'200'!OSRRefP22x_0</vt:lpstr>
      <vt:lpstr>'201'!OSRRefP22x_0</vt:lpstr>
      <vt:lpstr>'202'!OSRRefP22x_0</vt:lpstr>
      <vt:lpstr>'203'!OSRRefP22x_0</vt:lpstr>
      <vt:lpstr>'204'!OSRRefP22x_0</vt:lpstr>
      <vt:lpstr>'205'!OSRRefP22x_0</vt:lpstr>
      <vt:lpstr>'206'!OSRRefP22x_0</vt:lpstr>
      <vt:lpstr>'300'!OSRRefP22x_0</vt:lpstr>
      <vt:lpstr>'300 &amp; 317'!OSRRefP22x_0</vt:lpstr>
      <vt:lpstr>'301'!OSRRefP22x_0</vt:lpstr>
      <vt:lpstr>'307'!OSRRefP22x_0</vt:lpstr>
      <vt:lpstr>'308'!OSRRefP22x_0</vt:lpstr>
      <vt:lpstr>'309'!OSRRefP22x_0</vt:lpstr>
      <vt:lpstr>'310'!OSRRefP22x_0</vt:lpstr>
      <vt:lpstr>'310 &amp; 491'!OSRRefP22x_0</vt:lpstr>
      <vt:lpstr>'311'!OSRRefP22x_0</vt:lpstr>
      <vt:lpstr>'315'!OSRRefP22x_0</vt:lpstr>
      <vt:lpstr>'316'!OSRRefP22x_0</vt:lpstr>
      <vt:lpstr>'317'!OSRRefP22x_0</vt:lpstr>
      <vt:lpstr>'321'!OSRRefP22x_0</vt:lpstr>
      <vt:lpstr>'325'!OSRRefP22x_0</vt:lpstr>
      <vt:lpstr>'326'!OSRRefP22x_0</vt:lpstr>
      <vt:lpstr>'327'!OSRRefP22x_0</vt:lpstr>
      <vt:lpstr>'331'!OSRRefP22x_0</vt:lpstr>
      <vt:lpstr>'332'!OSRRefP22x_0</vt:lpstr>
      <vt:lpstr>'333'!OSRRefP22x_0</vt:lpstr>
      <vt:lpstr>'405'!OSRRefP22x_0</vt:lpstr>
      <vt:lpstr>'406'!OSRRefP22x_0</vt:lpstr>
      <vt:lpstr>'411'!OSRRefP22x_0</vt:lpstr>
      <vt:lpstr>'412'!OSRRefP22x_0</vt:lpstr>
      <vt:lpstr>'413'!OSRRefP22x_0</vt:lpstr>
      <vt:lpstr>'414'!OSRRefP22x_0</vt:lpstr>
      <vt:lpstr>'415'!OSRRefP22x_0</vt:lpstr>
      <vt:lpstr>'418'!OSRRefP22x_0</vt:lpstr>
      <vt:lpstr>'423'!OSRRefP22x_0</vt:lpstr>
      <vt:lpstr>'424'!OSRRefP22x_0</vt:lpstr>
      <vt:lpstr>'425'!OSRRefP22x_0</vt:lpstr>
      <vt:lpstr>'430'!OSRRefP22x_0</vt:lpstr>
      <vt:lpstr>'433'!OSRRefP22x_0</vt:lpstr>
      <vt:lpstr>'435'!OSRRefP22x_0</vt:lpstr>
      <vt:lpstr>'444'!OSRRefP22x_0</vt:lpstr>
      <vt:lpstr>'450'!OSRRefP22x_0</vt:lpstr>
      <vt:lpstr>'491'!OSRRefP22x_0</vt:lpstr>
      <vt:lpstr>'492'!OSRRefP22x_0</vt:lpstr>
      <vt:lpstr>'501'!OSRRefP22x_0</vt:lpstr>
      <vt:lpstr>'Div 2'!OSRRefP22x_0</vt:lpstr>
      <vt:lpstr>'Div 3'!OSRRefP22x_0</vt:lpstr>
      <vt:lpstr>'Div 4'!OSRRefP22x_0</vt:lpstr>
      <vt:lpstr>'Div 5'!OSRRefP22x_0</vt:lpstr>
      <vt:lpstr>'Div 6'!OSRRefP22x_0</vt:lpstr>
      <vt:lpstr>Summary!OSRRefP22x_0</vt:lpstr>
      <vt:lpstr>'300'!OSRRefP25x_0</vt:lpstr>
      <vt:lpstr>'300 &amp; 317'!OSRRefP25x_0</vt:lpstr>
      <vt:lpstr>'301'!OSRRefP25x_0</vt:lpstr>
      <vt:lpstr>'308'!OSRRefP25x_0</vt:lpstr>
      <vt:lpstr>'310 &amp; 491'!OSRRefP25x_0</vt:lpstr>
      <vt:lpstr>'311'!OSRRefP25x_0</vt:lpstr>
      <vt:lpstr>'315'!OSRRefP25x_0</vt:lpstr>
      <vt:lpstr>'316'!OSRRefP25x_0</vt:lpstr>
      <vt:lpstr>'317'!OSRRefP25x_0</vt:lpstr>
      <vt:lpstr>'331'!OSRRefP25x_0</vt:lpstr>
      <vt:lpstr>'332'!OSRRefP25x_0</vt:lpstr>
      <vt:lpstr>'333'!OSRRefP25x_0</vt:lpstr>
      <vt:lpstr>'405'!OSRRefP25x_0</vt:lpstr>
      <vt:lpstr>'411'!OSRRefP25x_0</vt:lpstr>
      <vt:lpstr>'415'!OSRRefP25x_0</vt:lpstr>
      <vt:lpstr>'418'!OSRRefP25x_0</vt:lpstr>
      <vt:lpstr>'423'!OSRRefP25x_0</vt:lpstr>
      <vt:lpstr>'491'!OSRRefP25x_0</vt:lpstr>
      <vt:lpstr>'501'!OSRRefP25x_0</vt:lpstr>
      <vt:lpstr>'Div 3'!OSRRefP25x_0</vt:lpstr>
      <vt:lpstr>'Div 4'!OSRRefP25x_0</vt:lpstr>
      <vt:lpstr>'Div 5'!OSRRefP25x_0</vt:lpstr>
      <vt:lpstr>'Div 6'!OSRRefP25x_0</vt:lpstr>
      <vt:lpstr>Summary!OSRRefP25x_0</vt:lpstr>
      <vt:lpstr>'300'!OSRRefT13x_0</vt:lpstr>
      <vt:lpstr>'300 &amp; 317'!OSRRefT13x_0</vt:lpstr>
      <vt:lpstr>'307'!OSRRefT13x_0</vt:lpstr>
      <vt:lpstr>'308'!OSRRefT13x_0</vt:lpstr>
      <vt:lpstr>'309'!OSRRefT13x_0</vt:lpstr>
      <vt:lpstr>'310'!OSRRefT13x_0</vt:lpstr>
      <vt:lpstr>'310 &amp; 491'!OSRRefT13x_0</vt:lpstr>
      <vt:lpstr>'311'!OSRRefT13x_0</vt:lpstr>
      <vt:lpstr>'315'!OSRRefT13x_0</vt:lpstr>
      <vt:lpstr>'316'!OSRRefT13x_0</vt:lpstr>
      <vt:lpstr>'317'!OSRRefT13x_0</vt:lpstr>
      <vt:lpstr>'321'!OSRRefT13x_0</vt:lpstr>
      <vt:lpstr>'324'!OSRRefT13x_0</vt:lpstr>
      <vt:lpstr>'325'!OSRRefT13x_0</vt:lpstr>
      <vt:lpstr>'326'!OSRRefT13x_0</vt:lpstr>
      <vt:lpstr>'327'!OSRRefT13x_0</vt:lpstr>
      <vt:lpstr>'331'!OSRRefT13x_0</vt:lpstr>
      <vt:lpstr>'332'!OSRRefT13x_0</vt:lpstr>
      <vt:lpstr>'333'!OSRRefT13x_0</vt:lpstr>
      <vt:lpstr>'405'!OSRRefT13x_0</vt:lpstr>
      <vt:lpstr>'415'!OSRRefT13x_0</vt:lpstr>
      <vt:lpstr>'418'!OSRRefT13x_0</vt:lpstr>
      <vt:lpstr>'425'!OSRRefT13x_0</vt:lpstr>
      <vt:lpstr>'433'!OSRRefT13x_0</vt:lpstr>
      <vt:lpstr>'435'!OSRRefT13x_0</vt:lpstr>
      <vt:lpstr>'444'!OSRRefT13x_0</vt:lpstr>
      <vt:lpstr>'450'!OSRRefT13x_0</vt:lpstr>
      <vt:lpstr>'491'!OSRRefT13x_0</vt:lpstr>
      <vt:lpstr>'492'!OSRRefT13x_0</vt:lpstr>
      <vt:lpstr>'501'!OSRRefT13x_0</vt:lpstr>
      <vt:lpstr>'Div 3'!OSRRefT13x_0</vt:lpstr>
      <vt:lpstr>'Div 4'!OSRRefT13x_0</vt:lpstr>
      <vt:lpstr>'Div 5'!OSRRefT13x_0</vt:lpstr>
      <vt:lpstr>'Div 6'!OSRRefT13x_0</vt:lpstr>
      <vt:lpstr>Summary!OSRRefT13x_0</vt:lpstr>
      <vt:lpstr>'300'!OSRRefT16x_0</vt:lpstr>
      <vt:lpstr>'300 &amp; 317'!OSRRefT16x_0</vt:lpstr>
      <vt:lpstr>'301'!OSRRefT16x_0</vt:lpstr>
      <vt:lpstr>'307'!OSRRefT16x_0</vt:lpstr>
      <vt:lpstr>'308'!OSRRefT16x_0</vt:lpstr>
      <vt:lpstr>'309'!OSRRefT16x_0</vt:lpstr>
      <vt:lpstr>'310'!OSRRefT16x_0</vt:lpstr>
      <vt:lpstr>'310 &amp; 491'!OSRRefT16x_0</vt:lpstr>
      <vt:lpstr>'311'!OSRRefT16x_0</vt:lpstr>
      <vt:lpstr>'315'!OSRRefT16x_0</vt:lpstr>
      <vt:lpstr>'316'!OSRRefT16x_0</vt:lpstr>
      <vt:lpstr>'317'!OSRRefT16x_0</vt:lpstr>
      <vt:lpstr>'321'!OSRRefT16x_0</vt:lpstr>
      <vt:lpstr>'324'!OSRRefT16x_0</vt:lpstr>
      <vt:lpstr>'325'!OSRRefT16x_0</vt:lpstr>
      <vt:lpstr>'326'!OSRRefT16x_0</vt:lpstr>
      <vt:lpstr>'327'!OSRRefT16x_0</vt:lpstr>
      <vt:lpstr>'331'!OSRRefT16x_0</vt:lpstr>
      <vt:lpstr>'332'!OSRRefT16x_0</vt:lpstr>
      <vt:lpstr>'333'!OSRRefT16x_0</vt:lpstr>
      <vt:lpstr>'405'!OSRRefT16x_0</vt:lpstr>
      <vt:lpstr>'412'!OSRRefT16x_0</vt:lpstr>
      <vt:lpstr>'415'!OSRRefT16x_0</vt:lpstr>
      <vt:lpstr>'418'!OSRRefT16x_0</vt:lpstr>
      <vt:lpstr>'424'!OSRRefT16x_0</vt:lpstr>
      <vt:lpstr>'425'!OSRRefT16x_0</vt:lpstr>
      <vt:lpstr>'433'!OSRRefT16x_0</vt:lpstr>
      <vt:lpstr>'435'!OSRRefT16x_0</vt:lpstr>
      <vt:lpstr>'444'!OSRRefT16x_0</vt:lpstr>
      <vt:lpstr>'450'!OSRRefT16x_0</vt:lpstr>
      <vt:lpstr>'491'!OSRRefT16x_0</vt:lpstr>
      <vt:lpstr>'492'!OSRRefT16x_0</vt:lpstr>
      <vt:lpstr>'Div 3'!OSRRefT16x_0</vt:lpstr>
      <vt:lpstr>'Div 4'!OSRRefT16x_0</vt:lpstr>
      <vt:lpstr>'Div 6'!OSRRefT16x_0</vt:lpstr>
      <vt:lpstr>Summary!OSRRefT16x_0</vt:lpstr>
      <vt:lpstr>'200'!OSRRefT22_0x_0</vt:lpstr>
      <vt:lpstr>'201'!OSRRefT22_0x_0</vt:lpstr>
      <vt:lpstr>'202'!OSRRefT22_0x_0</vt:lpstr>
      <vt:lpstr>'203'!OSRRefT22_0x_0</vt:lpstr>
      <vt:lpstr>'204'!OSRRefT22_0x_0</vt:lpstr>
      <vt:lpstr>'205'!OSRRefT22_0x_0</vt:lpstr>
      <vt:lpstr>'206'!OSRRefT22_0x_0</vt:lpstr>
      <vt:lpstr>'300'!OSRRefT22_0x_0</vt:lpstr>
      <vt:lpstr>'300 &amp; 317'!OSRRefT22_0x_0</vt:lpstr>
      <vt:lpstr>'301'!OSRRefT22_0x_0</vt:lpstr>
      <vt:lpstr>'307'!OSRRefT22_0x_0</vt:lpstr>
      <vt:lpstr>'308'!OSRRefT22_0x_0</vt:lpstr>
      <vt:lpstr>'309'!OSRRefT22_0x_0</vt:lpstr>
      <vt:lpstr>'310'!OSRRefT22_0x_0</vt:lpstr>
      <vt:lpstr>'310 &amp; 491'!OSRRefT22_0x_0</vt:lpstr>
      <vt:lpstr>'311'!OSRRefT22_0x_0</vt:lpstr>
      <vt:lpstr>'315'!OSRRefT22_0x_0</vt:lpstr>
      <vt:lpstr>'316'!OSRRefT22_0x_0</vt:lpstr>
      <vt:lpstr>'317'!OSRRefT22_0x_0</vt:lpstr>
      <vt:lpstr>'321'!OSRRefT22_0x_0</vt:lpstr>
      <vt:lpstr>'325'!OSRRefT22_0x_0</vt:lpstr>
      <vt:lpstr>'326'!OSRRefT22_0x_0</vt:lpstr>
      <vt:lpstr>'327'!OSRRefT22_0x_0</vt:lpstr>
      <vt:lpstr>'331'!OSRRefT22_0x_0</vt:lpstr>
      <vt:lpstr>'332'!OSRRefT22_0x_0</vt:lpstr>
      <vt:lpstr>'333'!OSRRefT22_0x_0</vt:lpstr>
      <vt:lpstr>'405'!OSRRefT22_0x_0</vt:lpstr>
      <vt:lpstr>'406'!OSRRefT22_0x_0</vt:lpstr>
      <vt:lpstr>'411'!OSRRefT22_0x_0</vt:lpstr>
      <vt:lpstr>'412'!OSRRefT22_0x_0</vt:lpstr>
      <vt:lpstr>'413'!OSRRefT22_0x_0</vt:lpstr>
      <vt:lpstr>'414'!OSRRefT22_0x_0</vt:lpstr>
      <vt:lpstr>'415'!OSRRefT22_0x_0</vt:lpstr>
      <vt:lpstr>'418'!OSRRefT22_0x_0</vt:lpstr>
      <vt:lpstr>'423'!OSRRefT22_0x_0</vt:lpstr>
      <vt:lpstr>'424'!OSRRefT22_0x_0</vt:lpstr>
      <vt:lpstr>'425'!OSRRefT22_0x_0</vt:lpstr>
      <vt:lpstr>'430'!OSRRefT22_0x_0</vt:lpstr>
      <vt:lpstr>'433'!OSRRefT22_0x_0</vt:lpstr>
      <vt:lpstr>'435'!OSRRefT22_0x_0</vt:lpstr>
      <vt:lpstr>'444'!OSRRefT22_0x_0</vt:lpstr>
      <vt:lpstr>'450'!OSRRefT22_0x_0</vt:lpstr>
      <vt:lpstr>'491'!OSRRefT22_0x_0</vt:lpstr>
      <vt:lpstr>'492'!OSRRefT22_0x_0</vt:lpstr>
      <vt:lpstr>'501'!OSRRefT22_0x_0</vt:lpstr>
      <vt:lpstr>'Div 2'!OSRRefT22_0x_0</vt:lpstr>
      <vt:lpstr>'Div 3'!OSRRefT22_0x_0</vt:lpstr>
      <vt:lpstr>'Div 4'!OSRRefT22_0x_0</vt:lpstr>
      <vt:lpstr>'Div 5'!OSRRefT22_0x_0</vt:lpstr>
      <vt:lpstr>'Div 6'!OSRRefT22_0x_0</vt:lpstr>
      <vt:lpstr>Summary!OSRRefT22_0x_0</vt:lpstr>
      <vt:lpstr>'201'!OSRRefT22_10x_0</vt:lpstr>
      <vt:lpstr>'202'!OSRRefT22_10x_0</vt:lpstr>
      <vt:lpstr>'203'!OSRRefT22_10x_0</vt:lpstr>
      <vt:lpstr>'204'!OSRRefT22_10x_0</vt:lpstr>
      <vt:lpstr>'300'!OSRRefT22_10x_0</vt:lpstr>
      <vt:lpstr>'300 &amp; 317'!OSRRefT22_10x_0</vt:lpstr>
      <vt:lpstr>'301'!OSRRefT22_10x_0</vt:lpstr>
      <vt:lpstr>'307'!OSRRefT22_10x_0</vt:lpstr>
      <vt:lpstr>'308'!OSRRefT22_10x_0</vt:lpstr>
      <vt:lpstr>'309'!OSRRefT22_10x_0</vt:lpstr>
      <vt:lpstr>'310'!OSRRefT22_10x_0</vt:lpstr>
      <vt:lpstr>'310 &amp; 491'!OSRRefT22_10x_0</vt:lpstr>
      <vt:lpstr>'311'!OSRRefT22_10x_0</vt:lpstr>
      <vt:lpstr>'315'!OSRRefT22_10x_0</vt:lpstr>
      <vt:lpstr>'316'!OSRRefT22_10x_0</vt:lpstr>
      <vt:lpstr>'317'!OSRRefT22_10x_0</vt:lpstr>
      <vt:lpstr>'321'!OSRRefT22_10x_0</vt:lpstr>
      <vt:lpstr>'325'!OSRRefT22_10x_0</vt:lpstr>
      <vt:lpstr>'326'!OSRRefT22_10x_0</vt:lpstr>
      <vt:lpstr>'331'!OSRRefT22_10x_0</vt:lpstr>
      <vt:lpstr>'332'!OSRRefT22_10x_0</vt:lpstr>
      <vt:lpstr>'333'!OSRRefT22_10x_0</vt:lpstr>
      <vt:lpstr>'405'!OSRRefT22_10x_0</vt:lpstr>
      <vt:lpstr>'411'!OSRRefT22_10x_0</vt:lpstr>
      <vt:lpstr>'415'!OSRRefT22_10x_0</vt:lpstr>
      <vt:lpstr>'418'!OSRRefT22_10x_0</vt:lpstr>
      <vt:lpstr>'433'!OSRRefT22_10x_0</vt:lpstr>
      <vt:lpstr>'444'!OSRRefT22_10x_0</vt:lpstr>
      <vt:lpstr>'450'!OSRRefT22_10x_0</vt:lpstr>
      <vt:lpstr>'491'!OSRRefT22_10x_0</vt:lpstr>
      <vt:lpstr>'492'!OSRRefT22_10x_0</vt:lpstr>
      <vt:lpstr>'501'!OSRRefT22_10x_0</vt:lpstr>
      <vt:lpstr>'Div 2'!OSRRefT22_10x_0</vt:lpstr>
      <vt:lpstr>'Div 3'!OSRRefT22_10x_0</vt:lpstr>
      <vt:lpstr>'Div 4'!OSRRefT22_10x_0</vt:lpstr>
      <vt:lpstr>'Div 5'!OSRRefT22_10x_0</vt:lpstr>
      <vt:lpstr>'Div 6'!OSRRefT22_10x_0</vt:lpstr>
      <vt:lpstr>Summary!OSRRefT22_10x_0</vt:lpstr>
      <vt:lpstr>'201'!OSRRefT22_11x_0</vt:lpstr>
      <vt:lpstr>'202'!OSRRefT22_11x_0</vt:lpstr>
      <vt:lpstr>'203'!OSRRefT22_11x_0</vt:lpstr>
      <vt:lpstr>'300'!OSRRefT22_11x_0</vt:lpstr>
      <vt:lpstr>'300 &amp; 317'!OSRRefT22_11x_0</vt:lpstr>
      <vt:lpstr>'301'!OSRRefT22_11x_0</vt:lpstr>
      <vt:lpstr>'307'!OSRRefT22_11x_0</vt:lpstr>
      <vt:lpstr>'308'!OSRRefT22_11x_0</vt:lpstr>
      <vt:lpstr>'309'!OSRRefT22_11x_0</vt:lpstr>
      <vt:lpstr>'310'!OSRRefT22_11x_0</vt:lpstr>
      <vt:lpstr>'310 &amp; 491'!OSRRefT22_11x_0</vt:lpstr>
      <vt:lpstr>'311'!OSRRefT22_11x_0</vt:lpstr>
      <vt:lpstr>'315'!OSRRefT22_11x_0</vt:lpstr>
      <vt:lpstr>'316'!OSRRefT22_11x_0</vt:lpstr>
      <vt:lpstr>'321'!OSRRefT22_11x_0</vt:lpstr>
      <vt:lpstr>'325'!OSRRefT22_11x_0</vt:lpstr>
      <vt:lpstr>'326'!OSRRefT22_11x_0</vt:lpstr>
      <vt:lpstr>'331'!OSRRefT22_11x_0</vt:lpstr>
      <vt:lpstr>'332'!OSRRefT22_11x_0</vt:lpstr>
      <vt:lpstr>'333'!OSRRefT22_11x_0</vt:lpstr>
      <vt:lpstr>'405'!OSRRefT22_11x_0</vt:lpstr>
      <vt:lpstr>'411'!OSRRefT22_11x_0</vt:lpstr>
      <vt:lpstr>'415'!OSRRefT22_11x_0</vt:lpstr>
      <vt:lpstr>'418'!OSRRefT22_11x_0</vt:lpstr>
      <vt:lpstr>'433'!OSRRefT22_11x_0</vt:lpstr>
      <vt:lpstr>'444'!OSRRefT22_11x_0</vt:lpstr>
      <vt:lpstr>'450'!OSRRefT22_11x_0</vt:lpstr>
      <vt:lpstr>'491'!OSRRefT22_11x_0</vt:lpstr>
      <vt:lpstr>'492'!OSRRefT22_11x_0</vt:lpstr>
      <vt:lpstr>'501'!OSRRefT22_11x_0</vt:lpstr>
      <vt:lpstr>'Div 2'!OSRRefT22_11x_0</vt:lpstr>
      <vt:lpstr>'Div 3'!OSRRefT22_11x_0</vt:lpstr>
      <vt:lpstr>'Div 4'!OSRRefT22_11x_0</vt:lpstr>
      <vt:lpstr>'Div 5'!OSRRefT22_11x_0</vt:lpstr>
      <vt:lpstr>Summary!OSRRefT22_11x_0</vt:lpstr>
      <vt:lpstr>'201'!OSRRefT22_12x_0</vt:lpstr>
      <vt:lpstr>'202'!OSRRefT22_12x_0</vt:lpstr>
      <vt:lpstr>'203'!OSRRefT22_12x_0</vt:lpstr>
      <vt:lpstr>'300'!OSRRefT22_12x_0</vt:lpstr>
      <vt:lpstr>'300 &amp; 317'!OSRRefT22_12x_0</vt:lpstr>
      <vt:lpstr>'301'!OSRRefT22_12x_0</vt:lpstr>
      <vt:lpstr>'307'!OSRRefT22_12x_0</vt:lpstr>
      <vt:lpstr>'308'!OSRRefT22_12x_0</vt:lpstr>
      <vt:lpstr>'309'!OSRRefT22_12x_0</vt:lpstr>
      <vt:lpstr>'310'!OSRRefT22_12x_0</vt:lpstr>
      <vt:lpstr>'310 &amp; 491'!OSRRefT22_12x_0</vt:lpstr>
      <vt:lpstr>'311'!OSRRefT22_12x_0</vt:lpstr>
      <vt:lpstr>'315'!OSRRefT22_12x_0</vt:lpstr>
      <vt:lpstr>'316'!OSRRefT22_12x_0</vt:lpstr>
      <vt:lpstr>'321'!OSRRefT22_12x_0</vt:lpstr>
      <vt:lpstr>'325'!OSRRefT22_12x_0</vt:lpstr>
      <vt:lpstr>'326'!OSRRefT22_12x_0</vt:lpstr>
      <vt:lpstr>'331'!OSRRefT22_12x_0</vt:lpstr>
      <vt:lpstr>'332'!OSRRefT22_12x_0</vt:lpstr>
      <vt:lpstr>'333'!OSRRefT22_12x_0</vt:lpstr>
      <vt:lpstr>'405'!OSRRefT22_12x_0</vt:lpstr>
      <vt:lpstr>'411'!OSRRefT22_12x_0</vt:lpstr>
      <vt:lpstr>'415'!OSRRefT22_12x_0</vt:lpstr>
      <vt:lpstr>'418'!OSRRefT22_12x_0</vt:lpstr>
      <vt:lpstr>'433'!OSRRefT22_12x_0</vt:lpstr>
      <vt:lpstr>'444'!OSRRefT22_12x_0</vt:lpstr>
      <vt:lpstr>'450'!OSRRefT22_12x_0</vt:lpstr>
      <vt:lpstr>'491'!OSRRefT22_12x_0</vt:lpstr>
      <vt:lpstr>'492'!OSRRefT22_12x_0</vt:lpstr>
      <vt:lpstr>'501'!OSRRefT22_12x_0</vt:lpstr>
      <vt:lpstr>'Div 2'!OSRRefT22_12x_0</vt:lpstr>
      <vt:lpstr>'Div 3'!OSRRefT22_12x_0</vt:lpstr>
      <vt:lpstr>'Div 4'!OSRRefT22_12x_0</vt:lpstr>
      <vt:lpstr>'Div 5'!OSRRefT22_12x_0</vt:lpstr>
      <vt:lpstr>Summary!OSRRefT22_12x_0</vt:lpstr>
      <vt:lpstr>'201'!OSRRefT22_13x_0</vt:lpstr>
      <vt:lpstr>'202'!OSRRefT22_13x_0</vt:lpstr>
      <vt:lpstr>'203'!OSRRefT22_13x_0</vt:lpstr>
      <vt:lpstr>'300'!OSRRefT22_13x_0</vt:lpstr>
      <vt:lpstr>'300 &amp; 317'!OSRRefT22_13x_0</vt:lpstr>
      <vt:lpstr>'301'!OSRRefT22_13x_0</vt:lpstr>
      <vt:lpstr>'307'!OSRRefT22_13x_0</vt:lpstr>
      <vt:lpstr>'308'!OSRRefT22_13x_0</vt:lpstr>
      <vt:lpstr>'310'!OSRRefT22_13x_0</vt:lpstr>
      <vt:lpstr>'310 &amp; 491'!OSRRefT22_13x_0</vt:lpstr>
      <vt:lpstr>'311'!OSRRefT22_13x_0</vt:lpstr>
      <vt:lpstr>'315'!OSRRefT22_13x_0</vt:lpstr>
      <vt:lpstr>'321'!OSRRefT22_13x_0</vt:lpstr>
      <vt:lpstr>'325'!OSRRefT22_13x_0</vt:lpstr>
      <vt:lpstr>'326'!OSRRefT22_13x_0</vt:lpstr>
      <vt:lpstr>'331'!OSRRefT22_13x_0</vt:lpstr>
      <vt:lpstr>'333'!OSRRefT22_13x_0</vt:lpstr>
      <vt:lpstr>'405'!OSRRefT22_13x_0</vt:lpstr>
      <vt:lpstr>'411'!OSRRefT22_13x_0</vt:lpstr>
      <vt:lpstr>'415'!OSRRefT22_13x_0</vt:lpstr>
      <vt:lpstr>'418'!OSRRefT22_13x_0</vt:lpstr>
      <vt:lpstr>'433'!OSRRefT22_13x_0</vt:lpstr>
      <vt:lpstr>'444'!OSRRefT22_13x_0</vt:lpstr>
      <vt:lpstr>'450'!OSRRefT22_13x_0</vt:lpstr>
      <vt:lpstr>'491'!OSRRefT22_13x_0</vt:lpstr>
      <vt:lpstr>'492'!OSRRefT22_13x_0</vt:lpstr>
      <vt:lpstr>'501'!OSRRefT22_13x_0</vt:lpstr>
      <vt:lpstr>'Div 2'!OSRRefT22_13x_0</vt:lpstr>
      <vt:lpstr>'Div 3'!OSRRefT22_13x_0</vt:lpstr>
      <vt:lpstr>'Div 4'!OSRRefT22_13x_0</vt:lpstr>
      <vt:lpstr>'Div 5'!OSRRefT22_13x_0</vt:lpstr>
      <vt:lpstr>Summary!OSRRefT22_13x_0</vt:lpstr>
      <vt:lpstr>'201'!OSRRefT22_14x_0</vt:lpstr>
      <vt:lpstr>'203'!OSRRefT22_14x_0</vt:lpstr>
      <vt:lpstr>'300'!OSRRefT22_14x_0</vt:lpstr>
      <vt:lpstr>'300 &amp; 317'!OSRRefT22_14x_0</vt:lpstr>
      <vt:lpstr>'301'!OSRRefT22_14x_0</vt:lpstr>
      <vt:lpstr>'310'!OSRRefT22_14x_0</vt:lpstr>
      <vt:lpstr>'310 &amp; 491'!OSRRefT22_14x_0</vt:lpstr>
      <vt:lpstr>'315'!OSRRefT22_14x_0</vt:lpstr>
      <vt:lpstr>'325'!OSRRefT22_14x_0</vt:lpstr>
      <vt:lpstr>'326'!OSRRefT22_14x_0</vt:lpstr>
      <vt:lpstr>'331'!OSRRefT22_14x_0</vt:lpstr>
      <vt:lpstr>'333'!OSRRefT22_14x_0</vt:lpstr>
      <vt:lpstr>'405'!OSRRefT22_14x_0</vt:lpstr>
      <vt:lpstr>'411'!OSRRefT22_14x_0</vt:lpstr>
      <vt:lpstr>'415'!OSRRefT22_14x_0</vt:lpstr>
      <vt:lpstr>'418'!OSRRefT22_14x_0</vt:lpstr>
      <vt:lpstr>'433'!OSRRefT22_14x_0</vt:lpstr>
      <vt:lpstr>'444'!OSRRefT22_14x_0</vt:lpstr>
      <vt:lpstr>'450'!OSRRefT22_14x_0</vt:lpstr>
      <vt:lpstr>'491'!OSRRefT22_14x_0</vt:lpstr>
      <vt:lpstr>'492'!OSRRefT22_14x_0</vt:lpstr>
      <vt:lpstr>'Div 2'!OSRRefT22_14x_0</vt:lpstr>
      <vt:lpstr>'Div 3'!OSRRefT22_14x_0</vt:lpstr>
      <vt:lpstr>'Div 4'!OSRRefT22_14x_0</vt:lpstr>
      <vt:lpstr>Summary!OSRRefT22_14x_0</vt:lpstr>
      <vt:lpstr>'201'!OSRRefT22_15x_0</vt:lpstr>
      <vt:lpstr>'300'!OSRRefT22_15x_0</vt:lpstr>
      <vt:lpstr>'300 &amp; 317'!OSRRefT22_15x_0</vt:lpstr>
      <vt:lpstr>'301'!OSRRefT22_15x_0</vt:lpstr>
      <vt:lpstr>'310'!OSRRefT22_15x_0</vt:lpstr>
      <vt:lpstr>'310 &amp; 491'!OSRRefT22_15x_0</vt:lpstr>
      <vt:lpstr>'315'!OSRRefT22_15x_0</vt:lpstr>
      <vt:lpstr>'325'!OSRRefT22_15x_0</vt:lpstr>
      <vt:lpstr>'326'!OSRRefT22_15x_0</vt:lpstr>
      <vt:lpstr>'331'!OSRRefT22_15x_0</vt:lpstr>
      <vt:lpstr>'333'!OSRRefT22_15x_0</vt:lpstr>
      <vt:lpstr>'405'!OSRRefT22_15x_0</vt:lpstr>
      <vt:lpstr>'411'!OSRRefT22_15x_0</vt:lpstr>
      <vt:lpstr>'415'!OSRRefT22_15x_0</vt:lpstr>
      <vt:lpstr>'418'!OSRRefT22_15x_0</vt:lpstr>
      <vt:lpstr>'433'!OSRRefT22_15x_0</vt:lpstr>
      <vt:lpstr>'444'!OSRRefT22_15x_0</vt:lpstr>
      <vt:lpstr>'450'!OSRRefT22_15x_0</vt:lpstr>
      <vt:lpstr>'491'!OSRRefT22_15x_0</vt:lpstr>
      <vt:lpstr>'492'!OSRRefT22_15x_0</vt:lpstr>
      <vt:lpstr>'Div 2'!OSRRefT22_15x_0</vt:lpstr>
      <vt:lpstr>'Div 3'!OSRRefT22_15x_0</vt:lpstr>
      <vt:lpstr>'Div 4'!OSRRefT22_15x_0</vt:lpstr>
      <vt:lpstr>Summary!OSRRefT22_15x_0</vt:lpstr>
      <vt:lpstr>'201'!OSRRefT22_16x_0</vt:lpstr>
      <vt:lpstr>'300'!OSRRefT22_16x_0</vt:lpstr>
      <vt:lpstr>'300 &amp; 317'!OSRRefT22_16x_0</vt:lpstr>
      <vt:lpstr>'301'!OSRRefT22_16x_0</vt:lpstr>
      <vt:lpstr>'310'!OSRRefT22_16x_0</vt:lpstr>
      <vt:lpstr>'310 &amp; 491'!OSRRefT22_16x_0</vt:lpstr>
      <vt:lpstr>'315'!OSRRefT22_16x_0</vt:lpstr>
      <vt:lpstr>'325'!OSRRefT22_16x_0</vt:lpstr>
      <vt:lpstr>'326'!OSRRefT22_16x_0</vt:lpstr>
      <vt:lpstr>'331'!OSRRefT22_16x_0</vt:lpstr>
      <vt:lpstr>'333'!OSRRefT22_16x_0</vt:lpstr>
      <vt:lpstr>'405'!OSRRefT22_16x_0</vt:lpstr>
      <vt:lpstr>'411'!OSRRefT22_16x_0</vt:lpstr>
      <vt:lpstr>'415'!OSRRefT22_16x_0</vt:lpstr>
      <vt:lpstr>'444'!OSRRefT22_16x_0</vt:lpstr>
      <vt:lpstr>'450'!OSRRefT22_16x_0</vt:lpstr>
      <vt:lpstr>'491'!OSRRefT22_16x_0</vt:lpstr>
      <vt:lpstr>'492'!OSRRefT22_16x_0</vt:lpstr>
      <vt:lpstr>'Div 2'!OSRRefT22_16x_0</vt:lpstr>
      <vt:lpstr>'Div 3'!OSRRefT22_16x_0</vt:lpstr>
      <vt:lpstr>'Div 4'!OSRRefT22_16x_0</vt:lpstr>
      <vt:lpstr>Summary!OSRRefT22_16x_0</vt:lpstr>
      <vt:lpstr>'300'!OSRRefT22_17x_0</vt:lpstr>
      <vt:lpstr>'300 &amp; 317'!OSRRefT22_17x_0</vt:lpstr>
      <vt:lpstr>'301'!OSRRefT22_17x_0</vt:lpstr>
      <vt:lpstr>'310'!OSRRefT22_17x_0</vt:lpstr>
      <vt:lpstr>'310 &amp; 491'!OSRRefT22_17x_0</vt:lpstr>
      <vt:lpstr>'315'!OSRRefT22_17x_0</vt:lpstr>
      <vt:lpstr>'326'!OSRRefT22_17x_0</vt:lpstr>
      <vt:lpstr>'331'!OSRRefT22_17x_0</vt:lpstr>
      <vt:lpstr>'333'!OSRRefT22_17x_0</vt:lpstr>
      <vt:lpstr>'415'!OSRRefT22_17x_0</vt:lpstr>
      <vt:lpstr>'491'!OSRRefT22_17x_0</vt:lpstr>
      <vt:lpstr>'492'!OSRRefT22_17x_0</vt:lpstr>
      <vt:lpstr>'Div 2'!OSRRefT22_17x_0</vt:lpstr>
      <vt:lpstr>'Div 3'!OSRRefT22_17x_0</vt:lpstr>
      <vt:lpstr>'Div 4'!OSRRefT22_17x_0</vt:lpstr>
      <vt:lpstr>Summary!OSRRefT22_17x_0</vt:lpstr>
      <vt:lpstr>'300'!OSRRefT22_18x_0</vt:lpstr>
      <vt:lpstr>'300 &amp; 317'!OSRRefT22_18x_0</vt:lpstr>
      <vt:lpstr>'301'!OSRRefT22_18x_0</vt:lpstr>
      <vt:lpstr>'310 &amp; 491'!OSRRefT22_18x_0</vt:lpstr>
      <vt:lpstr>'315'!OSRRefT22_18x_0</vt:lpstr>
      <vt:lpstr>'331'!OSRRefT22_18x_0</vt:lpstr>
      <vt:lpstr>'333'!OSRRefT22_18x_0</vt:lpstr>
      <vt:lpstr>'491'!OSRRefT22_18x_0</vt:lpstr>
      <vt:lpstr>'492'!OSRRefT22_18x_0</vt:lpstr>
      <vt:lpstr>'Div 2'!OSRRefT22_18x_0</vt:lpstr>
      <vt:lpstr>'Div 3'!OSRRefT22_18x_0</vt:lpstr>
      <vt:lpstr>'Div 4'!OSRRefT22_18x_0</vt:lpstr>
      <vt:lpstr>Summary!OSRRefT22_18x_0</vt:lpstr>
      <vt:lpstr>'300'!OSRRefT22_19x_0</vt:lpstr>
      <vt:lpstr>'300 &amp; 317'!OSRRefT22_19x_0</vt:lpstr>
      <vt:lpstr>'301'!OSRRefT22_19x_0</vt:lpstr>
      <vt:lpstr>'310 &amp; 491'!OSRRefT22_19x_0</vt:lpstr>
      <vt:lpstr>'331'!OSRRefT22_19x_0</vt:lpstr>
      <vt:lpstr>'333'!OSRRefT22_19x_0</vt:lpstr>
      <vt:lpstr>'491'!OSRRefT22_19x_0</vt:lpstr>
      <vt:lpstr>'Div 2'!OSRRefT22_19x_0</vt:lpstr>
      <vt:lpstr>'Div 3'!OSRRefT22_19x_0</vt:lpstr>
      <vt:lpstr>'Div 4'!OSRRefT22_19x_0</vt:lpstr>
      <vt:lpstr>Summary!OSRRefT22_19x_0</vt:lpstr>
      <vt:lpstr>'200'!OSRRefT22_1x_0</vt:lpstr>
      <vt:lpstr>'201'!OSRRefT22_1x_0</vt:lpstr>
      <vt:lpstr>'202'!OSRRefT22_1x_0</vt:lpstr>
      <vt:lpstr>'203'!OSRRefT22_1x_0</vt:lpstr>
      <vt:lpstr>'204'!OSRRefT22_1x_0</vt:lpstr>
      <vt:lpstr>'205'!OSRRefT22_1x_0</vt:lpstr>
      <vt:lpstr>'206'!OSRRefT22_1x_0</vt:lpstr>
      <vt:lpstr>'300'!OSRRefT22_1x_0</vt:lpstr>
      <vt:lpstr>'300 &amp; 317'!OSRRefT22_1x_0</vt:lpstr>
      <vt:lpstr>'301'!OSRRefT22_1x_0</vt:lpstr>
      <vt:lpstr>'307'!OSRRefT22_1x_0</vt:lpstr>
      <vt:lpstr>'308'!OSRRefT22_1x_0</vt:lpstr>
      <vt:lpstr>'309'!OSRRefT22_1x_0</vt:lpstr>
      <vt:lpstr>'310'!OSRRefT22_1x_0</vt:lpstr>
      <vt:lpstr>'310 &amp; 491'!OSRRefT22_1x_0</vt:lpstr>
      <vt:lpstr>'311'!OSRRefT22_1x_0</vt:lpstr>
      <vt:lpstr>'315'!OSRRefT22_1x_0</vt:lpstr>
      <vt:lpstr>'316'!OSRRefT22_1x_0</vt:lpstr>
      <vt:lpstr>'317'!OSRRefT22_1x_0</vt:lpstr>
      <vt:lpstr>'321'!OSRRefT22_1x_0</vt:lpstr>
      <vt:lpstr>'325'!OSRRefT22_1x_0</vt:lpstr>
      <vt:lpstr>'326'!OSRRefT22_1x_0</vt:lpstr>
      <vt:lpstr>'327'!OSRRefT22_1x_0</vt:lpstr>
      <vt:lpstr>'331'!OSRRefT22_1x_0</vt:lpstr>
      <vt:lpstr>'332'!OSRRefT22_1x_0</vt:lpstr>
      <vt:lpstr>'333'!OSRRefT22_1x_0</vt:lpstr>
      <vt:lpstr>'405'!OSRRefT22_1x_0</vt:lpstr>
      <vt:lpstr>'406'!OSRRefT22_1x_0</vt:lpstr>
      <vt:lpstr>'411'!OSRRefT22_1x_0</vt:lpstr>
      <vt:lpstr>'412'!OSRRefT22_1x_0</vt:lpstr>
      <vt:lpstr>'413'!OSRRefT22_1x_0</vt:lpstr>
      <vt:lpstr>'414'!OSRRefT22_1x_0</vt:lpstr>
      <vt:lpstr>'415'!OSRRefT22_1x_0</vt:lpstr>
      <vt:lpstr>'418'!OSRRefT22_1x_0</vt:lpstr>
      <vt:lpstr>'423'!OSRRefT22_1x_0</vt:lpstr>
      <vt:lpstr>'424'!OSRRefT22_1x_0</vt:lpstr>
      <vt:lpstr>'425'!OSRRefT22_1x_0</vt:lpstr>
      <vt:lpstr>'430'!OSRRefT22_1x_0</vt:lpstr>
      <vt:lpstr>'433'!OSRRefT22_1x_0</vt:lpstr>
      <vt:lpstr>'435'!OSRRefT22_1x_0</vt:lpstr>
      <vt:lpstr>'444'!OSRRefT22_1x_0</vt:lpstr>
      <vt:lpstr>'450'!OSRRefT22_1x_0</vt:lpstr>
      <vt:lpstr>'491'!OSRRefT22_1x_0</vt:lpstr>
      <vt:lpstr>'492'!OSRRefT22_1x_0</vt:lpstr>
      <vt:lpstr>'501'!OSRRefT22_1x_0</vt:lpstr>
      <vt:lpstr>'Div 2'!OSRRefT22_1x_0</vt:lpstr>
      <vt:lpstr>'Div 3'!OSRRefT22_1x_0</vt:lpstr>
      <vt:lpstr>'Div 4'!OSRRefT22_1x_0</vt:lpstr>
      <vt:lpstr>'Div 5'!OSRRefT22_1x_0</vt:lpstr>
      <vt:lpstr>'Div 6'!OSRRefT22_1x_0</vt:lpstr>
      <vt:lpstr>Summary!OSRRefT22_1x_0</vt:lpstr>
      <vt:lpstr>'300'!OSRRefT22_20x_0</vt:lpstr>
      <vt:lpstr>'300 &amp; 317'!OSRRefT22_20x_0</vt:lpstr>
      <vt:lpstr>'301'!OSRRefT22_20x_0</vt:lpstr>
      <vt:lpstr>'310 &amp; 491'!OSRRefT22_20x_0</vt:lpstr>
      <vt:lpstr>'331'!OSRRefT22_20x_0</vt:lpstr>
      <vt:lpstr>'333'!OSRRefT22_20x_0</vt:lpstr>
      <vt:lpstr>'491'!OSRRefT22_20x_0</vt:lpstr>
      <vt:lpstr>'Div 3'!OSRRefT22_20x_0</vt:lpstr>
      <vt:lpstr>'Div 4'!OSRRefT22_20x_0</vt:lpstr>
      <vt:lpstr>Summary!OSRRefT22_20x_0</vt:lpstr>
      <vt:lpstr>'300'!OSRRefT22_21x_0</vt:lpstr>
      <vt:lpstr>'300 &amp; 317'!OSRRefT22_21x_0</vt:lpstr>
      <vt:lpstr>'301'!OSRRefT22_21x_0</vt:lpstr>
      <vt:lpstr>'310 &amp; 491'!OSRRefT22_21x_0</vt:lpstr>
      <vt:lpstr>'331'!OSRRefT22_21x_0</vt:lpstr>
      <vt:lpstr>'333'!OSRRefT22_21x_0</vt:lpstr>
      <vt:lpstr>'491'!OSRRefT22_21x_0</vt:lpstr>
      <vt:lpstr>'Div 3'!OSRRefT22_21x_0</vt:lpstr>
      <vt:lpstr>'Div 4'!OSRRefT22_21x_0</vt:lpstr>
      <vt:lpstr>Summary!OSRRefT22_21x_0</vt:lpstr>
      <vt:lpstr>'300'!OSRRefT22_22x_0</vt:lpstr>
      <vt:lpstr>'300 &amp; 317'!OSRRefT22_22x_0</vt:lpstr>
      <vt:lpstr>'301'!OSRRefT22_22x_0</vt:lpstr>
      <vt:lpstr>'331'!OSRRefT22_22x_0</vt:lpstr>
      <vt:lpstr>'333'!OSRRefT22_22x_0</vt:lpstr>
      <vt:lpstr>'Div 3'!OSRRefT22_22x_0</vt:lpstr>
      <vt:lpstr>'Div 4'!OSRRefT22_22x_0</vt:lpstr>
      <vt:lpstr>Summary!OSRRefT22_22x_0</vt:lpstr>
      <vt:lpstr>'300'!OSRRefT22_23x_0</vt:lpstr>
      <vt:lpstr>'300 &amp; 317'!OSRRefT22_23x_0</vt:lpstr>
      <vt:lpstr>'Div 3'!OSRRefT22_23x_0</vt:lpstr>
      <vt:lpstr>'Div 4'!OSRRefT22_23x_0</vt:lpstr>
      <vt:lpstr>Summary!OSRRefT22_23x_0</vt:lpstr>
      <vt:lpstr>'300'!OSRRefT22_24x_0</vt:lpstr>
      <vt:lpstr>'300 &amp; 317'!OSRRefT22_24x_0</vt:lpstr>
      <vt:lpstr>'Div 3'!OSRRefT22_24x_0</vt:lpstr>
      <vt:lpstr>Summary!OSRRefT22_24x_0</vt:lpstr>
      <vt:lpstr>'Div 3'!OSRRefT22_25x_0</vt:lpstr>
      <vt:lpstr>Summary!OSRRefT22_25x_0</vt:lpstr>
      <vt:lpstr>Summary!OSRRefT22_26x_0</vt:lpstr>
      <vt:lpstr>'200'!OSRRefT22_2x_0</vt:lpstr>
      <vt:lpstr>'201'!OSRRefT22_2x_0</vt:lpstr>
      <vt:lpstr>'202'!OSRRefT22_2x_0</vt:lpstr>
      <vt:lpstr>'203'!OSRRefT22_2x_0</vt:lpstr>
      <vt:lpstr>'204'!OSRRefT22_2x_0</vt:lpstr>
      <vt:lpstr>'205'!OSRRefT22_2x_0</vt:lpstr>
      <vt:lpstr>'206'!OSRRefT22_2x_0</vt:lpstr>
      <vt:lpstr>'300'!OSRRefT22_2x_0</vt:lpstr>
      <vt:lpstr>'300 &amp; 317'!OSRRefT22_2x_0</vt:lpstr>
      <vt:lpstr>'301'!OSRRefT22_2x_0</vt:lpstr>
      <vt:lpstr>'307'!OSRRefT22_2x_0</vt:lpstr>
      <vt:lpstr>'308'!OSRRefT22_2x_0</vt:lpstr>
      <vt:lpstr>'309'!OSRRefT22_2x_0</vt:lpstr>
      <vt:lpstr>'310'!OSRRefT22_2x_0</vt:lpstr>
      <vt:lpstr>'310 &amp; 491'!OSRRefT22_2x_0</vt:lpstr>
      <vt:lpstr>'311'!OSRRefT22_2x_0</vt:lpstr>
      <vt:lpstr>'315'!OSRRefT22_2x_0</vt:lpstr>
      <vt:lpstr>'316'!OSRRefT22_2x_0</vt:lpstr>
      <vt:lpstr>'317'!OSRRefT22_2x_0</vt:lpstr>
      <vt:lpstr>'321'!OSRRefT22_2x_0</vt:lpstr>
      <vt:lpstr>'325'!OSRRefT22_2x_0</vt:lpstr>
      <vt:lpstr>'326'!OSRRefT22_2x_0</vt:lpstr>
      <vt:lpstr>'331'!OSRRefT22_2x_0</vt:lpstr>
      <vt:lpstr>'332'!OSRRefT22_2x_0</vt:lpstr>
      <vt:lpstr>'333'!OSRRefT22_2x_0</vt:lpstr>
      <vt:lpstr>'405'!OSRRefT22_2x_0</vt:lpstr>
      <vt:lpstr>'411'!OSRRefT22_2x_0</vt:lpstr>
      <vt:lpstr>'412'!OSRRefT22_2x_0</vt:lpstr>
      <vt:lpstr>'413'!OSRRefT22_2x_0</vt:lpstr>
      <vt:lpstr>'414'!OSRRefT22_2x_0</vt:lpstr>
      <vt:lpstr>'415'!OSRRefT22_2x_0</vt:lpstr>
      <vt:lpstr>'418'!OSRRefT22_2x_0</vt:lpstr>
      <vt:lpstr>'423'!OSRRefT22_2x_0</vt:lpstr>
      <vt:lpstr>'424'!OSRRefT22_2x_0</vt:lpstr>
      <vt:lpstr>'425'!OSRRefT22_2x_0</vt:lpstr>
      <vt:lpstr>'430'!OSRRefT22_2x_0</vt:lpstr>
      <vt:lpstr>'433'!OSRRefT22_2x_0</vt:lpstr>
      <vt:lpstr>'435'!OSRRefT22_2x_0</vt:lpstr>
      <vt:lpstr>'444'!OSRRefT22_2x_0</vt:lpstr>
      <vt:lpstr>'450'!OSRRefT22_2x_0</vt:lpstr>
      <vt:lpstr>'491'!OSRRefT22_2x_0</vt:lpstr>
      <vt:lpstr>'492'!OSRRefT22_2x_0</vt:lpstr>
      <vt:lpstr>'501'!OSRRefT22_2x_0</vt:lpstr>
      <vt:lpstr>'Div 2'!OSRRefT22_2x_0</vt:lpstr>
      <vt:lpstr>'Div 3'!OSRRefT22_2x_0</vt:lpstr>
      <vt:lpstr>'Div 4'!OSRRefT22_2x_0</vt:lpstr>
      <vt:lpstr>'Div 5'!OSRRefT22_2x_0</vt:lpstr>
      <vt:lpstr>'Div 6'!OSRRefT22_2x_0</vt:lpstr>
      <vt:lpstr>Summary!OSRRefT22_2x_0</vt:lpstr>
      <vt:lpstr>'200'!OSRRefT22_3x_0</vt:lpstr>
      <vt:lpstr>'201'!OSRRefT22_3x_0</vt:lpstr>
      <vt:lpstr>'202'!OSRRefT22_3x_0</vt:lpstr>
      <vt:lpstr>'203'!OSRRefT22_3x_0</vt:lpstr>
      <vt:lpstr>'204'!OSRRefT22_3x_0</vt:lpstr>
      <vt:lpstr>'205'!OSRRefT22_3x_0</vt:lpstr>
      <vt:lpstr>'206'!OSRRefT22_3x_0</vt:lpstr>
      <vt:lpstr>'300'!OSRRefT22_3x_0</vt:lpstr>
      <vt:lpstr>'300 &amp; 317'!OSRRefT22_3x_0</vt:lpstr>
      <vt:lpstr>'301'!OSRRefT22_3x_0</vt:lpstr>
      <vt:lpstr>'307'!OSRRefT22_3x_0</vt:lpstr>
      <vt:lpstr>'308'!OSRRefT22_3x_0</vt:lpstr>
      <vt:lpstr>'309'!OSRRefT22_3x_0</vt:lpstr>
      <vt:lpstr>'310'!OSRRefT22_3x_0</vt:lpstr>
      <vt:lpstr>'310 &amp; 491'!OSRRefT22_3x_0</vt:lpstr>
      <vt:lpstr>'311'!OSRRefT22_3x_0</vt:lpstr>
      <vt:lpstr>'315'!OSRRefT22_3x_0</vt:lpstr>
      <vt:lpstr>'316'!OSRRefT22_3x_0</vt:lpstr>
      <vt:lpstr>'317'!OSRRefT22_3x_0</vt:lpstr>
      <vt:lpstr>'321'!OSRRefT22_3x_0</vt:lpstr>
      <vt:lpstr>'325'!OSRRefT22_3x_0</vt:lpstr>
      <vt:lpstr>'326'!OSRRefT22_3x_0</vt:lpstr>
      <vt:lpstr>'331'!OSRRefT22_3x_0</vt:lpstr>
      <vt:lpstr>'332'!OSRRefT22_3x_0</vt:lpstr>
      <vt:lpstr>'333'!OSRRefT22_3x_0</vt:lpstr>
      <vt:lpstr>'405'!OSRRefT22_3x_0</vt:lpstr>
      <vt:lpstr>'411'!OSRRefT22_3x_0</vt:lpstr>
      <vt:lpstr>'412'!OSRRefT22_3x_0</vt:lpstr>
      <vt:lpstr>'415'!OSRRefT22_3x_0</vt:lpstr>
      <vt:lpstr>'418'!OSRRefT22_3x_0</vt:lpstr>
      <vt:lpstr>'423'!OSRRefT22_3x_0</vt:lpstr>
      <vt:lpstr>'425'!OSRRefT22_3x_0</vt:lpstr>
      <vt:lpstr>'430'!OSRRefT22_3x_0</vt:lpstr>
      <vt:lpstr>'433'!OSRRefT22_3x_0</vt:lpstr>
      <vt:lpstr>'435'!OSRRefT22_3x_0</vt:lpstr>
      <vt:lpstr>'444'!OSRRefT22_3x_0</vt:lpstr>
      <vt:lpstr>'450'!OSRRefT22_3x_0</vt:lpstr>
      <vt:lpstr>'491'!OSRRefT22_3x_0</vt:lpstr>
      <vt:lpstr>'492'!OSRRefT22_3x_0</vt:lpstr>
      <vt:lpstr>'501'!OSRRefT22_3x_0</vt:lpstr>
      <vt:lpstr>'Div 2'!OSRRefT22_3x_0</vt:lpstr>
      <vt:lpstr>'Div 3'!OSRRefT22_3x_0</vt:lpstr>
      <vt:lpstr>'Div 4'!OSRRefT22_3x_0</vt:lpstr>
      <vt:lpstr>'Div 5'!OSRRefT22_3x_0</vt:lpstr>
      <vt:lpstr>'Div 6'!OSRRefT22_3x_0</vt:lpstr>
      <vt:lpstr>Summary!OSRRefT22_3x_0</vt:lpstr>
      <vt:lpstr>'201'!OSRRefT22_4x_0</vt:lpstr>
      <vt:lpstr>'202'!OSRRefT22_4x_0</vt:lpstr>
      <vt:lpstr>'203'!OSRRefT22_4x_0</vt:lpstr>
      <vt:lpstr>'204'!OSRRefT22_4x_0</vt:lpstr>
      <vt:lpstr>'205'!OSRRefT22_4x_0</vt:lpstr>
      <vt:lpstr>'206'!OSRRefT22_4x_0</vt:lpstr>
      <vt:lpstr>'300'!OSRRefT22_4x_0</vt:lpstr>
      <vt:lpstr>'300 &amp; 317'!OSRRefT22_4x_0</vt:lpstr>
      <vt:lpstr>'301'!OSRRefT22_4x_0</vt:lpstr>
      <vt:lpstr>'307'!OSRRefT22_4x_0</vt:lpstr>
      <vt:lpstr>'308'!OSRRefT22_4x_0</vt:lpstr>
      <vt:lpstr>'309'!OSRRefT22_4x_0</vt:lpstr>
      <vt:lpstr>'310'!OSRRefT22_4x_0</vt:lpstr>
      <vt:lpstr>'310 &amp; 491'!OSRRefT22_4x_0</vt:lpstr>
      <vt:lpstr>'311'!OSRRefT22_4x_0</vt:lpstr>
      <vt:lpstr>'315'!OSRRefT22_4x_0</vt:lpstr>
      <vt:lpstr>'316'!OSRRefT22_4x_0</vt:lpstr>
      <vt:lpstr>'317'!OSRRefT22_4x_0</vt:lpstr>
      <vt:lpstr>'321'!OSRRefT22_4x_0</vt:lpstr>
      <vt:lpstr>'325'!OSRRefT22_4x_0</vt:lpstr>
      <vt:lpstr>'326'!OSRRefT22_4x_0</vt:lpstr>
      <vt:lpstr>'331'!OSRRefT22_4x_0</vt:lpstr>
      <vt:lpstr>'332'!OSRRefT22_4x_0</vt:lpstr>
      <vt:lpstr>'333'!OSRRefT22_4x_0</vt:lpstr>
      <vt:lpstr>'405'!OSRRefT22_4x_0</vt:lpstr>
      <vt:lpstr>'411'!OSRRefT22_4x_0</vt:lpstr>
      <vt:lpstr>'412'!OSRRefT22_4x_0</vt:lpstr>
      <vt:lpstr>'415'!OSRRefT22_4x_0</vt:lpstr>
      <vt:lpstr>'418'!OSRRefT22_4x_0</vt:lpstr>
      <vt:lpstr>'423'!OSRRefT22_4x_0</vt:lpstr>
      <vt:lpstr>'425'!OSRRefT22_4x_0</vt:lpstr>
      <vt:lpstr>'430'!OSRRefT22_4x_0</vt:lpstr>
      <vt:lpstr>'433'!OSRRefT22_4x_0</vt:lpstr>
      <vt:lpstr>'435'!OSRRefT22_4x_0</vt:lpstr>
      <vt:lpstr>'444'!OSRRefT22_4x_0</vt:lpstr>
      <vt:lpstr>'450'!OSRRefT22_4x_0</vt:lpstr>
      <vt:lpstr>'491'!OSRRefT22_4x_0</vt:lpstr>
      <vt:lpstr>'492'!OSRRefT22_4x_0</vt:lpstr>
      <vt:lpstr>'501'!OSRRefT22_4x_0</vt:lpstr>
      <vt:lpstr>'Div 2'!OSRRefT22_4x_0</vt:lpstr>
      <vt:lpstr>'Div 3'!OSRRefT22_4x_0</vt:lpstr>
      <vt:lpstr>'Div 4'!OSRRefT22_4x_0</vt:lpstr>
      <vt:lpstr>'Div 5'!OSRRefT22_4x_0</vt:lpstr>
      <vt:lpstr>'Div 6'!OSRRefT22_4x_0</vt:lpstr>
      <vt:lpstr>Summary!OSRRefT22_4x_0</vt:lpstr>
      <vt:lpstr>'201'!OSRRefT22_5x_0</vt:lpstr>
      <vt:lpstr>'202'!OSRRefT22_5x_0</vt:lpstr>
      <vt:lpstr>'203'!OSRRefT22_5x_0</vt:lpstr>
      <vt:lpstr>'204'!OSRRefT22_5x_0</vt:lpstr>
      <vt:lpstr>'205'!OSRRefT22_5x_0</vt:lpstr>
      <vt:lpstr>'206'!OSRRefT22_5x_0</vt:lpstr>
      <vt:lpstr>'300'!OSRRefT22_5x_0</vt:lpstr>
      <vt:lpstr>'300 &amp; 317'!OSRRefT22_5x_0</vt:lpstr>
      <vt:lpstr>'301'!OSRRefT22_5x_0</vt:lpstr>
      <vt:lpstr>'307'!OSRRefT22_5x_0</vt:lpstr>
      <vt:lpstr>'308'!OSRRefT22_5x_0</vt:lpstr>
      <vt:lpstr>'309'!OSRRefT22_5x_0</vt:lpstr>
      <vt:lpstr>'310'!OSRRefT22_5x_0</vt:lpstr>
      <vt:lpstr>'310 &amp; 491'!OSRRefT22_5x_0</vt:lpstr>
      <vt:lpstr>'311'!OSRRefT22_5x_0</vt:lpstr>
      <vt:lpstr>'315'!OSRRefT22_5x_0</vt:lpstr>
      <vt:lpstr>'316'!OSRRefT22_5x_0</vt:lpstr>
      <vt:lpstr>'317'!OSRRefT22_5x_0</vt:lpstr>
      <vt:lpstr>'321'!OSRRefT22_5x_0</vt:lpstr>
      <vt:lpstr>'325'!OSRRefT22_5x_0</vt:lpstr>
      <vt:lpstr>'326'!OSRRefT22_5x_0</vt:lpstr>
      <vt:lpstr>'331'!OSRRefT22_5x_0</vt:lpstr>
      <vt:lpstr>'332'!OSRRefT22_5x_0</vt:lpstr>
      <vt:lpstr>'333'!OSRRefT22_5x_0</vt:lpstr>
      <vt:lpstr>'405'!OSRRefT22_5x_0</vt:lpstr>
      <vt:lpstr>'411'!OSRRefT22_5x_0</vt:lpstr>
      <vt:lpstr>'415'!OSRRefT22_5x_0</vt:lpstr>
      <vt:lpstr>'418'!OSRRefT22_5x_0</vt:lpstr>
      <vt:lpstr>'423'!OSRRefT22_5x_0</vt:lpstr>
      <vt:lpstr>'425'!OSRRefT22_5x_0</vt:lpstr>
      <vt:lpstr>'430'!OSRRefT22_5x_0</vt:lpstr>
      <vt:lpstr>'433'!OSRRefT22_5x_0</vt:lpstr>
      <vt:lpstr>'444'!OSRRefT22_5x_0</vt:lpstr>
      <vt:lpstr>'450'!OSRRefT22_5x_0</vt:lpstr>
      <vt:lpstr>'491'!OSRRefT22_5x_0</vt:lpstr>
      <vt:lpstr>'492'!OSRRefT22_5x_0</vt:lpstr>
      <vt:lpstr>'501'!OSRRefT22_5x_0</vt:lpstr>
      <vt:lpstr>'Div 2'!OSRRefT22_5x_0</vt:lpstr>
      <vt:lpstr>'Div 3'!OSRRefT22_5x_0</vt:lpstr>
      <vt:lpstr>'Div 4'!OSRRefT22_5x_0</vt:lpstr>
      <vt:lpstr>'Div 5'!OSRRefT22_5x_0</vt:lpstr>
      <vt:lpstr>'Div 6'!OSRRefT22_5x_0</vt:lpstr>
      <vt:lpstr>Summary!OSRRefT22_5x_0</vt:lpstr>
      <vt:lpstr>'201'!OSRRefT22_6x_0</vt:lpstr>
      <vt:lpstr>'202'!OSRRefT22_6x_0</vt:lpstr>
      <vt:lpstr>'203'!OSRRefT22_6x_0</vt:lpstr>
      <vt:lpstr>'204'!OSRRefT22_6x_0</vt:lpstr>
      <vt:lpstr>'205'!OSRRefT22_6x_0</vt:lpstr>
      <vt:lpstr>'206'!OSRRefT22_6x_0</vt:lpstr>
      <vt:lpstr>'300'!OSRRefT22_6x_0</vt:lpstr>
      <vt:lpstr>'300 &amp; 317'!OSRRefT22_6x_0</vt:lpstr>
      <vt:lpstr>'301'!OSRRefT22_6x_0</vt:lpstr>
      <vt:lpstr>'307'!OSRRefT22_6x_0</vt:lpstr>
      <vt:lpstr>'308'!OSRRefT22_6x_0</vt:lpstr>
      <vt:lpstr>'309'!OSRRefT22_6x_0</vt:lpstr>
      <vt:lpstr>'310'!OSRRefT22_6x_0</vt:lpstr>
      <vt:lpstr>'310 &amp; 491'!OSRRefT22_6x_0</vt:lpstr>
      <vt:lpstr>'311'!OSRRefT22_6x_0</vt:lpstr>
      <vt:lpstr>'315'!OSRRefT22_6x_0</vt:lpstr>
      <vt:lpstr>'316'!OSRRefT22_6x_0</vt:lpstr>
      <vt:lpstr>'317'!OSRRefT22_6x_0</vt:lpstr>
      <vt:lpstr>'321'!OSRRefT22_6x_0</vt:lpstr>
      <vt:lpstr>'325'!OSRRefT22_6x_0</vt:lpstr>
      <vt:lpstr>'326'!OSRRefT22_6x_0</vt:lpstr>
      <vt:lpstr>'331'!OSRRefT22_6x_0</vt:lpstr>
      <vt:lpstr>'332'!OSRRefT22_6x_0</vt:lpstr>
      <vt:lpstr>'333'!OSRRefT22_6x_0</vt:lpstr>
      <vt:lpstr>'405'!OSRRefT22_6x_0</vt:lpstr>
      <vt:lpstr>'411'!OSRRefT22_6x_0</vt:lpstr>
      <vt:lpstr>'415'!OSRRefT22_6x_0</vt:lpstr>
      <vt:lpstr>'418'!OSRRefT22_6x_0</vt:lpstr>
      <vt:lpstr>'430'!OSRRefT22_6x_0</vt:lpstr>
      <vt:lpstr>'433'!OSRRefT22_6x_0</vt:lpstr>
      <vt:lpstr>'444'!OSRRefT22_6x_0</vt:lpstr>
      <vt:lpstr>'450'!OSRRefT22_6x_0</vt:lpstr>
      <vt:lpstr>'491'!OSRRefT22_6x_0</vt:lpstr>
      <vt:lpstr>'492'!OSRRefT22_6x_0</vt:lpstr>
      <vt:lpstr>'501'!OSRRefT22_6x_0</vt:lpstr>
      <vt:lpstr>'Div 2'!OSRRefT22_6x_0</vt:lpstr>
      <vt:lpstr>'Div 3'!OSRRefT22_6x_0</vt:lpstr>
      <vt:lpstr>'Div 4'!OSRRefT22_6x_0</vt:lpstr>
      <vt:lpstr>'Div 5'!OSRRefT22_6x_0</vt:lpstr>
      <vt:lpstr>'Div 6'!OSRRefT22_6x_0</vt:lpstr>
      <vt:lpstr>Summary!OSRRefT22_6x_0</vt:lpstr>
      <vt:lpstr>'201'!OSRRefT22_7x_0</vt:lpstr>
      <vt:lpstr>'202'!OSRRefT22_7x_0</vt:lpstr>
      <vt:lpstr>'203'!OSRRefT22_7x_0</vt:lpstr>
      <vt:lpstr>'204'!OSRRefT22_7x_0</vt:lpstr>
      <vt:lpstr>'205'!OSRRefT22_7x_0</vt:lpstr>
      <vt:lpstr>'206'!OSRRefT22_7x_0</vt:lpstr>
      <vt:lpstr>'300'!OSRRefT22_7x_0</vt:lpstr>
      <vt:lpstr>'300 &amp; 317'!OSRRefT22_7x_0</vt:lpstr>
      <vt:lpstr>'301'!OSRRefT22_7x_0</vt:lpstr>
      <vt:lpstr>'307'!OSRRefT22_7x_0</vt:lpstr>
      <vt:lpstr>'308'!OSRRefT22_7x_0</vt:lpstr>
      <vt:lpstr>'309'!OSRRefT22_7x_0</vt:lpstr>
      <vt:lpstr>'310'!OSRRefT22_7x_0</vt:lpstr>
      <vt:lpstr>'310 &amp; 491'!OSRRefT22_7x_0</vt:lpstr>
      <vt:lpstr>'311'!OSRRefT22_7x_0</vt:lpstr>
      <vt:lpstr>'315'!OSRRefT22_7x_0</vt:lpstr>
      <vt:lpstr>'316'!OSRRefT22_7x_0</vt:lpstr>
      <vt:lpstr>'317'!OSRRefT22_7x_0</vt:lpstr>
      <vt:lpstr>'321'!OSRRefT22_7x_0</vt:lpstr>
      <vt:lpstr>'325'!OSRRefT22_7x_0</vt:lpstr>
      <vt:lpstr>'326'!OSRRefT22_7x_0</vt:lpstr>
      <vt:lpstr>'331'!OSRRefT22_7x_0</vt:lpstr>
      <vt:lpstr>'332'!OSRRefT22_7x_0</vt:lpstr>
      <vt:lpstr>'333'!OSRRefT22_7x_0</vt:lpstr>
      <vt:lpstr>'405'!OSRRefT22_7x_0</vt:lpstr>
      <vt:lpstr>'411'!OSRRefT22_7x_0</vt:lpstr>
      <vt:lpstr>'415'!OSRRefT22_7x_0</vt:lpstr>
      <vt:lpstr>'418'!OSRRefT22_7x_0</vt:lpstr>
      <vt:lpstr>'430'!OSRRefT22_7x_0</vt:lpstr>
      <vt:lpstr>'433'!OSRRefT22_7x_0</vt:lpstr>
      <vt:lpstr>'444'!OSRRefT22_7x_0</vt:lpstr>
      <vt:lpstr>'450'!OSRRefT22_7x_0</vt:lpstr>
      <vt:lpstr>'491'!OSRRefT22_7x_0</vt:lpstr>
      <vt:lpstr>'492'!OSRRefT22_7x_0</vt:lpstr>
      <vt:lpstr>'501'!OSRRefT22_7x_0</vt:lpstr>
      <vt:lpstr>'Div 2'!OSRRefT22_7x_0</vt:lpstr>
      <vt:lpstr>'Div 3'!OSRRefT22_7x_0</vt:lpstr>
      <vt:lpstr>'Div 4'!OSRRefT22_7x_0</vt:lpstr>
      <vt:lpstr>'Div 5'!OSRRefT22_7x_0</vt:lpstr>
      <vt:lpstr>'Div 6'!OSRRefT22_7x_0</vt:lpstr>
      <vt:lpstr>Summary!OSRRefT22_7x_0</vt:lpstr>
      <vt:lpstr>'201'!OSRRefT22_8x_0</vt:lpstr>
      <vt:lpstr>'202'!OSRRefT22_8x_0</vt:lpstr>
      <vt:lpstr>'203'!OSRRefT22_8x_0</vt:lpstr>
      <vt:lpstr>'204'!OSRRefT22_8x_0</vt:lpstr>
      <vt:lpstr>'300'!OSRRefT22_8x_0</vt:lpstr>
      <vt:lpstr>'300 &amp; 317'!OSRRefT22_8x_0</vt:lpstr>
      <vt:lpstr>'301'!OSRRefT22_8x_0</vt:lpstr>
      <vt:lpstr>'307'!OSRRefT22_8x_0</vt:lpstr>
      <vt:lpstr>'308'!OSRRefT22_8x_0</vt:lpstr>
      <vt:lpstr>'309'!OSRRefT22_8x_0</vt:lpstr>
      <vt:lpstr>'310'!OSRRefT22_8x_0</vt:lpstr>
      <vt:lpstr>'310 &amp; 491'!OSRRefT22_8x_0</vt:lpstr>
      <vt:lpstr>'311'!OSRRefT22_8x_0</vt:lpstr>
      <vt:lpstr>'315'!OSRRefT22_8x_0</vt:lpstr>
      <vt:lpstr>'316'!OSRRefT22_8x_0</vt:lpstr>
      <vt:lpstr>'317'!OSRRefT22_8x_0</vt:lpstr>
      <vt:lpstr>'321'!OSRRefT22_8x_0</vt:lpstr>
      <vt:lpstr>'325'!OSRRefT22_8x_0</vt:lpstr>
      <vt:lpstr>'326'!OSRRefT22_8x_0</vt:lpstr>
      <vt:lpstr>'331'!OSRRefT22_8x_0</vt:lpstr>
      <vt:lpstr>'332'!OSRRefT22_8x_0</vt:lpstr>
      <vt:lpstr>'333'!OSRRefT22_8x_0</vt:lpstr>
      <vt:lpstr>'405'!OSRRefT22_8x_0</vt:lpstr>
      <vt:lpstr>'411'!OSRRefT22_8x_0</vt:lpstr>
      <vt:lpstr>'415'!OSRRefT22_8x_0</vt:lpstr>
      <vt:lpstr>'418'!OSRRefT22_8x_0</vt:lpstr>
      <vt:lpstr>'430'!OSRRefT22_8x_0</vt:lpstr>
      <vt:lpstr>'433'!OSRRefT22_8x_0</vt:lpstr>
      <vt:lpstr>'444'!OSRRefT22_8x_0</vt:lpstr>
      <vt:lpstr>'450'!OSRRefT22_8x_0</vt:lpstr>
      <vt:lpstr>'491'!OSRRefT22_8x_0</vt:lpstr>
      <vt:lpstr>'492'!OSRRefT22_8x_0</vt:lpstr>
      <vt:lpstr>'501'!OSRRefT22_8x_0</vt:lpstr>
      <vt:lpstr>'Div 2'!OSRRefT22_8x_0</vt:lpstr>
      <vt:lpstr>'Div 3'!OSRRefT22_8x_0</vt:lpstr>
      <vt:lpstr>'Div 4'!OSRRefT22_8x_0</vt:lpstr>
      <vt:lpstr>'Div 5'!OSRRefT22_8x_0</vt:lpstr>
      <vt:lpstr>'Div 6'!OSRRefT22_8x_0</vt:lpstr>
      <vt:lpstr>Summary!OSRRefT22_8x_0</vt:lpstr>
      <vt:lpstr>'201'!OSRRefT22_9x_0</vt:lpstr>
      <vt:lpstr>'202'!OSRRefT22_9x_0</vt:lpstr>
      <vt:lpstr>'203'!OSRRefT22_9x_0</vt:lpstr>
      <vt:lpstr>'204'!OSRRefT22_9x_0</vt:lpstr>
      <vt:lpstr>'300'!OSRRefT22_9x_0</vt:lpstr>
      <vt:lpstr>'300 &amp; 317'!OSRRefT22_9x_0</vt:lpstr>
      <vt:lpstr>'301'!OSRRefT22_9x_0</vt:lpstr>
      <vt:lpstr>'307'!OSRRefT22_9x_0</vt:lpstr>
      <vt:lpstr>'308'!OSRRefT22_9x_0</vt:lpstr>
      <vt:lpstr>'309'!OSRRefT22_9x_0</vt:lpstr>
      <vt:lpstr>'310'!OSRRefT22_9x_0</vt:lpstr>
      <vt:lpstr>'310 &amp; 491'!OSRRefT22_9x_0</vt:lpstr>
      <vt:lpstr>'311'!OSRRefT22_9x_0</vt:lpstr>
      <vt:lpstr>'315'!OSRRefT22_9x_0</vt:lpstr>
      <vt:lpstr>'316'!OSRRefT22_9x_0</vt:lpstr>
      <vt:lpstr>'317'!OSRRefT22_9x_0</vt:lpstr>
      <vt:lpstr>'321'!OSRRefT22_9x_0</vt:lpstr>
      <vt:lpstr>'325'!OSRRefT22_9x_0</vt:lpstr>
      <vt:lpstr>'326'!OSRRefT22_9x_0</vt:lpstr>
      <vt:lpstr>'331'!OSRRefT22_9x_0</vt:lpstr>
      <vt:lpstr>'332'!OSRRefT22_9x_0</vt:lpstr>
      <vt:lpstr>'333'!OSRRefT22_9x_0</vt:lpstr>
      <vt:lpstr>'405'!OSRRefT22_9x_0</vt:lpstr>
      <vt:lpstr>'411'!OSRRefT22_9x_0</vt:lpstr>
      <vt:lpstr>'415'!OSRRefT22_9x_0</vt:lpstr>
      <vt:lpstr>'418'!OSRRefT22_9x_0</vt:lpstr>
      <vt:lpstr>'433'!OSRRefT22_9x_0</vt:lpstr>
      <vt:lpstr>'444'!OSRRefT22_9x_0</vt:lpstr>
      <vt:lpstr>'450'!OSRRefT22_9x_0</vt:lpstr>
      <vt:lpstr>'491'!OSRRefT22_9x_0</vt:lpstr>
      <vt:lpstr>'492'!OSRRefT22_9x_0</vt:lpstr>
      <vt:lpstr>'501'!OSRRefT22_9x_0</vt:lpstr>
      <vt:lpstr>'Div 2'!OSRRefT22_9x_0</vt:lpstr>
      <vt:lpstr>'Div 3'!OSRRefT22_9x_0</vt:lpstr>
      <vt:lpstr>'Div 4'!OSRRefT22_9x_0</vt:lpstr>
      <vt:lpstr>'Div 5'!OSRRefT22_9x_0</vt:lpstr>
      <vt:lpstr>'Div 6'!OSRRefT22_9x_0</vt:lpstr>
      <vt:lpstr>Summary!OSRRefT22_9x_0</vt:lpstr>
      <vt:lpstr>'200'!OSRRefT22x_0</vt:lpstr>
      <vt:lpstr>'201'!OSRRefT22x_0</vt:lpstr>
      <vt:lpstr>'202'!OSRRefT22x_0</vt:lpstr>
      <vt:lpstr>'203'!OSRRefT22x_0</vt:lpstr>
      <vt:lpstr>'204'!OSRRefT22x_0</vt:lpstr>
      <vt:lpstr>'205'!OSRRefT22x_0</vt:lpstr>
      <vt:lpstr>'206'!OSRRefT22x_0</vt:lpstr>
      <vt:lpstr>'300'!OSRRefT22x_0</vt:lpstr>
      <vt:lpstr>'300 &amp; 317'!OSRRefT22x_0</vt:lpstr>
      <vt:lpstr>'301'!OSRRefT22x_0</vt:lpstr>
      <vt:lpstr>'307'!OSRRefT22x_0</vt:lpstr>
      <vt:lpstr>'308'!OSRRefT22x_0</vt:lpstr>
      <vt:lpstr>'309'!OSRRefT22x_0</vt:lpstr>
      <vt:lpstr>'310'!OSRRefT22x_0</vt:lpstr>
      <vt:lpstr>'310 &amp; 491'!OSRRefT22x_0</vt:lpstr>
      <vt:lpstr>'311'!OSRRefT22x_0</vt:lpstr>
      <vt:lpstr>'315'!OSRRefT22x_0</vt:lpstr>
      <vt:lpstr>'316'!OSRRefT22x_0</vt:lpstr>
      <vt:lpstr>'317'!OSRRefT22x_0</vt:lpstr>
      <vt:lpstr>'321'!OSRRefT22x_0</vt:lpstr>
      <vt:lpstr>'325'!OSRRefT22x_0</vt:lpstr>
      <vt:lpstr>'326'!OSRRefT22x_0</vt:lpstr>
      <vt:lpstr>'327'!OSRRefT22x_0</vt:lpstr>
      <vt:lpstr>'331'!OSRRefT22x_0</vt:lpstr>
      <vt:lpstr>'332'!OSRRefT22x_0</vt:lpstr>
      <vt:lpstr>'333'!OSRRefT22x_0</vt:lpstr>
      <vt:lpstr>'405'!OSRRefT22x_0</vt:lpstr>
      <vt:lpstr>'406'!OSRRefT22x_0</vt:lpstr>
      <vt:lpstr>'411'!OSRRefT22x_0</vt:lpstr>
      <vt:lpstr>'412'!OSRRefT22x_0</vt:lpstr>
      <vt:lpstr>'413'!OSRRefT22x_0</vt:lpstr>
      <vt:lpstr>'414'!OSRRefT22x_0</vt:lpstr>
      <vt:lpstr>'415'!OSRRefT22x_0</vt:lpstr>
      <vt:lpstr>'418'!OSRRefT22x_0</vt:lpstr>
      <vt:lpstr>'423'!OSRRefT22x_0</vt:lpstr>
      <vt:lpstr>'424'!OSRRefT22x_0</vt:lpstr>
      <vt:lpstr>'425'!OSRRefT22x_0</vt:lpstr>
      <vt:lpstr>'430'!OSRRefT22x_0</vt:lpstr>
      <vt:lpstr>'433'!OSRRefT22x_0</vt:lpstr>
      <vt:lpstr>'435'!OSRRefT22x_0</vt:lpstr>
      <vt:lpstr>'444'!OSRRefT22x_0</vt:lpstr>
      <vt:lpstr>'450'!OSRRefT22x_0</vt:lpstr>
      <vt:lpstr>'491'!OSRRefT22x_0</vt:lpstr>
      <vt:lpstr>'492'!OSRRefT22x_0</vt:lpstr>
      <vt:lpstr>'501'!OSRRefT22x_0</vt:lpstr>
      <vt:lpstr>'Div 2'!OSRRefT22x_0</vt:lpstr>
      <vt:lpstr>'Div 3'!OSRRefT22x_0</vt:lpstr>
      <vt:lpstr>'Div 4'!OSRRefT22x_0</vt:lpstr>
      <vt:lpstr>'Div 5'!OSRRefT22x_0</vt:lpstr>
      <vt:lpstr>'Div 6'!OSRRefT22x_0</vt:lpstr>
      <vt:lpstr>Summary!OSRRefT22x_0</vt:lpstr>
      <vt:lpstr>'300'!OSRRefT25x_0</vt:lpstr>
      <vt:lpstr>'300 &amp; 317'!OSRRefT25x_0</vt:lpstr>
      <vt:lpstr>'301'!OSRRefT25x_0</vt:lpstr>
      <vt:lpstr>'308'!OSRRefT25x_0</vt:lpstr>
      <vt:lpstr>'310 &amp; 491'!OSRRefT25x_0</vt:lpstr>
      <vt:lpstr>'311'!OSRRefT25x_0</vt:lpstr>
      <vt:lpstr>'315'!OSRRefT25x_0</vt:lpstr>
      <vt:lpstr>'316'!OSRRefT25x_0</vt:lpstr>
      <vt:lpstr>'317'!OSRRefT25x_0</vt:lpstr>
      <vt:lpstr>'331'!OSRRefT25x_0</vt:lpstr>
      <vt:lpstr>'332'!OSRRefT25x_0</vt:lpstr>
      <vt:lpstr>'333'!OSRRefT25x_0</vt:lpstr>
      <vt:lpstr>'405'!OSRRefT25x_0</vt:lpstr>
      <vt:lpstr>'411'!OSRRefT25x_0</vt:lpstr>
      <vt:lpstr>'415'!OSRRefT25x_0</vt:lpstr>
      <vt:lpstr>'418'!OSRRefT25x_0</vt:lpstr>
      <vt:lpstr>'423'!OSRRefT25x_0</vt:lpstr>
      <vt:lpstr>'491'!OSRRefT25x_0</vt:lpstr>
      <vt:lpstr>'501'!OSRRefT25x_0</vt:lpstr>
      <vt:lpstr>'Div 3'!OSRRefT25x_0</vt:lpstr>
      <vt:lpstr>'Div 4'!OSRRefT25x_0</vt:lpstr>
      <vt:lpstr>'Div 5'!OSRRefT25x_0</vt:lpstr>
      <vt:lpstr>'Div 6'!OSRRefT25x_0</vt:lpstr>
      <vt:lpstr>Summary!OSRRefT25x_0</vt:lpstr>
      <vt:lpstr>'100'!Print_Area</vt:lpstr>
      <vt:lpstr>'200'!Print_Area</vt:lpstr>
      <vt:lpstr>'201'!Print_Area</vt:lpstr>
      <vt:lpstr>'202'!Print_Area</vt:lpstr>
      <vt:lpstr>'203'!Print_Area</vt:lpstr>
      <vt:lpstr>'204'!Print_Area</vt:lpstr>
      <vt:lpstr>'205'!Print_Area</vt:lpstr>
      <vt:lpstr>'206'!Print_Area</vt:lpstr>
      <vt:lpstr>'300'!Print_Area</vt:lpstr>
      <vt:lpstr>'300 &amp; 317'!Print_Area</vt:lpstr>
      <vt:lpstr>'301'!Print_Area</vt:lpstr>
      <vt:lpstr>'307'!Print_Area</vt:lpstr>
      <vt:lpstr>'308'!Print_Area</vt:lpstr>
      <vt:lpstr>'309'!Print_Area</vt:lpstr>
      <vt:lpstr>'310'!Print_Area</vt:lpstr>
      <vt:lpstr>'310 &amp; 491'!Print_Area</vt:lpstr>
      <vt:lpstr>'311'!Print_Area</vt:lpstr>
      <vt:lpstr>'315'!Print_Area</vt:lpstr>
      <vt:lpstr>'316'!Print_Area</vt:lpstr>
      <vt:lpstr>'317'!Print_Area</vt:lpstr>
      <vt:lpstr>'320'!Print_Area</vt:lpstr>
      <vt:lpstr>'321'!Print_Area</vt:lpstr>
      <vt:lpstr>'324'!Print_Area</vt:lpstr>
      <vt:lpstr>'325'!Print_Area</vt:lpstr>
      <vt:lpstr>'326'!Print_Area</vt:lpstr>
      <vt:lpstr>'327'!Print_Area</vt:lpstr>
      <vt:lpstr>'331'!Print_Area</vt:lpstr>
      <vt:lpstr>'332'!Print_Area</vt:lpstr>
      <vt:lpstr>'333'!Print_Area</vt:lpstr>
      <vt:lpstr>'405'!Print_Area</vt:lpstr>
      <vt:lpstr>'406'!Print_Area</vt:lpstr>
      <vt:lpstr>'411'!Print_Area</vt:lpstr>
      <vt:lpstr>'412'!Print_Area</vt:lpstr>
      <vt:lpstr>'413'!Print_Area</vt:lpstr>
      <vt:lpstr>'414'!Print_Area</vt:lpstr>
      <vt:lpstr>'415'!Print_Area</vt:lpstr>
      <vt:lpstr>'418'!Print_Area</vt:lpstr>
      <vt:lpstr>'423'!Print_Area</vt:lpstr>
      <vt:lpstr>'424'!Print_Area</vt:lpstr>
      <vt:lpstr>'425'!Print_Area</vt:lpstr>
      <vt:lpstr>'430'!Print_Area</vt:lpstr>
      <vt:lpstr>'433'!Print_Area</vt:lpstr>
      <vt:lpstr>'435'!Print_Area</vt:lpstr>
      <vt:lpstr>'444'!Print_Area</vt:lpstr>
      <vt:lpstr>'450'!Print_Area</vt:lpstr>
      <vt:lpstr>'491'!Print_Area</vt:lpstr>
      <vt:lpstr>'492'!Print_Area</vt:lpstr>
      <vt:lpstr>'501'!Print_Area</vt:lpstr>
      <vt:lpstr>Dept!Print_Area</vt:lpstr>
      <vt:lpstr>'Div 1'!Print_Area</vt:lpstr>
      <vt:lpstr>'Div 2'!Print_Area</vt:lpstr>
      <vt:lpstr>'Div 3'!Print_Area</vt:lpstr>
      <vt:lpstr>'Div 4'!Print_Area</vt:lpstr>
      <vt:lpstr>'Div 5'!Print_Area</vt:lpstr>
      <vt:lpstr>'Div 6'!Print_Area</vt:lpstr>
      <vt:lpstr>Summary!Print_Area</vt:lpstr>
      <vt:lpstr>'100'!Print_Titles</vt:lpstr>
      <vt:lpstr>'200'!Print_Titles</vt:lpstr>
      <vt:lpstr>'201'!Print_Titles</vt:lpstr>
      <vt:lpstr>'202'!Print_Titles</vt:lpstr>
      <vt:lpstr>'203'!Print_Titles</vt:lpstr>
      <vt:lpstr>'204'!Print_Titles</vt:lpstr>
      <vt:lpstr>'205'!Print_Titles</vt:lpstr>
      <vt:lpstr>'206'!Print_Titles</vt:lpstr>
      <vt:lpstr>'300'!Print_Titles</vt:lpstr>
      <vt:lpstr>'300 &amp; 317'!Print_Titles</vt:lpstr>
      <vt:lpstr>'301'!Print_Titles</vt:lpstr>
      <vt:lpstr>'307'!Print_Titles</vt:lpstr>
      <vt:lpstr>'308'!Print_Titles</vt:lpstr>
      <vt:lpstr>'309'!Print_Titles</vt:lpstr>
      <vt:lpstr>'310'!Print_Titles</vt:lpstr>
      <vt:lpstr>'310 &amp; 491'!Print_Titles</vt:lpstr>
      <vt:lpstr>'311'!Print_Titles</vt:lpstr>
      <vt:lpstr>'315'!Print_Titles</vt:lpstr>
      <vt:lpstr>'316'!Print_Titles</vt:lpstr>
      <vt:lpstr>'317'!Print_Titles</vt:lpstr>
      <vt:lpstr>'320'!Print_Titles</vt:lpstr>
      <vt:lpstr>'321'!Print_Titles</vt:lpstr>
      <vt:lpstr>'324'!Print_Titles</vt:lpstr>
      <vt:lpstr>'325'!Print_Titles</vt:lpstr>
      <vt:lpstr>'326'!Print_Titles</vt:lpstr>
      <vt:lpstr>'327'!Print_Titles</vt:lpstr>
      <vt:lpstr>'331'!Print_Titles</vt:lpstr>
      <vt:lpstr>'332'!Print_Titles</vt:lpstr>
      <vt:lpstr>'333'!Print_Titles</vt:lpstr>
      <vt:lpstr>'405'!Print_Titles</vt:lpstr>
      <vt:lpstr>'406'!Print_Titles</vt:lpstr>
      <vt:lpstr>'411'!Print_Titles</vt:lpstr>
      <vt:lpstr>'412'!Print_Titles</vt:lpstr>
      <vt:lpstr>'413'!Print_Titles</vt:lpstr>
      <vt:lpstr>'414'!Print_Titles</vt:lpstr>
      <vt:lpstr>'415'!Print_Titles</vt:lpstr>
      <vt:lpstr>'418'!Print_Titles</vt:lpstr>
      <vt:lpstr>'423'!Print_Titles</vt:lpstr>
      <vt:lpstr>'424'!Print_Titles</vt:lpstr>
      <vt:lpstr>'425'!Print_Titles</vt:lpstr>
      <vt:lpstr>'430'!Print_Titles</vt:lpstr>
      <vt:lpstr>'433'!Print_Titles</vt:lpstr>
      <vt:lpstr>'435'!Print_Titles</vt:lpstr>
      <vt:lpstr>'444'!Print_Titles</vt:lpstr>
      <vt:lpstr>'450'!Print_Titles</vt:lpstr>
      <vt:lpstr>'491'!Print_Titles</vt:lpstr>
      <vt:lpstr>'492'!Print_Titles</vt:lpstr>
      <vt:lpstr>'501'!Print_Titles</vt:lpstr>
      <vt:lpstr>Dept!Print_Titles</vt:lpstr>
      <vt:lpstr>'Div 1'!Print_Titles</vt:lpstr>
      <vt:lpstr>'Div 2'!Print_Titles</vt:lpstr>
      <vt:lpstr>'Div 3'!Print_Titles</vt:lpstr>
      <vt:lpstr>'Div 4'!Print_Titles</vt:lpstr>
      <vt:lpstr>'Div 5'!Print_Titles</vt:lpstr>
      <vt:lpstr>'Div 6'!Print_Titles</vt:lpstr>
      <vt:lpstr>Summary!Print_Titles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Tess Monzon</dc:creator>
  <cp:lastModifiedBy>Tess Monzon</cp:lastModifiedBy>
  <cp:lastPrinted>2022-07-25T19:17:10Z</cp:lastPrinted>
  <dcterms:created xsi:type="dcterms:W3CDTF">2022-07-25T19:15:10Z</dcterms:created>
  <dcterms:modified xsi:type="dcterms:W3CDTF">2022-07-25T19:34:17Z</dcterms:modified>
</cp:coreProperties>
</file>