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48" yWindow="65440" windowWidth="15456" windowHeight="10656" activeTab="3"/>
  </bookViews>
  <sheets>
    <sheet name="100 GM PIBAL" sheetId="1" r:id="rId1"/>
    <sheet name="30 GM PIBAL" sheetId="2" r:id="rId2"/>
    <sheet name="10 GM PIBAL" sheetId="3" r:id="rId3"/>
    <sheet name="Information" sheetId="4" r:id="rId4"/>
  </sheets>
  <definedNames/>
  <calcPr fullCalcOnLoad="1" iterate="1" iterateCount="1" iterateDelta="0.001"/>
</workbook>
</file>

<file path=xl/comments1.xml><?xml version="1.0" encoding="utf-8"?>
<comments xmlns="http://schemas.openxmlformats.org/spreadsheetml/2006/main">
  <authors>
    <author>Martin Brenner</author>
  </authors>
  <commentList>
    <comment ref="E3" authorId="0">
      <text>
        <r>
          <rPr>
            <sz val="8"/>
            <rFont val="Tahoma"/>
            <family val="0"/>
          </rPr>
          <t>This spreadsheet is for use with US Mil. Spec 100 Gram Pilot balloons used with 515 Gram nozzles and Helium Gas.
450 Gram nozzles are used with Hydrogen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 ref="A4" authorId="0">
      <text>
        <r>
          <rPr>
            <sz val="8"/>
            <rFont val="Tahoma"/>
            <family val="0"/>
          </rPr>
          <t>Altitude above MSL, Use calculator below if you have station MSL in feet and need to calculate meters</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List>
</comments>
</file>

<file path=xl/comments2.xml><?xml version="1.0" encoding="utf-8"?>
<comments xmlns="http://schemas.openxmlformats.org/spreadsheetml/2006/main">
  <authors>
    <author>Martin Brenner</author>
  </authors>
  <commentList>
    <comment ref="E3" authorId="0">
      <text>
        <r>
          <rPr>
            <sz val="8"/>
            <rFont val="Tahoma"/>
            <family val="0"/>
          </rPr>
          <t>This spreadsheet is for use with US Mil. Spec 30 Gram Pilot balloons used with 139 Gram nozzles and Helium gas. Use 125 gram nozzles with Hydrogen gas.</t>
        </r>
      </text>
    </comment>
    <comment ref="A4" authorId="0">
      <text>
        <r>
          <rPr>
            <sz val="8"/>
            <rFont val="Tahoma"/>
            <family val="0"/>
          </rPr>
          <t>Altitude above MSL, Use calculator below if you have station MSL in feet and need to calculate meters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D8" authorId="0">
      <text>
        <r>
          <rPr>
            <sz val="8"/>
            <rFont val="Tahoma"/>
            <family val="0"/>
          </rPr>
          <t xml:space="preserve">Height of Balloon Above MSL in Meters
</t>
        </r>
      </text>
    </comment>
    <comment ref="F8" authorId="0">
      <text>
        <r>
          <rPr>
            <sz val="8"/>
            <rFont val="Tahoma"/>
            <family val="0"/>
          </rPr>
          <t>Direction is pointing directly into the wind.</t>
        </r>
      </text>
    </comment>
    <comment ref="H8" authorId="0">
      <text>
        <r>
          <rPr>
            <sz val="8"/>
            <rFont val="Tahoma"/>
            <family val="0"/>
          </rPr>
          <t xml:space="preserve">Height of balloon Above MSL in Feet calculated from meter values and rounded to 10 feet below 5500 feet rounded to 50 feet above.
</t>
        </r>
      </text>
    </comment>
    <comment ref="K8" authorId="0">
      <text>
        <r>
          <rPr>
            <sz val="8"/>
            <rFont val="Tahoma"/>
            <family val="0"/>
          </rPr>
          <t>Above release point based on F.M.H. ascent rate tables</t>
        </r>
      </text>
    </comment>
    <comment ref="L8" authorId="0">
      <text>
        <r>
          <rPr>
            <sz val="8"/>
            <rFont val="Tahoma"/>
            <family val="0"/>
          </rPr>
          <t xml:space="preserve">Height of balloon over release point sourced from F.M.H. Tables. Meter values converted and rounded to nearest 10 feet
</t>
        </r>
      </text>
    </comment>
  </commentList>
</comments>
</file>

<file path=xl/comments3.xml><?xml version="1.0" encoding="utf-8"?>
<comments xmlns="http://schemas.openxmlformats.org/spreadsheetml/2006/main">
  <authors>
    <author>Martin Brenner</author>
  </authors>
  <commentList>
    <comment ref="E3" authorId="0">
      <text>
        <r>
          <rPr>
            <sz val="8"/>
            <rFont val="Tahoma"/>
            <family val="0"/>
          </rPr>
          <t>This spreadsheet is for use with US Mil. Spec 10 Gram Pilot balloons used with 45 Gram nozzles and Helium Gas.</t>
        </r>
      </text>
    </comment>
    <comment ref="E5" authorId="0">
      <text>
        <r>
          <rPr>
            <sz val="8"/>
            <rFont val="Tahoma"/>
            <family val="0"/>
          </rPr>
          <t>This is the average ascent rate for a 20 minute ascent.    Balloons ascend faster in the first few minutes and later reach a fairly constant ascent rate.  This is reflected in the ascent rate tables used in generating this spreadsheet</t>
        </r>
      </text>
    </comment>
    <comment ref="F8" authorId="0">
      <text>
        <r>
          <rPr>
            <sz val="8"/>
            <rFont val="Tahoma"/>
            <family val="0"/>
          </rPr>
          <t>Direction is pointing directly into the wind.</t>
        </r>
      </text>
    </comment>
    <comment ref="D8" authorId="0">
      <text>
        <r>
          <rPr>
            <sz val="8"/>
            <rFont val="Tahoma"/>
            <family val="0"/>
          </rPr>
          <t xml:space="preserve">Height of Balloon Above MSL in Meters
</t>
        </r>
      </text>
    </comment>
    <comment ref="A4" authorId="0">
      <text>
        <r>
          <rPr>
            <sz val="8"/>
            <rFont val="Tahoma"/>
            <family val="0"/>
          </rPr>
          <t>Altitude above MSL, Use calculator below if you have station MSL in meters and need to calculate feet</t>
        </r>
      </text>
    </comment>
    <comment ref="H8" authorId="0">
      <text>
        <r>
          <rPr>
            <sz val="8"/>
            <rFont val="Tahoma"/>
            <family val="0"/>
          </rPr>
          <t xml:space="preserve">Height of balloon Above MSL in Feet
</t>
        </r>
      </text>
    </comment>
    <comment ref="K8" authorId="0">
      <text>
        <r>
          <rPr>
            <sz val="8"/>
            <rFont val="Tahoma"/>
            <family val="0"/>
          </rPr>
          <t>Above release point based on F.M.H. ascent rate tables</t>
        </r>
      </text>
    </comment>
    <comment ref="L8" authorId="0">
      <text>
        <r>
          <rPr>
            <sz val="8"/>
            <rFont val="Tahoma"/>
            <family val="0"/>
          </rPr>
          <t>Height of balloon over release point from F.M.H. Tables</t>
        </r>
      </text>
    </comment>
  </commentList>
</comments>
</file>

<file path=xl/sharedStrings.xml><?xml version="1.0" encoding="utf-8"?>
<sst xmlns="http://schemas.openxmlformats.org/spreadsheetml/2006/main" count="105" uniqueCount="42">
  <si>
    <t>Place:</t>
  </si>
  <si>
    <t>Balloon</t>
  </si>
  <si>
    <t>Time (24hr clock):</t>
  </si>
  <si>
    <t>ft/min</t>
  </si>
  <si>
    <t>Nozzle</t>
  </si>
  <si>
    <t xml:space="preserve">m/min </t>
  </si>
  <si>
    <t>Observer</t>
  </si>
  <si>
    <t>10 Gram</t>
  </si>
  <si>
    <t>45 Gram</t>
  </si>
  <si>
    <t>Starting Altitude (ft)</t>
  </si>
  <si>
    <t>Meters</t>
  </si>
  <si>
    <t>Feet</t>
  </si>
  <si>
    <t>Windspeed
(m/s)</t>
  </si>
  <si>
    <t>Time 
(sec)</t>
  </si>
  <si>
    <t xml:space="preserve">Altitude 
(m) </t>
  </si>
  <si>
    <t>Direction 
(deg)</t>
  </si>
  <si>
    <t>Windspeed 
(M/H)</t>
  </si>
  <si>
    <t>Altitude 
(ft)</t>
  </si>
  <si>
    <t>Windspeed
(kts)</t>
  </si>
  <si>
    <t>Azimuth
(deg)</t>
  </si>
  <si>
    <t xml:space="preserve">Elevation
(deg) </t>
  </si>
  <si>
    <t>Martin Brenner</t>
  </si>
  <si>
    <t>MSL Altitude
Calculator</t>
  </si>
  <si>
    <t xml:space="preserve">X </t>
  </si>
  <si>
    <t xml:space="preserve">Y </t>
  </si>
  <si>
    <t>Ascent (m)</t>
  </si>
  <si>
    <t>Ascent (ft)</t>
  </si>
  <si>
    <t>Notes:</t>
  </si>
  <si>
    <t>Long Beach CA.</t>
  </si>
  <si>
    <t>Ascent Rate:</t>
  </si>
  <si>
    <t>Pilot Balloon Winds Calculation</t>
  </si>
  <si>
    <t>30 Gram</t>
  </si>
  <si>
    <t>139 Gram</t>
  </si>
  <si>
    <t>515 Gram</t>
  </si>
  <si>
    <t>Starting Altitude (m)</t>
  </si>
  <si>
    <t>Ascent 
(m)</t>
  </si>
  <si>
    <t>Ascent
(ft)</t>
  </si>
  <si>
    <t>Ascent
(m)</t>
  </si>
  <si>
    <t>Date ('mm-dd-yyyy):</t>
  </si>
  <si>
    <t>Minutes</t>
  </si>
  <si>
    <t>Enter any special notes here</t>
  </si>
  <si>
    <t>2005 Martin Brenner, mbrenner@csulb.edu r1.2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</si>
</sst>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32">
    <font>
      <sz val="10"/>
      <name val="Geneva"/>
      <family val="0"/>
    </font>
    <font>
      <b/>
      <sz val="10"/>
      <name val="Geneva"/>
      <family val="0"/>
    </font>
    <font>
      <i/>
      <sz val="10"/>
      <name val="Geneva"/>
      <family val="0"/>
    </font>
    <font>
      <b/>
      <i/>
      <sz val="10"/>
      <name val="Geneva"/>
      <family val="0"/>
    </font>
    <font>
      <sz val="10"/>
      <color indexed="12"/>
      <name val="Geneva"/>
      <family val="0"/>
    </font>
    <font>
      <u val="single"/>
      <sz val="10"/>
      <color indexed="12"/>
      <name val="Geneva"/>
      <family val="0"/>
    </font>
    <font>
      <u val="single"/>
      <sz val="10"/>
      <color indexed="36"/>
      <name val="Geneva"/>
      <family val="0"/>
    </font>
    <font>
      <sz val="10"/>
      <color indexed="10"/>
      <name val="Geneva"/>
      <family val="0"/>
    </font>
    <font>
      <sz val="8"/>
      <name val="Geneva"/>
      <family val="0"/>
    </font>
    <font>
      <b/>
      <sz val="10"/>
      <color indexed="8"/>
      <name val="Geneva"/>
      <family val="0"/>
    </font>
    <font>
      <sz val="8"/>
      <name val="Tahoma"/>
      <family val="0"/>
    </font>
    <font>
      <sz val="10"/>
      <color indexed="14"/>
      <name val="Geneva"/>
      <family val="0"/>
    </font>
    <font>
      <b/>
      <sz val="10"/>
      <color indexed="21"/>
      <name val="Geneva"/>
      <family val="0"/>
    </font>
    <font>
      <sz val="10"/>
      <color indexed="21"/>
      <name val="Geneva"/>
      <family val="0"/>
    </font>
    <font>
      <sz val="10"/>
      <color indexed="17"/>
      <name val="Geneva"/>
      <family val="0"/>
    </font>
    <font>
      <b/>
      <sz val="16"/>
      <name val="Geneva"/>
      <family val="0"/>
    </font>
    <font>
      <b/>
      <sz val="10"/>
      <color indexed="57"/>
      <name val="Geneva"/>
      <family val="0"/>
    </font>
    <font>
      <sz val="10"/>
      <color indexed="57"/>
      <name val="Geneva"/>
      <family val="0"/>
    </font>
    <font>
      <b/>
      <sz val="10"/>
      <color indexed="12"/>
      <name val="Geneva"/>
      <family val="0"/>
    </font>
    <font>
      <b/>
      <sz val="10"/>
      <color indexed="55"/>
      <name val="Geneva"/>
      <family val="0"/>
    </font>
    <font>
      <sz val="10"/>
      <color indexed="55"/>
      <name val="Geneva"/>
      <family val="0"/>
    </font>
    <font>
      <b/>
      <i/>
      <sz val="10"/>
      <color indexed="23"/>
      <name val="Geneva"/>
      <family val="0"/>
    </font>
    <font>
      <i/>
      <sz val="10"/>
      <color indexed="23"/>
      <name val="Geneva"/>
      <family val="0"/>
    </font>
    <font>
      <b/>
      <sz val="12"/>
      <color indexed="8"/>
      <name val="Arial"/>
      <family val="2"/>
    </font>
    <font>
      <sz val="12"/>
      <name val="Times New Roman"/>
      <family val="1"/>
    </font>
    <font>
      <b/>
      <sz val="12"/>
      <name val="Times New Roman"/>
      <family val="1"/>
    </font>
    <font>
      <b/>
      <sz val="14"/>
      <name val="Times New Roman"/>
      <family val="1"/>
    </font>
    <font>
      <i/>
      <sz val="10"/>
      <color indexed="55"/>
      <name val="Geneva"/>
      <family val="0"/>
    </font>
    <font>
      <sz val="10"/>
      <name val="Arial"/>
      <family val="0"/>
    </font>
    <font>
      <b/>
      <sz val="12"/>
      <name val="Arial"/>
      <family val="0"/>
    </font>
    <font>
      <b/>
      <sz val="10"/>
      <name val="Arial"/>
      <family val="0"/>
    </font>
    <font>
      <b/>
      <sz val="8"/>
      <name val="Geneva"/>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pplyProtection="1">
      <alignment horizontal="left"/>
      <protection/>
    </xf>
    <xf numFmtId="1" fontId="0" fillId="0" borderId="0" xfId="0" applyNumberFormat="1" applyAlignment="1" applyProtection="1">
      <alignment/>
      <protection/>
    </xf>
    <xf numFmtId="14" fontId="7" fillId="0" borderId="0" xfId="0" applyNumberFormat="1" applyFont="1" applyAlignment="1" applyProtection="1">
      <alignment horizontal="right"/>
      <protection locked="0"/>
    </xf>
    <xf numFmtId="0" fontId="7" fillId="0" borderId="0" xfId="0" applyFont="1" applyAlignment="1" applyProtection="1">
      <alignment/>
      <protection locked="0"/>
    </xf>
    <xf numFmtId="0" fontId="1" fillId="0" borderId="0" xfId="0" applyFont="1" applyAlignment="1" applyProtection="1">
      <alignment horizontal="left"/>
      <protection/>
    </xf>
    <xf numFmtId="0" fontId="1" fillId="0" borderId="0" xfId="0" applyFont="1" applyAlignment="1">
      <alignment/>
    </xf>
    <xf numFmtId="0" fontId="9" fillId="0" borderId="0" xfId="0" applyFont="1" applyAlignment="1" applyProtection="1">
      <alignment horizontal="left"/>
      <protection/>
    </xf>
    <xf numFmtId="0" fontId="0" fillId="0" borderId="0" xfId="0" applyAlignment="1" applyProtection="1">
      <alignment/>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vertical="center" wrapText="1"/>
      <protection/>
    </xf>
    <xf numFmtId="1" fontId="1" fillId="0" borderId="0" xfId="0" applyNumberFormat="1" applyFont="1" applyAlignment="1" applyProtection="1">
      <alignment horizontal="center" vertical="center" wrapText="1"/>
      <protection/>
    </xf>
    <xf numFmtId="0" fontId="7" fillId="0" borderId="0" xfId="0" applyFont="1" applyAlignment="1" applyProtection="1">
      <alignment horizontal="right"/>
      <protection locked="0"/>
    </xf>
    <xf numFmtId="0" fontId="0" fillId="0" borderId="0" xfId="0" applyFont="1" applyAlignment="1" applyProtection="1">
      <alignment/>
      <protection/>
    </xf>
    <xf numFmtId="0" fontId="1" fillId="0" borderId="0" xfId="0" applyFont="1" applyAlignment="1" applyProtection="1">
      <alignment wrapText="1"/>
      <protection/>
    </xf>
    <xf numFmtId="0" fontId="12" fillId="0" borderId="0" xfId="0" applyFont="1" applyAlignment="1" applyProtection="1">
      <alignment horizontal="center" vertical="center" wrapText="1"/>
      <protection/>
    </xf>
    <xf numFmtId="165" fontId="13" fillId="0" borderId="0" xfId="0" applyNumberFormat="1" applyFont="1" applyAlignment="1" applyProtection="1">
      <alignment/>
      <protection/>
    </xf>
    <xf numFmtId="1" fontId="14" fillId="0" borderId="0" xfId="0" applyNumberFormat="1" applyFont="1" applyAlignment="1" applyProtection="1">
      <alignment/>
      <protection/>
    </xf>
    <xf numFmtId="0" fontId="15" fillId="0" borderId="0" xfId="0" applyFont="1" applyAlignment="1" applyProtection="1">
      <alignment/>
      <protection/>
    </xf>
    <xf numFmtId="0" fontId="0" fillId="2" borderId="0" xfId="0" applyFill="1" applyAlignment="1" applyProtection="1">
      <alignment horizontal="left"/>
      <protection/>
    </xf>
    <xf numFmtId="0" fontId="0" fillId="2" borderId="0" xfId="0" applyFill="1" applyAlignment="1" applyProtection="1">
      <alignment/>
      <protection/>
    </xf>
    <xf numFmtId="0" fontId="1" fillId="2" borderId="0" xfId="0" applyFont="1" applyFill="1" applyAlignment="1" applyProtection="1">
      <alignment horizontal="left"/>
      <protection/>
    </xf>
    <xf numFmtId="0" fontId="0" fillId="2" borderId="0" xfId="0" applyFill="1" applyAlignment="1">
      <alignment/>
    </xf>
    <xf numFmtId="0" fontId="7" fillId="2" borderId="0" xfId="0" applyFont="1" applyFill="1" applyAlignment="1" applyProtection="1">
      <alignment/>
      <protection locked="0"/>
    </xf>
    <xf numFmtId="0" fontId="4" fillId="2" borderId="0" xfId="0" applyFont="1" applyFill="1" applyAlignment="1" applyProtection="1">
      <alignment/>
      <protection/>
    </xf>
    <xf numFmtId="0" fontId="0" fillId="2" borderId="0" xfId="0" applyFont="1" applyFill="1" applyAlignment="1" applyProtection="1">
      <alignment/>
      <protection/>
    </xf>
    <xf numFmtId="0" fontId="16" fillId="0" borderId="0" xfId="0" applyFont="1" applyAlignment="1" applyProtection="1">
      <alignment/>
      <protection/>
    </xf>
    <xf numFmtId="0" fontId="16" fillId="0" borderId="0" xfId="0" applyFont="1" applyAlignment="1" applyProtection="1">
      <alignment horizontal="left"/>
      <protection/>
    </xf>
    <xf numFmtId="0" fontId="16" fillId="0" borderId="0" xfId="0" applyFont="1" applyAlignment="1" applyProtection="1">
      <alignment horizontal="center" vertical="center" wrapText="1"/>
      <protection/>
    </xf>
    <xf numFmtId="165" fontId="17" fillId="0" borderId="0" xfId="0" applyNumberFormat="1" applyFont="1" applyAlignment="1" applyProtection="1">
      <alignment/>
      <protection/>
    </xf>
    <xf numFmtId="1" fontId="17" fillId="0" borderId="0" xfId="0" applyNumberFormat="1" applyFont="1" applyAlignment="1" applyProtection="1">
      <alignment/>
      <protection/>
    </xf>
    <xf numFmtId="1" fontId="18" fillId="0" borderId="0" xfId="0" applyNumberFormat="1" applyFont="1" applyAlignment="1" applyProtection="1">
      <alignment/>
      <protection/>
    </xf>
    <xf numFmtId="0" fontId="18" fillId="0" borderId="0" xfId="0" applyFont="1" applyAlignment="1" applyProtection="1">
      <alignment horizontal="left"/>
      <protection/>
    </xf>
    <xf numFmtId="0" fontId="18" fillId="0" borderId="0" xfId="0" applyFont="1" applyAlignment="1" applyProtection="1">
      <alignment horizontal="center" vertical="center" wrapText="1"/>
      <protection/>
    </xf>
    <xf numFmtId="1" fontId="4" fillId="0" borderId="0" xfId="0" applyNumberFormat="1" applyFont="1" applyAlignment="1" applyProtection="1">
      <alignment/>
      <protection/>
    </xf>
    <xf numFmtId="165" fontId="4" fillId="0" borderId="0" xfId="0" applyNumberFormat="1" applyFont="1" applyAlignment="1" applyProtection="1">
      <alignment/>
      <protection/>
    </xf>
    <xf numFmtId="0" fontId="19" fillId="0" borderId="0" xfId="0" applyFont="1" applyAlignment="1" applyProtection="1">
      <alignment horizontal="center" vertical="center"/>
      <protection/>
    </xf>
    <xf numFmtId="1" fontId="20" fillId="0" borderId="0" xfId="0" applyNumberFormat="1" applyFont="1" applyAlignment="1" applyProtection="1">
      <alignment/>
      <protection/>
    </xf>
    <xf numFmtId="0" fontId="21" fillId="0" borderId="0" xfId="0" applyFont="1" applyAlignment="1" applyProtection="1">
      <alignment horizontal="center" vertical="center"/>
      <protection/>
    </xf>
    <xf numFmtId="165" fontId="22" fillId="0" borderId="0" xfId="0" applyNumberFormat="1" applyFont="1" applyAlignment="1" applyProtection="1">
      <alignment/>
      <protection/>
    </xf>
    <xf numFmtId="1" fontId="0" fillId="0" borderId="0" xfId="0" applyNumberFormat="1" applyAlignment="1">
      <alignment/>
    </xf>
    <xf numFmtId="0" fontId="23" fillId="0" borderId="0" xfId="0" applyFont="1" applyAlignment="1">
      <alignment/>
    </xf>
    <xf numFmtId="1" fontId="7" fillId="0" borderId="0" xfId="0" applyNumberFormat="1" applyFont="1" applyAlignment="1" applyProtection="1">
      <alignment/>
      <protection locked="0"/>
    </xf>
    <xf numFmtId="0" fontId="19" fillId="0" borderId="0" xfId="0" applyFont="1" applyAlignment="1" applyProtection="1">
      <alignment horizontal="center" vertical="center" wrapText="1"/>
      <protection/>
    </xf>
    <xf numFmtId="20" fontId="7" fillId="0" borderId="0" xfId="0" applyNumberFormat="1" applyFont="1" applyAlignment="1" applyProtection="1">
      <alignment/>
      <protection locked="0"/>
    </xf>
    <xf numFmtId="1" fontId="0" fillId="0" borderId="0" xfId="0" applyNumberFormat="1" applyFont="1" applyAlignment="1" applyProtection="1">
      <alignment horizontal="center"/>
      <protection/>
    </xf>
    <xf numFmtId="0" fontId="26"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wrapText="1"/>
    </xf>
    <xf numFmtId="0" fontId="20" fillId="3" borderId="0" xfId="0" applyFont="1" applyFill="1" applyAlignment="1" applyProtection="1">
      <alignment/>
      <protection/>
    </xf>
    <xf numFmtId="1" fontId="20" fillId="3" borderId="0" xfId="0" applyNumberFormat="1" applyFont="1" applyFill="1" applyAlignment="1" applyProtection="1">
      <alignment/>
      <protection/>
    </xf>
    <xf numFmtId="165" fontId="20" fillId="3" borderId="0" xfId="0" applyNumberFormat="1" applyFont="1" applyFill="1" applyAlignment="1" applyProtection="1">
      <alignment/>
      <protection/>
    </xf>
    <xf numFmtId="1" fontId="20" fillId="3" borderId="0" xfId="0" applyNumberFormat="1" applyFont="1" applyFill="1" applyAlignment="1" applyProtection="1">
      <alignment horizontal="center"/>
      <protection/>
    </xf>
    <xf numFmtId="165" fontId="27" fillId="3" borderId="0" xfId="0" applyNumberFormat="1" applyFont="1" applyFill="1" applyAlignment="1" applyProtection="1">
      <alignment/>
      <protection/>
    </xf>
    <xf numFmtId="165" fontId="20" fillId="2" borderId="0" xfId="0" applyNumberFormat="1" applyFont="1" applyFill="1" applyAlignment="1" applyProtection="1">
      <alignment/>
      <protection/>
    </xf>
    <xf numFmtId="0" fontId="20" fillId="2" borderId="0" xfId="0" applyFont="1" applyFill="1" applyAlignment="1" applyProtection="1">
      <alignment/>
      <protection/>
    </xf>
    <xf numFmtId="165" fontId="7" fillId="0" borderId="0" xfId="0" applyNumberFormat="1" applyFont="1" applyAlignment="1" applyProtection="1">
      <alignment/>
      <protection locked="0"/>
    </xf>
    <xf numFmtId="165" fontId="11" fillId="0" borderId="0" xfId="0" applyNumberFormat="1" applyFont="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- 100 Gram</a:t>
            </a:r>
          </a:p>
        </c:rich>
      </c:tx>
      <c:layout>
        <c:manualLayout>
          <c:xMode val="factor"/>
          <c:yMode val="factor"/>
          <c:x val="-0.199"/>
          <c:y val="0"/>
        </c:manualLayout>
      </c:layout>
      <c:spPr>
        <a:noFill/>
        <a:ln>
          <a:noFill/>
        </a:ln>
      </c:spPr>
    </c:title>
    <c:plotArea>
      <c:layout>
        <c:manualLayout>
          <c:xMode val="edge"/>
          <c:yMode val="edge"/>
          <c:x val="0.039"/>
          <c:y val="0.235"/>
          <c:w val="0.79925"/>
          <c:h val="0.66"/>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'100 GM PIBAL'!$F$10:$F$29</c:f>
              <c:numCache/>
            </c:numRef>
          </c:val>
          <c:smooth val="0"/>
        </c:ser>
        <c:marker val="1"/>
        <c:axId val="4192831"/>
        <c:axId val="37735480"/>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'100 GM PIBAL'!$D$10:$D$29</c:f>
              <c:numCache/>
            </c:numRef>
          </c:cat>
          <c:val>
            <c:numRef>
              <c:f>'100 GM PIBAL'!$E$10:$E$29</c:f>
              <c:numCache/>
            </c:numRef>
          </c:val>
          <c:smooth val="0"/>
        </c:ser>
        <c:marker val="1"/>
        <c:axId val="4075001"/>
        <c:axId val="36675010"/>
      </c:lineChart>
      <c:catAx>
        <c:axId val="4192831"/>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37735480"/>
        <c:crosses val="autoZero"/>
        <c:auto val="0"/>
        <c:lblOffset val="100"/>
        <c:tickLblSkip val="1"/>
        <c:noMultiLvlLbl val="0"/>
      </c:catAx>
      <c:valAx>
        <c:axId val="37735480"/>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4192831"/>
        <c:crossesAt val="1"/>
        <c:crossBetween val="between"/>
        <c:dispUnits/>
        <c:majorUnit val="45"/>
      </c:valAx>
      <c:catAx>
        <c:axId val="4075001"/>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36675010"/>
        <c:crosses val="max"/>
        <c:auto val="0"/>
        <c:lblOffset val="100"/>
        <c:tickLblSkip val="1"/>
        <c:noMultiLvlLbl val="0"/>
      </c:catAx>
      <c:valAx>
        <c:axId val="36675010"/>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4075001"/>
        <c:crosses val="max"/>
        <c:crossBetween val="between"/>
        <c:dispUnits/>
      </c:valAx>
      <c:spPr>
        <a:solidFill>
          <a:srgbClr val="FFFFFF"/>
        </a:solidFill>
        <a:ln w="12700">
          <a:solidFill>
            <a:srgbClr val="808080"/>
          </a:solidFill>
        </a:ln>
      </c:spPr>
    </c:plotArea>
    <c:legend>
      <c:legendPos val="t"/>
      <c:layout>
        <c:manualLayout>
          <c:xMode val="edge"/>
          <c:yMode val="edge"/>
          <c:x val="0.556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- 30 Gram</a:t>
            </a:r>
          </a:p>
        </c:rich>
      </c:tx>
      <c:layout>
        <c:manualLayout>
          <c:xMode val="factor"/>
          <c:yMode val="factor"/>
          <c:x val="-0.199"/>
          <c:y val="0"/>
        </c:manualLayout>
      </c:layout>
      <c:spPr>
        <a:noFill/>
        <a:ln>
          <a:noFill/>
        </a:ln>
      </c:spPr>
    </c:title>
    <c:plotArea>
      <c:layout>
        <c:manualLayout>
          <c:xMode val="edge"/>
          <c:yMode val="edge"/>
          <c:x val="0.039"/>
          <c:y val="0.23575"/>
          <c:w val="0.79925"/>
          <c:h val="0.659"/>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'30 GM PIBAL'!$F$10:$F$29</c:f>
              <c:numCache/>
            </c:numRef>
          </c:val>
          <c:smooth val="0"/>
        </c:ser>
        <c:marker val="1"/>
        <c:axId val="61639635"/>
        <c:axId val="17885804"/>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'30 GM PIBAL'!$D$10:$D$29</c:f>
              <c:numCache/>
            </c:numRef>
          </c:cat>
          <c:val>
            <c:numRef>
              <c:f>'30 GM PIBAL'!$E$10:$E$29</c:f>
              <c:numCache/>
            </c:numRef>
          </c:val>
          <c:smooth val="0"/>
        </c:ser>
        <c:marker val="1"/>
        <c:axId val="26754509"/>
        <c:axId val="39463990"/>
      </c:lineChart>
      <c:catAx>
        <c:axId val="61639635"/>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17885804"/>
        <c:crosses val="autoZero"/>
        <c:auto val="0"/>
        <c:lblOffset val="100"/>
        <c:tickLblSkip val="1"/>
        <c:noMultiLvlLbl val="0"/>
      </c:catAx>
      <c:valAx>
        <c:axId val="17885804"/>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61639635"/>
        <c:crossesAt val="1"/>
        <c:crossBetween val="between"/>
        <c:dispUnits/>
        <c:majorUnit val="45"/>
      </c:valAx>
      <c:catAx>
        <c:axId val="26754509"/>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39463990"/>
        <c:crosses val="max"/>
        <c:auto val="0"/>
        <c:lblOffset val="100"/>
        <c:tickLblSkip val="1"/>
        <c:noMultiLvlLbl val="0"/>
      </c:catAx>
      <c:valAx>
        <c:axId val="39463990"/>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26754509"/>
        <c:crosses val="max"/>
        <c:crossBetween val="between"/>
        <c:dispUnits/>
      </c:valAx>
      <c:spPr>
        <a:solidFill>
          <a:srgbClr val="FFFFFF"/>
        </a:solidFill>
        <a:ln w="12700">
          <a:solidFill>
            <a:srgbClr val="808080"/>
          </a:solidFill>
        </a:ln>
      </c:spPr>
    </c:plotArea>
    <c:legend>
      <c:legendPos val="t"/>
      <c:layout>
        <c:manualLayout>
          <c:xMode val="edge"/>
          <c:yMode val="edge"/>
          <c:x val="0.556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Pilot Balloon Wind Profile - 10 Gram</a:t>
            </a:r>
          </a:p>
        </c:rich>
      </c:tx>
      <c:layout>
        <c:manualLayout>
          <c:xMode val="factor"/>
          <c:yMode val="factor"/>
          <c:x val="-0.199"/>
          <c:y val="0"/>
        </c:manualLayout>
      </c:layout>
      <c:spPr>
        <a:noFill/>
        <a:ln>
          <a:noFill/>
        </a:ln>
      </c:spPr>
    </c:title>
    <c:plotArea>
      <c:layout>
        <c:manualLayout>
          <c:xMode val="edge"/>
          <c:yMode val="edge"/>
          <c:x val="0.039"/>
          <c:y val="0.2365"/>
          <c:w val="0.79925"/>
          <c:h val="0.658"/>
        </c:manualLayout>
      </c:layout>
      <c:lineChart>
        <c:grouping val="standard"/>
        <c:varyColors val="0"/>
        <c:ser>
          <c:idx val="1"/>
          <c:order val="0"/>
          <c:tx>
            <c:v>Direction</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00000"/>
              </a:solidFill>
              <a:ln>
                <a:solidFill>
                  <a:srgbClr val="900000"/>
                </a:solidFill>
              </a:ln>
            </c:spPr>
          </c:marker>
          <c:dLbls>
            <c:numFmt formatCode="General" sourceLinked="1"/>
            <c:showLegendKey val="0"/>
            <c:showVal val="1"/>
            <c:showBubbleSize val="0"/>
            <c:showCatName val="0"/>
            <c:showSerName val="0"/>
            <c:showLeaderLines val="1"/>
            <c:showPercent val="0"/>
          </c:dLbls>
          <c:val>
            <c:numRef>
              <c:f>'10 GM PIBAL'!$F$10:$F$29</c:f>
              <c:numCache/>
            </c:numRef>
          </c:val>
          <c:smooth val="0"/>
        </c:ser>
        <c:marker val="1"/>
        <c:axId val="19631591"/>
        <c:axId val="42466592"/>
      </c:lineChart>
      <c:lineChart>
        <c:grouping val="standard"/>
        <c:varyColors val="0"/>
        <c:ser>
          <c:idx val="0"/>
          <c:order val="1"/>
          <c:tx>
            <c:v>Speed</c:v>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showLegendKey val="0"/>
            <c:showVal val="1"/>
            <c:showBubbleSize val="0"/>
            <c:showCatName val="0"/>
            <c:showSerName val="0"/>
            <c:showLeaderLines val="1"/>
            <c:showPercent val="0"/>
          </c:dLbls>
          <c:cat>
            <c:numRef>
              <c:f>'10 GM PIBAL'!$D$10:$D$29</c:f>
              <c:numCache/>
            </c:numRef>
          </c:cat>
          <c:val>
            <c:numRef>
              <c:f>'10 GM PIBAL'!$E$10:$E$29</c:f>
              <c:numCache/>
            </c:numRef>
          </c:val>
          <c:smooth val="0"/>
        </c:ser>
        <c:marker val="1"/>
        <c:axId val="46655009"/>
        <c:axId val="17241898"/>
      </c:lineChart>
      <c:catAx>
        <c:axId val="19631591"/>
        <c:scaling>
          <c:orientation val="minMax"/>
        </c:scaling>
        <c:axPos val="b"/>
        <c:title>
          <c:tx>
            <c:rich>
              <a:bodyPr vert="horz" rot="0" anchor="ctr"/>
              <a:lstStyle/>
              <a:p>
                <a:pPr algn="ctr">
                  <a:defRPr/>
                </a:pPr>
                <a:r>
                  <a:rPr lang="en-US" cap="none" sz="1000" b="1" i="0" u="none" baseline="0"/>
                  <a:t>Minutes</a:t>
                </a:r>
              </a:p>
            </c:rich>
          </c:tx>
          <c:layout/>
          <c:overlay val="0"/>
          <c:spPr>
            <a:noFill/>
            <a:ln>
              <a:noFill/>
            </a:ln>
          </c:spPr>
        </c:title>
        <c:delete val="0"/>
        <c:numFmt formatCode="General" sourceLinked="1"/>
        <c:majorTickMark val="in"/>
        <c:minorTickMark val="none"/>
        <c:tickLblPos val="nextTo"/>
        <c:crossAx val="42466592"/>
        <c:crosses val="autoZero"/>
        <c:auto val="0"/>
        <c:lblOffset val="100"/>
        <c:tickLblSkip val="1"/>
        <c:noMultiLvlLbl val="0"/>
      </c:catAx>
      <c:valAx>
        <c:axId val="42466592"/>
        <c:scaling>
          <c:orientation val="minMax"/>
          <c:max val="360"/>
        </c:scaling>
        <c:axPos val="l"/>
        <c:title>
          <c:tx>
            <c:rich>
              <a:bodyPr vert="horz" rot="-5400000" anchor="ctr"/>
              <a:lstStyle/>
              <a:p>
                <a:pPr algn="ctr">
                  <a:defRPr/>
                </a:pPr>
                <a:r>
                  <a:rPr lang="en-US" cap="none" sz="1000" b="1" i="0" u="none" baseline="0"/>
                  <a:t>Direction Deg.</a:t>
                </a:r>
              </a:p>
            </c:rich>
          </c:tx>
          <c:layout/>
          <c:overlay val="0"/>
          <c:spPr>
            <a:noFill/>
            <a:ln>
              <a:noFill/>
            </a:ln>
          </c:spPr>
        </c:title>
        <c:delete val="0"/>
        <c:numFmt formatCode="General" sourceLinked="1"/>
        <c:majorTickMark val="in"/>
        <c:minorTickMark val="none"/>
        <c:tickLblPos val="nextTo"/>
        <c:crossAx val="19631591"/>
        <c:crossesAt val="1"/>
        <c:crossBetween val="between"/>
        <c:dispUnits/>
        <c:majorUnit val="45"/>
      </c:valAx>
      <c:catAx>
        <c:axId val="46655009"/>
        <c:scaling>
          <c:orientation val="minMax"/>
        </c:scaling>
        <c:axPos val="b"/>
        <c:title>
          <c:tx>
            <c:rich>
              <a:bodyPr vert="horz" rot="0" anchor="ctr"/>
              <a:lstStyle/>
              <a:p>
                <a:pPr algn="ctr">
                  <a:defRPr/>
                </a:pPr>
                <a:r>
                  <a:rPr lang="en-US" cap="none" sz="1000" b="1" i="0" u="none" baseline="0"/>
                  <a:t>Altitude (m)</a:t>
                </a:r>
              </a:p>
            </c:rich>
          </c:tx>
          <c:layout/>
          <c:overlay val="0"/>
          <c:spPr>
            <a:noFill/>
            <a:ln>
              <a:noFill/>
            </a:ln>
          </c:spPr>
        </c:title>
        <c:delete val="0"/>
        <c:numFmt formatCode="General" sourceLinked="1"/>
        <c:majorTickMark val="in"/>
        <c:minorTickMark val="none"/>
        <c:tickLblPos val="nextTo"/>
        <c:crossAx val="17241898"/>
        <c:crosses val="max"/>
        <c:auto val="0"/>
        <c:lblOffset val="100"/>
        <c:tickLblSkip val="1"/>
        <c:noMultiLvlLbl val="0"/>
      </c:catAx>
      <c:valAx>
        <c:axId val="17241898"/>
        <c:scaling>
          <c:orientation val="minMax"/>
        </c:scaling>
        <c:axPos val="l"/>
        <c:title>
          <c:tx>
            <c:rich>
              <a:bodyPr vert="horz" rot="-5400000" anchor="ctr"/>
              <a:lstStyle/>
              <a:p>
                <a:pPr algn="ctr">
                  <a:defRPr/>
                </a:pPr>
                <a:r>
                  <a:rPr lang="en-US" cap="none" sz="1000" b="1" i="0" u="none" baseline="0"/>
                  <a:t>Windspeed (m/s)</a:t>
                </a:r>
              </a:p>
            </c:rich>
          </c:tx>
          <c:layout/>
          <c:overlay val="0"/>
          <c:spPr>
            <a:noFill/>
            <a:ln>
              <a:noFill/>
            </a:ln>
          </c:spPr>
        </c:title>
        <c:delete val="0"/>
        <c:numFmt formatCode="General" sourceLinked="1"/>
        <c:majorTickMark val="in"/>
        <c:minorTickMark val="none"/>
        <c:tickLblPos val="nextTo"/>
        <c:crossAx val="46655009"/>
        <c:crosses val="max"/>
        <c:crossBetween val="between"/>
        <c:dispUnits/>
      </c:valAx>
      <c:spPr>
        <a:solidFill>
          <a:srgbClr val="FFFFFF"/>
        </a:solidFill>
        <a:ln w="12700">
          <a:solidFill>
            <a:srgbClr val="808080"/>
          </a:solidFill>
        </a:ln>
      </c:spPr>
    </c:plotArea>
    <c:legend>
      <c:legendPos val="t"/>
      <c:layout>
        <c:manualLayout>
          <c:xMode val="edge"/>
          <c:yMode val="edge"/>
          <c:x val="0.56225"/>
          <c:y val="0"/>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47625</xdr:rowOff>
    </xdr:from>
    <xdr:to>
      <xdr:col>10</xdr:col>
      <xdr:colOff>704850</xdr:colOff>
      <xdr:row>51</xdr:row>
      <xdr:rowOff>9525</xdr:rowOff>
    </xdr:to>
    <xdr:graphicFrame>
      <xdr:nvGraphicFramePr>
        <xdr:cNvPr id="1" name="Chart 15"/>
        <xdr:cNvGraphicFramePr/>
      </xdr:nvGraphicFramePr>
      <xdr:xfrm>
        <a:off x="38100" y="5981700"/>
        <a:ext cx="9229725" cy="3038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47625</xdr:rowOff>
    </xdr:from>
    <xdr:to>
      <xdr:col>10</xdr:col>
      <xdr:colOff>628650</xdr:colOff>
      <xdr:row>51</xdr:row>
      <xdr:rowOff>9525</xdr:rowOff>
    </xdr:to>
    <xdr:graphicFrame>
      <xdr:nvGraphicFramePr>
        <xdr:cNvPr id="1" name="Chart 10"/>
        <xdr:cNvGraphicFramePr/>
      </xdr:nvGraphicFramePr>
      <xdr:xfrm>
        <a:off x="66675" y="5924550"/>
        <a:ext cx="9258300" cy="3038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19050</xdr:rowOff>
    </xdr:from>
    <xdr:to>
      <xdr:col>10</xdr:col>
      <xdr:colOff>552450</xdr:colOff>
      <xdr:row>50</xdr:row>
      <xdr:rowOff>133350</xdr:rowOff>
    </xdr:to>
    <xdr:graphicFrame>
      <xdr:nvGraphicFramePr>
        <xdr:cNvPr id="1" name="Chart 14"/>
        <xdr:cNvGraphicFramePr/>
      </xdr:nvGraphicFramePr>
      <xdr:xfrm>
        <a:off x="0" y="5724525"/>
        <a:ext cx="9229725"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2"/>
  <sheetViews>
    <sheetView workbookViewId="0" topLeftCell="A1">
      <selection activeCell="F1" sqref="F1"/>
    </sheetView>
  </sheetViews>
  <sheetFormatPr defaultColWidth="9.00390625" defaultRowHeight="12.75"/>
  <cols>
    <col min="1" max="1" width="10.625" style="0" customWidth="1"/>
    <col min="2" max="2" width="11.375" style="0" customWidth="1"/>
    <col min="3" max="3" width="10.875" style="0" customWidth="1"/>
    <col min="4" max="4" width="9.50390625" style="0" customWidth="1"/>
    <col min="5" max="5" width="12.00390625" style="0" customWidth="1"/>
    <col min="6" max="6" width="11.50390625" style="0" customWidth="1"/>
    <col min="7" max="7" width="13.125" style="0" customWidth="1"/>
    <col min="8" max="8" width="10.375" style="0" customWidth="1"/>
    <col min="9" max="10" width="11.50390625" style="0" customWidth="1"/>
    <col min="11" max="11" width="9.50390625" style="0" customWidth="1"/>
    <col min="12" max="12" width="9.875" style="0" customWidth="1"/>
    <col min="13"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v>100</v>
      </c>
      <c r="F3" s="5" t="s">
        <v>1</v>
      </c>
      <c r="G3" s="8"/>
      <c r="H3" s="8"/>
      <c r="I3" s="8"/>
      <c r="J3" s="8"/>
      <c r="K3" s="8"/>
      <c r="L3" s="8"/>
      <c r="M3" s="8"/>
      <c r="N3" s="8"/>
    </row>
    <row r="4" spans="1:14" ht="12.75">
      <c r="A4" s="10" t="s">
        <v>34</v>
      </c>
      <c r="D4" s="4">
        <v>0</v>
      </c>
      <c r="E4" s="7" t="s">
        <v>33</v>
      </c>
      <c r="F4" s="5" t="s">
        <v>4</v>
      </c>
      <c r="G4" s="8"/>
      <c r="H4" s="8"/>
      <c r="I4" s="8"/>
      <c r="J4" s="8"/>
      <c r="K4" s="8"/>
      <c r="L4" s="8"/>
      <c r="M4" s="8"/>
      <c r="N4" s="8"/>
    </row>
    <row r="5" spans="1:14" ht="12.75">
      <c r="A5" s="5" t="s">
        <v>38</v>
      </c>
      <c r="D5" s="3">
        <v>36910</v>
      </c>
      <c r="E5" s="10" t="s">
        <v>29</v>
      </c>
      <c r="F5" s="32">
        <v>290</v>
      </c>
      <c r="G5" s="33" t="s">
        <v>5</v>
      </c>
      <c r="I5" s="8"/>
      <c r="J5" s="8"/>
      <c r="K5" s="8"/>
      <c r="L5" s="9"/>
      <c r="M5" s="8"/>
      <c r="N5" s="8"/>
    </row>
    <row r="6" spans="1:12" ht="12.75">
      <c r="A6" s="5" t="s">
        <v>2</v>
      </c>
      <c r="D6" s="45">
        <v>0.9652777777777778</v>
      </c>
      <c r="E6" s="1"/>
      <c r="F6" s="27">
        <v>950</v>
      </c>
      <c r="G6" s="28" t="s">
        <v>3</v>
      </c>
      <c r="I6" s="8" t="s">
        <v>41</v>
      </c>
      <c r="J6" s="8"/>
      <c r="K6" s="8"/>
      <c r="L6" s="9"/>
    </row>
    <row r="7" spans="1:14" ht="12.75">
      <c r="A7" s="20"/>
      <c r="B7" s="21"/>
      <c r="C7" s="21"/>
      <c r="D7" s="21"/>
      <c r="E7" s="21"/>
      <c r="F7" s="22"/>
      <c r="G7" s="23"/>
      <c r="H7" s="24"/>
      <c r="I7" s="21"/>
      <c r="J7" s="21"/>
      <c r="K7" s="21"/>
      <c r="L7" s="25"/>
      <c r="M7" s="21"/>
      <c r="N7" s="21"/>
    </row>
    <row r="8" spans="1:14" ht="31.5" customHeight="1">
      <c r="A8" s="11" t="s">
        <v>13</v>
      </c>
      <c r="B8" s="11" t="s">
        <v>19</v>
      </c>
      <c r="C8" s="11" t="s">
        <v>20</v>
      </c>
      <c r="D8" s="34" t="s">
        <v>14</v>
      </c>
      <c r="E8" s="34" t="s">
        <v>12</v>
      </c>
      <c r="F8" s="12" t="s">
        <v>15</v>
      </c>
      <c r="G8" s="29" t="s">
        <v>16</v>
      </c>
      <c r="H8" s="29" t="s">
        <v>17</v>
      </c>
      <c r="I8" s="16" t="s">
        <v>18</v>
      </c>
      <c r="J8" s="11" t="s">
        <v>39</v>
      </c>
      <c r="K8" s="44" t="s">
        <v>35</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f>L9*0.305</f>
        <v>0</v>
      </c>
      <c r="L9" s="52">
        <v>0</v>
      </c>
      <c r="M9" s="55">
        <v>0</v>
      </c>
      <c r="N9" s="55">
        <v>0</v>
      </c>
    </row>
    <row r="10" spans="1:16" ht="12.75">
      <c r="A10" s="14">
        <v>60</v>
      </c>
      <c r="B10" s="58">
        <v>230.3</v>
      </c>
      <c r="C10" s="58">
        <v>28.2</v>
      </c>
      <c r="D10" s="35">
        <f aca="true" t="shared" si="2" ref="D10:D29">K10+D$4</f>
        <v>350</v>
      </c>
      <c r="E10" s="36">
        <f>SQRT(M11^2+N11^2)/((A11-A9))</f>
        <v>10.500722764850353</v>
      </c>
      <c r="F10" s="2">
        <f>IF(M11&gt;0,(4.712-ATAN(N11/M11))/(PI()/180),(4.712-ATAN(N11/M11)-3.1416)/(PI()/180))</f>
        <v>45.37729214734444</v>
      </c>
      <c r="G10" s="30">
        <f t="shared" si="0"/>
        <v>23.49011682497024</v>
      </c>
      <c r="H10" s="31">
        <f>(D$4+K10)*3.28084</f>
        <v>1148.294</v>
      </c>
      <c r="I10" s="17">
        <f t="shared" si="1"/>
        <v>20.413405054869088</v>
      </c>
      <c r="J10" s="46">
        <v>1</v>
      </c>
      <c r="K10" s="38">
        <v>350</v>
      </c>
      <c r="L10" s="38">
        <f>K10*3.2808</f>
        <v>1148.28</v>
      </c>
      <c r="M10" s="40">
        <f aca="true" t="shared" si="3" ref="M10:M29">COS((90-B10)*(PI()/180))*(K10/TAN((PI()/180)*C10))</f>
        <v>-502.2234371449984</v>
      </c>
      <c r="N10" s="40">
        <f aca="true" t="shared" si="4" ref="N10:N29">SIN((PI()/180)*(90-B10))*(K10/TAN((PI()/180)*C10))</f>
        <v>-416.953930823029</v>
      </c>
      <c r="O10" s="41"/>
      <c r="P10" s="41"/>
    </row>
    <row r="11" spans="1:16" ht="12.75">
      <c r="A11" s="14">
        <v>120</v>
      </c>
      <c r="B11" s="58">
        <v>225.4</v>
      </c>
      <c r="C11" s="58">
        <v>28</v>
      </c>
      <c r="D11" s="35">
        <f t="shared" si="2"/>
        <v>670</v>
      </c>
      <c r="E11" s="36">
        <f aca="true" t="shared" si="5" ref="E11:E29">SQRT((M12-M10)^2+(N12-N10)^2)/((A12-A10))</f>
        <v>10.052469273782206</v>
      </c>
      <c r="F11" s="2">
        <f aca="true" t="shared" si="6" ref="F11:F29">IF((M12-M10)&gt;0,(4.712-ATAN((N12-N10)/(M12-M10)))/(PI()/180),(4.712-ATAN((N12-N10)/(M12-M10))-3.1416)/(PI()/180))</f>
        <v>39.03470717137068</v>
      </c>
      <c r="G11" s="30">
        <f t="shared" si="0"/>
        <v>22.487373765450798</v>
      </c>
      <c r="H11" s="31">
        <f>(D$4+K11)*3.28084</f>
        <v>2198.1628</v>
      </c>
      <c r="I11" s="17">
        <f t="shared" si="1"/>
        <v>19.54200026823261</v>
      </c>
      <c r="J11" s="46">
        <v>2</v>
      </c>
      <c r="K11" s="38">
        <v>670</v>
      </c>
      <c r="L11" s="38">
        <f>K11*3.2808</f>
        <v>2198.136</v>
      </c>
      <c r="M11" s="40">
        <f t="shared" si="3"/>
        <v>-897.2145732364847</v>
      </c>
      <c r="N11" s="40">
        <f t="shared" si="4"/>
        <v>-884.7737457594575</v>
      </c>
      <c r="O11" s="41"/>
      <c r="P11" s="41"/>
    </row>
    <row r="12" spans="1:16" ht="12.75">
      <c r="A12" s="14">
        <v>180</v>
      </c>
      <c r="B12" s="58">
        <v>223</v>
      </c>
      <c r="C12" s="58">
        <v>27.9</v>
      </c>
      <c r="D12" s="35">
        <f t="shared" si="2"/>
        <v>980</v>
      </c>
      <c r="E12" s="36">
        <f t="shared" si="5"/>
        <v>12.058633903868332</v>
      </c>
      <c r="F12" s="2">
        <f t="shared" si="6"/>
        <v>42.38404738559791</v>
      </c>
      <c r="G12" s="30">
        <f t="shared" si="0"/>
        <v>26.97516404295346</v>
      </c>
      <c r="H12" s="31">
        <f aca="true" t="shared" si="7" ref="H12:H29">IF((K12*3.28084)&gt;5500,(0.5*ROUND((D$4+K12)*6.56168,-2)),(ROUND((D$4+K12)*3.28084,-1)))</f>
        <v>3220</v>
      </c>
      <c r="I12" s="17">
        <f t="shared" si="1"/>
        <v>23.441984309120038</v>
      </c>
      <c r="J12" s="46">
        <v>3</v>
      </c>
      <c r="K12" s="38">
        <v>980</v>
      </c>
      <c r="L12" s="38">
        <f aca="true" t="shared" si="8" ref="L12:L29">ROUND(K12*3.2808,-1)</f>
        <v>3220</v>
      </c>
      <c r="M12" s="40">
        <f t="shared" si="3"/>
        <v>-1262.3093425356383</v>
      </c>
      <c r="N12" s="40">
        <f t="shared" si="4"/>
        <v>-1353.661041307048</v>
      </c>
      <c r="O12" s="41"/>
      <c r="P12" s="41"/>
    </row>
    <row r="13" spans="1:16" ht="12.75">
      <c r="A13" s="14">
        <v>240</v>
      </c>
      <c r="B13" s="58">
        <v>223.8</v>
      </c>
      <c r="C13" s="58">
        <v>25.4</v>
      </c>
      <c r="D13" s="35">
        <f t="shared" si="2"/>
        <v>1285</v>
      </c>
      <c r="E13" s="36">
        <f t="shared" si="5"/>
        <v>13.85096177509415</v>
      </c>
      <c r="F13" s="2">
        <f t="shared" si="6"/>
        <v>47.41593520735719</v>
      </c>
      <c r="G13" s="30">
        <f t="shared" si="0"/>
        <v>30.984601490885616</v>
      </c>
      <c r="H13" s="31">
        <f t="shared" si="7"/>
        <v>4220</v>
      </c>
      <c r="I13" s="17">
        <f t="shared" si="1"/>
        <v>26.926269690783027</v>
      </c>
      <c r="J13" s="46">
        <v>4</v>
      </c>
      <c r="K13" s="38">
        <v>1285</v>
      </c>
      <c r="L13" s="38">
        <f t="shared" si="8"/>
        <v>4220</v>
      </c>
      <c r="M13" s="40">
        <f t="shared" si="3"/>
        <v>-1873.0804281490934</v>
      </c>
      <c r="N13" s="40">
        <f t="shared" si="4"/>
        <v>-1953.230210315694</v>
      </c>
      <c r="O13" s="41"/>
      <c r="P13" s="41"/>
    </row>
    <row r="14" spans="1:16" ht="12.75">
      <c r="A14" s="14">
        <v>300</v>
      </c>
      <c r="B14" s="58">
        <v>225.1</v>
      </c>
      <c r="C14" s="58">
        <v>24.3</v>
      </c>
      <c r="D14" s="35">
        <f t="shared" si="2"/>
        <v>1585</v>
      </c>
      <c r="E14" s="36">
        <f t="shared" si="5"/>
        <v>12.472442462863777</v>
      </c>
      <c r="F14" s="2">
        <f t="shared" si="6"/>
        <v>42.93484992231754</v>
      </c>
      <c r="G14" s="30">
        <f t="shared" si="0"/>
        <v>27.900853789426268</v>
      </c>
      <c r="H14" s="31">
        <f t="shared" si="7"/>
        <v>5200</v>
      </c>
      <c r="I14" s="17">
        <f t="shared" si="1"/>
        <v>24.24642814780718</v>
      </c>
      <c r="J14" s="46">
        <v>5</v>
      </c>
      <c r="K14" s="38">
        <v>1585</v>
      </c>
      <c r="L14" s="38">
        <f t="shared" si="8"/>
        <v>5200</v>
      </c>
      <c r="M14" s="40">
        <f t="shared" si="3"/>
        <v>-2486.5461639055466</v>
      </c>
      <c r="N14" s="40">
        <f t="shared" si="4"/>
        <v>-2477.881594122118</v>
      </c>
      <c r="O14" s="41"/>
      <c r="P14" s="41"/>
    </row>
    <row r="15" spans="1:16" ht="12.75">
      <c r="A15" s="14">
        <v>360</v>
      </c>
      <c r="B15" s="58">
        <v>223.5</v>
      </c>
      <c r="C15" s="58">
        <v>24.1</v>
      </c>
      <c r="D15" s="35">
        <f t="shared" si="2"/>
        <v>1880</v>
      </c>
      <c r="E15" s="36">
        <f t="shared" si="5"/>
        <v>12.57355578685624</v>
      </c>
      <c r="F15" s="2">
        <f t="shared" si="6"/>
        <v>31.737271880983783</v>
      </c>
      <c r="G15" s="30">
        <f t="shared" si="0"/>
        <v>28.127044295197408</v>
      </c>
      <c r="H15" s="31">
        <f t="shared" si="7"/>
        <v>6150</v>
      </c>
      <c r="I15" s="17">
        <f t="shared" si="1"/>
        <v>24.44299244964853</v>
      </c>
      <c r="J15" s="46">
        <v>6</v>
      </c>
      <c r="K15" s="38">
        <v>1880</v>
      </c>
      <c r="L15" s="38">
        <f t="shared" si="8"/>
        <v>6170</v>
      </c>
      <c r="M15" s="40">
        <f t="shared" si="3"/>
        <v>-2893.011543794465</v>
      </c>
      <c r="N15" s="40">
        <f t="shared" si="4"/>
        <v>-3048.598067059003</v>
      </c>
      <c r="O15" s="41"/>
      <c r="P15" s="41"/>
    </row>
    <row r="16" spans="1:16" ht="12.75">
      <c r="A16" s="14">
        <v>420</v>
      </c>
      <c r="B16" s="58">
        <v>221.1</v>
      </c>
      <c r="C16" s="58">
        <v>23.5</v>
      </c>
      <c r="D16" s="35">
        <f t="shared" si="2"/>
        <v>2170</v>
      </c>
      <c r="E16" s="36">
        <f t="shared" si="5"/>
        <v>11.935940565297408</v>
      </c>
      <c r="F16" s="2">
        <f>IF((M17-M15)&gt;0,(4.712-ATAN((N17-N15)/(M17-M15)))/(PI()/180),(4.712-ATAN((N17-N15)/(M17-M15))-3.1416)/(PI()/180))</f>
        <v>22.854449664425772</v>
      </c>
      <c r="G16" s="30">
        <f t="shared" si="0"/>
        <v>26.700699044570303</v>
      </c>
      <c r="H16" s="31">
        <f t="shared" si="7"/>
        <v>7100</v>
      </c>
      <c r="I16" s="17">
        <f t="shared" si="1"/>
        <v>23.20346845893816</v>
      </c>
      <c r="J16" s="46">
        <v>7</v>
      </c>
      <c r="K16" s="38">
        <v>2170</v>
      </c>
      <c r="L16" s="38">
        <f t="shared" si="8"/>
        <v>7120</v>
      </c>
      <c r="M16" s="40">
        <f t="shared" si="3"/>
        <v>-3280.7352447164226</v>
      </c>
      <c r="N16" s="40">
        <f t="shared" si="4"/>
        <v>-3760.7774190913374</v>
      </c>
      <c r="O16" s="41"/>
      <c r="P16" s="41"/>
    </row>
    <row r="17" spans="1:16" ht="12.75">
      <c r="A17" s="14">
        <v>480</v>
      </c>
      <c r="B17" s="58">
        <v>218.3</v>
      </c>
      <c r="C17" s="58">
        <v>23.8</v>
      </c>
      <c r="D17" s="35">
        <f t="shared" si="2"/>
        <v>2455</v>
      </c>
      <c r="E17" s="36">
        <f t="shared" si="5"/>
        <v>9.980575359699031</v>
      </c>
      <c r="F17" s="2">
        <f t="shared" si="6"/>
        <v>356.41273186278124</v>
      </c>
      <c r="G17" s="30">
        <f t="shared" si="0"/>
        <v>22.326547079646733</v>
      </c>
      <c r="H17" s="31">
        <f t="shared" si="7"/>
        <v>8050</v>
      </c>
      <c r="I17" s="17">
        <f t="shared" si="1"/>
        <v>19.402238499254917</v>
      </c>
      <c r="J17" s="46">
        <v>8</v>
      </c>
      <c r="K17" s="38">
        <v>2455</v>
      </c>
      <c r="L17" s="38">
        <f t="shared" si="8"/>
        <v>8050</v>
      </c>
      <c r="M17" s="40">
        <f t="shared" si="3"/>
        <v>-3449.8327164121156</v>
      </c>
      <c r="N17" s="40">
        <f t="shared" si="4"/>
        <v>-4368.245873518135</v>
      </c>
      <c r="O17" s="41"/>
      <c r="P17" s="41"/>
    </row>
    <row r="18" spans="1:16" ht="12.75">
      <c r="A18" s="14">
        <v>540</v>
      </c>
      <c r="B18" s="58">
        <v>212.9</v>
      </c>
      <c r="C18" s="58">
        <v>24.9</v>
      </c>
      <c r="D18" s="35">
        <f t="shared" si="2"/>
        <v>2740</v>
      </c>
      <c r="E18" s="36">
        <f t="shared" si="5"/>
        <v>8.965146134410585</v>
      </c>
      <c r="F18" s="2">
        <f t="shared" si="6"/>
        <v>315.547607309493</v>
      </c>
      <c r="G18" s="30">
        <f t="shared" si="0"/>
        <v>20.05503190267648</v>
      </c>
      <c r="H18" s="31">
        <f t="shared" si="7"/>
        <v>9000</v>
      </c>
      <c r="I18" s="17">
        <f t="shared" si="1"/>
        <v>17.428244085294175</v>
      </c>
      <c r="J18" s="46">
        <v>9</v>
      </c>
      <c r="K18" s="38">
        <v>2740</v>
      </c>
      <c r="L18" s="38">
        <f t="shared" si="8"/>
        <v>8990</v>
      </c>
      <c r="M18" s="40">
        <f t="shared" si="3"/>
        <v>-3206.2635601304055</v>
      </c>
      <c r="N18" s="40">
        <f t="shared" si="4"/>
        <v>-4956.128875838688</v>
      </c>
      <c r="O18" s="41"/>
      <c r="P18" s="41"/>
    </row>
    <row r="19" spans="1:16" ht="12.75">
      <c r="A19" s="14">
        <v>600</v>
      </c>
      <c r="B19" s="58">
        <v>207.7</v>
      </c>
      <c r="C19" s="58">
        <v>27.5</v>
      </c>
      <c r="D19" s="35">
        <f t="shared" si="2"/>
        <v>3020</v>
      </c>
      <c r="E19" s="36">
        <f t="shared" si="5"/>
        <v>8.600733979817731</v>
      </c>
      <c r="F19" s="2">
        <f t="shared" si="6"/>
        <v>303.45890907466986</v>
      </c>
      <c r="G19" s="30">
        <f t="shared" si="0"/>
        <v>19.239841912852263</v>
      </c>
      <c r="H19" s="31">
        <f t="shared" si="7"/>
        <v>9900</v>
      </c>
      <c r="I19" s="17">
        <f t="shared" si="1"/>
        <v>16.719826856765668</v>
      </c>
      <c r="J19" s="46">
        <v>10</v>
      </c>
      <c r="K19" s="38">
        <v>3020</v>
      </c>
      <c r="L19" s="38">
        <f t="shared" si="8"/>
        <v>9910</v>
      </c>
      <c r="M19" s="40">
        <f t="shared" si="3"/>
        <v>-2696.718850339156</v>
      </c>
      <c r="N19" s="40">
        <f t="shared" si="4"/>
        <v>-5136.492497833461</v>
      </c>
      <c r="O19" s="41"/>
      <c r="P19" s="41"/>
    </row>
    <row r="20" spans="1:16" ht="12.75">
      <c r="A20" s="14">
        <v>660</v>
      </c>
      <c r="B20" s="58">
        <v>203</v>
      </c>
      <c r="C20" s="58">
        <v>28.8</v>
      </c>
      <c r="D20" s="35">
        <f t="shared" si="2"/>
        <v>3300</v>
      </c>
      <c r="E20" s="36">
        <f t="shared" si="5"/>
        <v>7.213132100269155</v>
      </c>
      <c r="F20" s="2">
        <f t="shared" si="6"/>
        <v>317.6503669036077</v>
      </c>
      <c r="G20" s="30">
        <f t="shared" si="0"/>
        <v>16.1357765083021</v>
      </c>
      <c r="H20" s="31">
        <f t="shared" si="7"/>
        <v>10850</v>
      </c>
      <c r="I20" s="17">
        <f t="shared" si="1"/>
        <v>14.022328802923237</v>
      </c>
      <c r="J20" s="46">
        <v>11</v>
      </c>
      <c r="K20" s="38">
        <v>3300</v>
      </c>
      <c r="L20" s="38">
        <f t="shared" si="8"/>
        <v>10830</v>
      </c>
      <c r="M20" s="40">
        <f t="shared" si="3"/>
        <v>-2345.433037940849</v>
      </c>
      <c r="N20" s="40">
        <f t="shared" si="4"/>
        <v>-5525.49397131414</v>
      </c>
      <c r="O20" s="41"/>
      <c r="P20" s="41"/>
    </row>
    <row r="21" spans="1:16" ht="12.75">
      <c r="A21" s="14">
        <v>720</v>
      </c>
      <c r="B21" s="58">
        <v>200.1</v>
      </c>
      <c r="C21" s="58">
        <v>30.2</v>
      </c>
      <c r="D21" s="35">
        <f t="shared" si="2"/>
        <v>3580</v>
      </c>
      <c r="E21" s="36">
        <f t="shared" si="5"/>
        <v>3.530958464183941</v>
      </c>
      <c r="F21" s="2">
        <f t="shared" si="6"/>
        <v>329.87073833655</v>
      </c>
      <c r="G21" s="30">
        <f t="shared" si="0"/>
        <v>7.898754084379477</v>
      </c>
      <c r="H21" s="31">
        <f t="shared" si="7"/>
        <v>11750</v>
      </c>
      <c r="I21" s="17">
        <f t="shared" si="1"/>
        <v>6.8641832543735815</v>
      </c>
      <c r="J21" s="46">
        <v>12</v>
      </c>
      <c r="K21" s="38">
        <v>3580</v>
      </c>
      <c r="L21" s="38">
        <f t="shared" si="8"/>
        <v>11750</v>
      </c>
      <c r="M21" s="40">
        <f t="shared" si="3"/>
        <v>-2113.869978621186</v>
      </c>
      <c r="N21" s="40">
        <f t="shared" si="4"/>
        <v>-5776.421203517562</v>
      </c>
      <c r="O21" s="41"/>
      <c r="P21" s="41"/>
    </row>
    <row r="22" spans="1:16" ht="12.75">
      <c r="A22" s="14">
        <v>780</v>
      </c>
      <c r="B22" s="58">
        <v>199.9</v>
      </c>
      <c r="C22" s="58">
        <v>31.6</v>
      </c>
      <c r="D22" s="35">
        <f t="shared" si="2"/>
        <v>3855</v>
      </c>
      <c r="E22" s="36">
        <f t="shared" si="5"/>
        <v>2.8174359679478864</v>
      </c>
      <c r="F22" s="2">
        <f t="shared" si="6"/>
        <v>61.49291847562514</v>
      </c>
      <c r="G22" s="30">
        <f t="shared" si="0"/>
        <v>6.302604260299423</v>
      </c>
      <c r="H22" s="31">
        <f t="shared" si="7"/>
        <v>12650</v>
      </c>
      <c r="I22" s="17">
        <f t="shared" si="1"/>
        <v>5.477095521690691</v>
      </c>
      <c r="J22" s="46">
        <v>13</v>
      </c>
      <c r="K22" s="38">
        <v>3855</v>
      </c>
      <c r="L22" s="38">
        <f t="shared" si="8"/>
        <v>12650</v>
      </c>
      <c r="M22" s="40">
        <f t="shared" si="3"/>
        <v>-2132.8907854196527</v>
      </c>
      <c r="N22" s="40">
        <f t="shared" si="4"/>
        <v>-5892.045748590726</v>
      </c>
      <c r="O22" s="41"/>
      <c r="P22" s="41"/>
    </row>
    <row r="23" spans="1:16" ht="12.75">
      <c r="A23" s="14">
        <v>840</v>
      </c>
      <c r="B23" s="58">
        <v>202.1</v>
      </c>
      <c r="C23" s="58">
        <v>32.8</v>
      </c>
      <c r="D23" s="35">
        <f t="shared" si="2"/>
        <v>4130</v>
      </c>
      <c r="E23" s="36">
        <f t="shared" si="5"/>
        <v>4.009072029519087</v>
      </c>
      <c r="F23" s="2">
        <f t="shared" si="6"/>
        <v>78.34752653933003</v>
      </c>
      <c r="G23" s="30">
        <f t="shared" si="0"/>
        <v>8.968294130034199</v>
      </c>
      <c r="H23" s="31">
        <f t="shared" si="7"/>
        <v>13550</v>
      </c>
      <c r="I23" s="17">
        <f t="shared" si="1"/>
        <v>7.793636025385106</v>
      </c>
      <c r="J23" s="46">
        <v>14</v>
      </c>
      <c r="K23" s="38">
        <v>4130</v>
      </c>
      <c r="L23" s="38">
        <f t="shared" si="8"/>
        <v>13550</v>
      </c>
      <c r="M23" s="40">
        <f t="shared" si="3"/>
        <v>-2411.0352786230815</v>
      </c>
      <c r="N23" s="40">
        <f t="shared" si="4"/>
        <v>-5937.663873791247</v>
      </c>
      <c r="O23" s="41"/>
      <c r="P23" s="41"/>
    </row>
    <row r="24" spans="1:16" ht="12.75">
      <c r="A24" s="14">
        <v>900</v>
      </c>
      <c r="B24" s="58">
        <v>203.5</v>
      </c>
      <c r="C24" s="58">
        <v>34</v>
      </c>
      <c r="D24" s="35">
        <f t="shared" si="2"/>
        <v>4405</v>
      </c>
      <c r="E24" s="36">
        <f t="shared" si="5"/>
        <v>3.076112924283909</v>
      </c>
      <c r="F24" s="2">
        <f t="shared" si="6"/>
        <v>113.33635573124653</v>
      </c>
      <c r="G24" s="30">
        <f t="shared" si="0"/>
        <v>6.881264611623105</v>
      </c>
      <c r="H24" s="31">
        <f t="shared" si="7"/>
        <v>14450</v>
      </c>
      <c r="I24" s="17">
        <f t="shared" si="1"/>
        <v>5.9799635248079195</v>
      </c>
      <c r="J24" s="46">
        <v>15</v>
      </c>
      <c r="K24" s="38">
        <v>4405</v>
      </c>
      <c r="L24" s="38">
        <f t="shared" si="8"/>
        <v>14450</v>
      </c>
      <c r="M24" s="40">
        <f t="shared" si="3"/>
        <v>-2604.1029946343083</v>
      </c>
      <c r="N24" s="40">
        <f t="shared" si="4"/>
        <v>-5989.026864445334</v>
      </c>
      <c r="O24" s="41"/>
      <c r="P24" s="41"/>
    </row>
    <row r="25" spans="1:16" ht="12.75">
      <c r="A25" s="14">
        <v>960</v>
      </c>
      <c r="B25" s="58">
        <v>205.4</v>
      </c>
      <c r="C25" s="58">
        <v>36.1</v>
      </c>
      <c r="D25" s="35">
        <f t="shared" si="2"/>
        <v>4675</v>
      </c>
      <c r="E25" s="36">
        <f t="shared" si="5"/>
        <v>2.7682849137826953</v>
      </c>
      <c r="F25" s="2">
        <f t="shared" si="6"/>
        <v>138.34605850346716</v>
      </c>
      <c r="G25" s="30">
        <f t="shared" si="0"/>
        <v>6.19265335213189</v>
      </c>
      <c r="H25" s="31">
        <f t="shared" si="7"/>
        <v>15350</v>
      </c>
      <c r="I25" s="17">
        <f t="shared" si="1"/>
        <v>5.381545872393559</v>
      </c>
      <c r="J25" s="46">
        <v>16</v>
      </c>
      <c r="K25" s="38">
        <v>4675</v>
      </c>
      <c r="L25" s="38">
        <f t="shared" si="8"/>
        <v>15340</v>
      </c>
      <c r="M25" s="40">
        <f t="shared" si="3"/>
        <v>-2749.9139585004204</v>
      </c>
      <c r="N25" s="40">
        <f t="shared" si="4"/>
        <v>-5791.305345734213</v>
      </c>
      <c r="O25" s="41"/>
      <c r="P25" s="41"/>
    </row>
    <row r="26" spans="1:16" ht="12.75">
      <c r="A26" s="14">
        <v>1020</v>
      </c>
      <c r="B26" s="58">
        <v>206.2</v>
      </c>
      <c r="C26" s="58">
        <v>37.7</v>
      </c>
      <c r="D26" s="35">
        <f t="shared" si="2"/>
        <v>4945</v>
      </c>
      <c r="E26" s="36">
        <f t="shared" si="5"/>
        <v>1.1205682611312755</v>
      </c>
      <c r="F26" s="2">
        <f t="shared" si="6"/>
        <v>297.3481252128206</v>
      </c>
      <c r="G26" s="30">
        <f t="shared" si="0"/>
        <v>2.5067112001506633</v>
      </c>
      <c r="H26" s="31">
        <f t="shared" si="7"/>
        <v>16200</v>
      </c>
      <c r="I26" s="17">
        <f t="shared" si="1"/>
        <v>2.1783846996391993</v>
      </c>
      <c r="J26" s="46">
        <v>17</v>
      </c>
      <c r="K26" s="38">
        <v>4945</v>
      </c>
      <c r="L26" s="38">
        <f t="shared" si="8"/>
        <v>16220</v>
      </c>
      <c r="M26" s="40">
        <f t="shared" si="3"/>
        <v>-2824.79081006241</v>
      </c>
      <c r="N26" s="40">
        <f t="shared" si="4"/>
        <v>-5740.732950380975</v>
      </c>
      <c r="O26" s="41"/>
      <c r="P26" s="41"/>
    </row>
    <row r="27" spans="1:16" ht="12.75">
      <c r="A27" s="14">
        <v>1080</v>
      </c>
      <c r="B27" s="58">
        <v>204.2</v>
      </c>
      <c r="C27" s="58">
        <v>39.1</v>
      </c>
      <c r="D27" s="35">
        <f t="shared" si="2"/>
        <v>5215</v>
      </c>
      <c r="E27" s="36">
        <f t="shared" si="5"/>
        <v>6.497838093743622</v>
      </c>
      <c r="F27" s="2">
        <f t="shared" si="6"/>
        <v>289.4746958482657</v>
      </c>
      <c r="G27" s="30">
        <f t="shared" si="0"/>
        <v>14.535663815704485</v>
      </c>
      <c r="H27" s="31">
        <f t="shared" si="7"/>
        <v>17100</v>
      </c>
      <c r="I27" s="17">
        <f t="shared" si="1"/>
        <v>12.631797254237602</v>
      </c>
      <c r="J27" s="46">
        <v>18</v>
      </c>
      <c r="K27" s="38">
        <v>5215</v>
      </c>
      <c r="L27" s="38">
        <f t="shared" si="8"/>
        <v>17110</v>
      </c>
      <c r="M27" s="40">
        <f t="shared" si="3"/>
        <v>-2630.4990890184367</v>
      </c>
      <c r="N27" s="40">
        <f t="shared" si="4"/>
        <v>-5853.125920203474</v>
      </c>
      <c r="O27" s="41"/>
      <c r="P27" s="41"/>
    </row>
    <row r="28" spans="1:16" ht="12.75">
      <c r="A28" s="14">
        <v>1140</v>
      </c>
      <c r="B28" s="58">
        <v>199.2</v>
      </c>
      <c r="C28" s="58">
        <v>40.8</v>
      </c>
      <c r="D28" s="35">
        <f t="shared" si="2"/>
        <v>5485</v>
      </c>
      <c r="E28" s="36">
        <f t="shared" si="5"/>
        <v>11.714787334375476</v>
      </c>
      <c r="F28" s="2">
        <f t="shared" si="6"/>
        <v>286.84538692447416</v>
      </c>
      <c r="G28" s="30">
        <f t="shared" si="0"/>
        <v>26.20597926699794</v>
      </c>
      <c r="H28" s="31">
        <f t="shared" si="7"/>
        <v>18000</v>
      </c>
      <c r="I28" s="17">
        <f t="shared" si="1"/>
        <v>22.773546578025925</v>
      </c>
      <c r="J28" s="46">
        <v>19</v>
      </c>
      <c r="K28" s="38">
        <v>5485</v>
      </c>
      <c r="L28" s="38">
        <f t="shared" si="8"/>
        <v>18000</v>
      </c>
      <c r="M28" s="40">
        <f t="shared" si="3"/>
        <v>-2089.761289746183</v>
      </c>
      <c r="N28" s="40">
        <f t="shared" si="4"/>
        <v>-6000.976994915678</v>
      </c>
      <c r="O28" s="41"/>
      <c r="P28" s="41"/>
    </row>
    <row r="29" spans="1:16" ht="12.75">
      <c r="A29" s="14">
        <v>1200</v>
      </c>
      <c r="B29" s="58">
        <v>191.6</v>
      </c>
      <c r="C29" s="58">
        <v>42</v>
      </c>
      <c r="D29" s="35">
        <f t="shared" si="2"/>
        <v>5755</v>
      </c>
      <c r="E29" s="36">
        <f t="shared" si="5"/>
        <v>14.092337612563119</v>
      </c>
      <c r="F29" s="2">
        <f t="shared" si="6"/>
        <v>287.8897699070728</v>
      </c>
      <c r="G29" s="30">
        <f t="shared" si="0"/>
        <v>31.5245592393037</v>
      </c>
      <c r="H29" s="31">
        <f t="shared" si="7"/>
        <v>18900</v>
      </c>
      <c r="I29" s="17">
        <f t="shared" si="1"/>
        <v>27.395504318822702</v>
      </c>
      <c r="J29" s="46">
        <v>20</v>
      </c>
      <c r="K29" s="38">
        <v>5755</v>
      </c>
      <c r="L29" s="38">
        <f t="shared" si="8"/>
        <v>18880</v>
      </c>
      <c r="M29" s="40">
        <f t="shared" si="3"/>
        <v>-1285.2046184415406</v>
      </c>
      <c r="N29" s="40">
        <f t="shared" si="4"/>
        <v>-6261.02869833339</v>
      </c>
      <c r="O29" s="41"/>
      <c r="P29" s="41"/>
    </row>
    <row r="30" spans="1:14" ht="12.75">
      <c r="A30" s="57">
        <f>A29</f>
        <v>1200</v>
      </c>
      <c r="B30" s="26"/>
      <c r="C30" s="26"/>
      <c r="D30" s="26"/>
      <c r="E30" s="26"/>
      <c r="F30" s="26"/>
      <c r="G30" s="26"/>
      <c r="H30" s="26"/>
      <c r="I30" s="26"/>
      <c r="J30" s="26"/>
      <c r="K30" s="26"/>
      <c r="L30" s="26"/>
      <c r="M30" s="56">
        <f>M29</f>
        <v>-1285.2046184415406</v>
      </c>
      <c r="N30" s="56">
        <f>N29</f>
        <v>-6261.02869833339</v>
      </c>
    </row>
    <row r="31" spans="1:14" ht="43.5" customHeight="1">
      <c r="A31" s="15" t="s">
        <v>22</v>
      </c>
      <c r="B31" s="10" t="s">
        <v>11</v>
      </c>
      <c r="C31" s="10" t="s">
        <v>10</v>
      </c>
      <c r="D31" s="10"/>
      <c r="G31" s="8"/>
      <c r="H31" s="8"/>
      <c r="I31" s="8"/>
      <c r="J31" s="8"/>
      <c r="K31" s="38"/>
      <c r="L31" s="8"/>
      <c r="M31" s="8"/>
      <c r="N31" s="8"/>
    </row>
    <row r="32" spans="1:14" ht="15">
      <c r="A32" s="8"/>
      <c r="B32" s="43">
        <v>100</v>
      </c>
      <c r="C32" s="35">
        <f>B32/3.28084</f>
        <v>30.47999902464003</v>
      </c>
      <c r="D32" s="8"/>
      <c r="G32" s="8"/>
      <c r="H32" s="8"/>
      <c r="I32" s="8"/>
      <c r="J32" s="8"/>
      <c r="K32" s="42"/>
      <c r="L32" s="8"/>
      <c r="M32" s="8"/>
      <c r="N32" s="8"/>
    </row>
  </sheetData>
  <sheetProtection password="DDCA" sheet="1" objects="1" scenarios="1"/>
  <dataValidations count="6">
    <dataValidation type="whole" allowBlank="1" showErrorMessage="1" errorTitle="Altitude Error" error="Please enter a valid station altitude&#10; between  -100 and 3000 &#10;&#10;This value is in meters above M.S.L." sqref="D4">
      <formula1>-100</formula1>
      <formula2>3000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P32"/>
  <sheetViews>
    <sheetView workbookViewId="0" topLeftCell="A2">
      <selection activeCell="H2" sqref="H2"/>
    </sheetView>
  </sheetViews>
  <sheetFormatPr defaultColWidth="9.00390625" defaultRowHeight="12.75"/>
  <cols>
    <col min="1" max="1" width="10.50390625" style="0" customWidth="1"/>
    <col min="2" max="3" width="11.50390625" style="0" customWidth="1"/>
    <col min="4" max="4" width="11.375" style="0" customWidth="1"/>
    <col min="5" max="5" width="12.625" style="0" customWidth="1"/>
    <col min="6" max="6" width="11.50390625" style="0" customWidth="1"/>
    <col min="7" max="7" width="12.50390625" style="0" customWidth="1"/>
    <col min="8" max="8" width="9.875" style="0" customWidth="1"/>
    <col min="9" max="10" width="11.375" style="0" customWidth="1"/>
    <col min="11" max="11" width="9.50390625" style="0" customWidth="1"/>
    <col min="12" max="12" width="9.625" style="0" customWidth="1"/>
    <col min="13" max="14" width="10.625" style="0" customWidth="1"/>
    <col min="15" max="16384" width="11.50390625" style="0" customWidth="1"/>
  </cols>
  <sheetData>
    <row r="1" spans="1:14" ht="20.25">
      <c r="A1" s="19" t="s">
        <v>30</v>
      </c>
      <c r="M1" s="8"/>
      <c r="N1" s="8"/>
    </row>
    <row r="2" spans="1:14" ht="12.75">
      <c r="A2" s="10" t="s">
        <v>6</v>
      </c>
      <c r="D2" s="13" t="s">
        <v>21</v>
      </c>
      <c r="E2" s="5" t="s">
        <v>27</v>
      </c>
      <c r="F2" s="4" t="s">
        <v>40</v>
      </c>
      <c r="I2" s="8"/>
      <c r="J2" s="8"/>
      <c r="M2" s="8"/>
      <c r="N2" s="8"/>
    </row>
    <row r="3" spans="1:14" ht="12.75">
      <c r="A3" s="5" t="s">
        <v>0</v>
      </c>
      <c r="D3" s="13" t="s">
        <v>28</v>
      </c>
      <c r="E3" s="7" t="s">
        <v>31</v>
      </c>
      <c r="F3" s="5" t="s">
        <v>1</v>
      </c>
      <c r="G3" s="8"/>
      <c r="H3" s="8"/>
      <c r="I3" s="8"/>
      <c r="J3" s="8"/>
      <c r="K3" s="8"/>
      <c r="L3" s="8"/>
      <c r="M3" s="8"/>
      <c r="N3" s="8"/>
    </row>
    <row r="4" spans="1:14" ht="12.75">
      <c r="A4" s="10" t="s">
        <v>34</v>
      </c>
      <c r="D4" s="4">
        <v>0</v>
      </c>
      <c r="E4" s="7" t="s">
        <v>32</v>
      </c>
      <c r="F4" s="5" t="s">
        <v>4</v>
      </c>
      <c r="G4" s="8"/>
      <c r="H4" s="8"/>
      <c r="I4" s="8"/>
      <c r="J4" s="8"/>
      <c r="K4" s="8"/>
      <c r="L4" s="8"/>
      <c r="M4" s="8"/>
      <c r="N4" s="8"/>
    </row>
    <row r="5" spans="1:14" ht="12.75">
      <c r="A5" s="5" t="s">
        <v>38</v>
      </c>
      <c r="D5" s="3">
        <v>36910</v>
      </c>
      <c r="E5" s="10" t="s">
        <v>29</v>
      </c>
      <c r="F5" s="32">
        <f>3690/20</f>
        <v>184.5</v>
      </c>
      <c r="G5" s="33" t="s">
        <v>5</v>
      </c>
      <c r="I5" s="8"/>
      <c r="J5" s="8"/>
      <c r="K5" s="8"/>
      <c r="L5" s="9"/>
      <c r="M5" s="8"/>
      <c r="N5" s="8"/>
    </row>
    <row r="6" spans="1:12" ht="12.75">
      <c r="A6" s="5" t="s">
        <v>2</v>
      </c>
      <c r="D6" s="45">
        <v>0.9652777777777778</v>
      </c>
      <c r="E6" s="1"/>
      <c r="F6" s="27">
        <v>605</v>
      </c>
      <c r="G6" s="28" t="s">
        <v>3</v>
      </c>
      <c r="I6" s="8" t="s">
        <v>41</v>
      </c>
      <c r="J6" s="8"/>
      <c r="K6" s="8"/>
      <c r="L6" s="9"/>
    </row>
    <row r="7" spans="1:14" ht="12.75">
      <c r="A7" s="20"/>
      <c r="B7" s="21"/>
      <c r="C7" s="21"/>
      <c r="D7" s="21"/>
      <c r="E7" s="21"/>
      <c r="F7" s="22"/>
      <c r="G7" s="23"/>
      <c r="H7" s="24"/>
      <c r="I7" s="21"/>
      <c r="J7" s="21"/>
      <c r="K7" s="21"/>
      <c r="L7" s="25"/>
      <c r="M7" s="21"/>
      <c r="N7" s="21"/>
    </row>
    <row r="8" spans="1:14" ht="25.5">
      <c r="A8" s="11" t="s">
        <v>13</v>
      </c>
      <c r="B8" s="11" t="s">
        <v>19</v>
      </c>
      <c r="C8" s="11" t="s">
        <v>20</v>
      </c>
      <c r="D8" s="34" t="s">
        <v>14</v>
      </c>
      <c r="E8" s="34" t="s">
        <v>12</v>
      </c>
      <c r="F8" s="12" t="s">
        <v>15</v>
      </c>
      <c r="G8" s="29" t="s">
        <v>16</v>
      </c>
      <c r="H8" s="29" t="s">
        <v>17</v>
      </c>
      <c r="I8" s="16" t="s">
        <v>18</v>
      </c>
      <c r="J8" s="11" t="s">
        <v>39</v>
      </c>
      <c r="K8" s="44" t="s">
        <v>37</v>
      </c>
      <c r="L8" s="44" t="s">
        <v>36</v>
      </c>
      <c r="M8" s="39" t="s">
        <v>23</v>
      </c>
      <c r="N8" s="39" t="s">
        <v>24</v>
      </c>
    </row>
    <row r="9" spans="1:14" ht="12.75">
      <c r="A9" s="51">
        <v>0</v>
      </c>
      <c r="B9" s="51">
        <v>0</v>
      </c>
      <c r="C9" s="51">
        <v>0</v>
      </c>
      <c r="D9" s="52">
        <f>K9+D$4</f>
        <v>0</v>
      </c>
      <c r="E9" s="53">
        <v>0</v>
      </c>
      <c r="F9" s="52">
        <v>0</v>
      </c>
      <c r="G9" s="53">
        <f aca="true" t="shared" si="0" ref="G9:G29">2.237*E9</f>
        <v>0</v>
      </c>
      <c r="H9" s="52">
        <f>IF(((D$4+K9)*3.28084)&gt;5500,(0.5*ROUND((D$4+K9)*6.56168,-2)),(ROUND((D$4+K9)*3.28084,-1)))</f>
        <v>0</v>
      </c>
      <c r="I9" s="53">
        <f aca="true" t="shared" si="1" ref="I9:I29">1.944*E9</f>
        <v>0</v>
      </c>
      <c r="J9" s="54">
        <v>0</v>
      </c>
      <c r="K9" s="52">
        <v>0</v>
      </c>
      <c r="L9" s="52">
        <v>0</v>
      </c>
      <c r="M9" s="55">
        <v>0</v>
      </c>
      <c r="N9" s="55">
        <v>0</v>
      </c>
    </row>
    <row r="10" spans="1:16" ht="12.75">
      <c r="A10" s="14">
        <v>60</v>
      </c>
      <c r="B10" s="58">
        <v>230.3</v>
      </c>
      <c r="C10" s="58">
        <v>28.2</v>
      </c>
      <c r="D10" s="35">
        <f aca="true" t="shared" si="2" ref="D10:D29">K10+D$4</f>
        <v>216</v>
      </c>
      <c r="E10" s="36">
        <f>SQRT(M11^2+N11^2)/((A11-A9))</f>
        <v>6.488506305444845</v>
      </c>
      <c r="F10" s="2">
        <f>IF(M11&gt;0,(4.712-ATAN(N11/M11))/(PI()/180),(4.712-ATAN(N11/M11)-3.1416)/(PI()/180))</f>
        <v>45.37729214734447</v>
      </c>
      <c r="G10" s="30">
        <f t="shared" si="0"/>
        <v>14.514788605280119</v>
      </c>
      <c r="H10" s="31">
        <f>(D$4+K10)*3.28084</f>
        <v>708.66144</v>
      </c>
      <c r="I10" s="17">
        <f t="shared" si="1"/>
        <v>12.613656257784777</v>
      </c>
      <c r="J10" s="46">
        <v>1</v>
      </c>
      <c r="K10" s="38">
        <v>216</v>
      </c>
      <c r="L10" s="38">
        <f>K10*3.2808</f>
        <v>708.6528000000001</v>
      </c>
      <c r="M10" s="40">
        <f aca="true" t="shared" si="3" ref="M10:M29">COS((90-B10)*(PI()/180))*(K10/TAN((PI()/180)*C10))</f>
        <v>-309.94360692377046</v>
      </c>
      <c r="N10" s="40">
        <f aca="true" t="shared" si="4" ref="N10:N29">SIN((PI()/180)*(90-B10))*(K10/TAN((PI()/180)*C10))</f>
        <v>-257.32014016506935</v>
      </c>
      <c r="O10" s="41"/>
      <c r="P10" s="41"/>
    </row>
    <row r="11" spans="1:16" ht="12.75">
      <c r="A11" s="14">
        <v>120</v>
      </c>
      <c r="B11" s="58">
        <v>225.4</v>
      </c>
      <c r="C11" s="58">
        <v>28</v>
      </c>
      <c r="D11" s="35">
        <f t="shared" si="2"/>
        <v>414</v>
      </c>
      <c r="E11" s="36">
        <f aca="true" t="shared" si="5" ref="E11:E29">SQRT((M12-M10)^2+(N12-N10)^2)/((A12-A10))</f>
        <v>6.316866516708166</v>
      </c>
      <c r="F11" s="2">
        <f aca="true" t="shared" si="6" ref="F11:F29">IF((M12-M10)&gt;0,(4.712-ATAN((N12-N10)/(M12-M10)))/(PI()/180),(4.712-ATAN((N12-N10)/(M12-M10))-3.1416)/(PI()/180))</f>
        <v>39.105378674966886</v>
      </c>
      <c r="G11" s="30">
        <f t="shared" si="0"/>
        <v>14.130830397876169</v>
      </c>
      <c r="H11" s="31">
        <f>(D$4+K11)*3.28084</f>
        <v>1358.26776</v>
      </c>
      <c r="I11" s="17">
        <f t="shared" si="1"/>
        <v>12.279988508480674</v>
      </c>
      <c r="J11" s="46">
        <v>2</v>
      </c>
      <c r="K11" s="38">
        <v>414</v>
      </c>
      <c r="L11" s="38">
        <f>K11*3.2808</f>
        <v>1358.2512000000002</v>
      </c>
      <c r="M11" s="40">
        <f t="shared" si="3"/>
        <v>-554.3982586864249</v>
      </c>
      <c r="N11" s="40">
        <f t="shared" si="4"/>
        <v>-546.7109414095752</v>
      </c>
      <c r="O11" s="41"/>
      <c r="P11" s="41"/>
    </row>
    <row r="12" spans="1:16" ht="12.75">
      <c r="A12" s="14">
        <v>180</v>
      </c>
      <c r="B12" s="58">
        <v>223</v>
      </c>
      <c r="C12" s="58">
        <v>27.9</v>
      </c>
      <c r="D12" s="35">
        <f t="shared" si="2"/>
        <v>612</v>
      </c>
      <c r="E12" s="36">
        <f t="shared" si="5"/>
        <v>7.5737079949917865</v>
      </c>
      <c r="F12" s="2">
        <f t="shared" si="6"/>
        <v>42.406596175236025</v>
      </c>
      <c r="G12" s="30">
        <f t="shared" si="0"/>
        <v>16.942384784796626</v>
      </c>
      <c r="H12" s="31">
        <f>(D$4+K12)*3.28084</f>
        <v>2007.87408</v>
      </c>
      <c r="I12" s="17">
        <f t="shared" si="1"/>
        <v>14.723288342264032</v>
      </c>
      <c r="J12" s="46">
        <v>3</v>
      </c>
      <c r="K12" s="38">
        <v>612</v>
      </c>
      <c r="L12" s="38">
        <f>K12*3.2808</f>
        <v>2007.8496</v>
      </c>
      <c r="M12" s="40">
        <f t="shared" si="3"/>
        <v>-788.2993037059292</v>
      </c>
      <c r="N12" s="40">
        <f t="shared" si="4"/>
        <v>-845.347507428483</v>
      </c>
      <c r="O12" s="41"/>
      <c r="P12" s="41"/>
    </row>
    <row r="13" spans="1:16" ht="12.75">
      <c r="A13" s="14">
        <v>240</v>
      </c>
      <c r="B13" s="58">
        <v>223.8</v>
      </c>
      <c r="C13" s="58">
        <v>25.4</v>
      </c>
      <c r="D13" s="35">
        <f t="shared" si="2"/>
        <v>801</v>
      </c>
      <c r="E13" s="36">
        <f t="shared" si="5"/>
        <v>8.653171400191587</v>
      </c>
      <c r="F13" s="2">
        <f t="shared" si="6"/>
        <v>47.41501928467657</v>
      </c>
      <c r="G13" s="30">
        <f t="shared" si="0"/>
        <v>19.35714442222858</v>
      </c>
      <c r="H13" s="31">
        <f>(D$4+K13)*3.28084</f>
        <v>2627.95284</v>
      </c>
      <c r="I13" s="17">
        <f t="shared" si="1"/>
        <v>16.821765201972443</v>
      </c>
      <c r="J13" s="46">
        <v>4</v>
      </c>
      <c r="K13" s="38">
        <v>801</v>
      </c>
      <c r="L13" s="38">
        <f>K13*3.2808</f>
        <v>2627.9208000000003</v>
      </c>
      <c r="M13" s="40">
        <f t="shared" si="3"/>
        <v>-1167.5777610485789</v>
      </c>
      <c r="N13" s="40">
        <f t="shared" si="4"/>
        <v>-1217.5388314886156</v>
      </c>
      <c r="O13" s="41"/>
      <c r="P13" s="41"/>
    </row>
    <row r="14" spans="1:16" ht="12.75">
      <c r="A14" s="14">
        <v>300</v>
      </c>
      <c r="B14" s="58">
        <v>225.1</v>
      </c>
      <c r="C14" s="58">
        <v>24.3</v>
      </c>
      <c r="D14" s="35">
        <f t="shared" si="2"/>
        <v>990</v>
      </c>
      <c r="E14" s="36">
        <f t="shared" si="5"/>
        <v>7.739423353130152</v>
      </c>
      <c r="F14" s="2">
        <f t="shared" si="6"/>
        <v>42.93238081247297</v>
      </c>
      <c r="G14" s="30">
        <f t="shared" si="0"/>
        <v>17.31309004095215</v>
      </c>
      <c r="H14" s="31">
        <f>IF(K14*3.28084&gt;5500,(0.5*ROUND((D$4+K14)*6.56168,-2)),(ROUND((D$4+K14)*3.28084,-1)))</f>
        <v>3250</v>
      </c>
      <c r="I14" s="17">
        <f t="shared" si="1"/>
        <v>15.045438998485016</v>
      </c>
      <c r="J14" s="46">
        <v>5</v>
      </c>
      <c r="K14" s="38">
        <v>990</v>
      </c>
      <c r="L14" s="38">
        <f aca="true" t="shared" si="7" ref="L14:L29">ROUND(K14*3.2808,-1)</f>
        <v>3250</v>
      </c>
      <c r="M14" s="40">
        <f t="shared" si="3"/>
        <v>-1553.1108531649786</v>
      </c>
      <c r="N14" s="40">
        <f t="shared" si="4"/>
        <v>-1547.698913678799</v>
      </c>
      <c r="O14" s="41"/>
      <c r="P14" s="41"/>
    </row>
    <row r="15" spans="1:16" ht="12.75">
      <c r="A15" s="14">
        <v>360</v>
      </c>
      <c r="B15" s="58">
        <v>223.5</v>
      </c>
      <c r="C15" s="58">
        <v>24.1</v>
      </c>
      <c r="D15" s="35">
        <f t="shared" si="2"/>
        <v>1170</v>
      </c>
      <c r="E15" s="36">
        <f t="shared" si="5"/>
        <v>7.751519014209747</v>
      </c>
      <c r="F15" s="2">
        <f t="shared" si="6"/>
        <v>31.613252408576653</v>
      </c>
      <c r="G15" s="30">
        <f t="shared" si="0"/>
        <v>17.340148034787205</v>
      </c>
      <c r="H15" s="31">
        <f aca="true" t="shared" si="8" ref="H15:H29">IF(K15*3.28084&gt;5500,(0.5*ROUND((D$4+K15)*6.56168,-2)),(ROUND((D$4+K15)*3.28084,-1)))</f>
        <v>3840</v>
      </c>
      <c r="I15" s="17">
        <f t="shared" si="1"/>
        <v>15.068952963623747</v>
      </c>
      <c r="J15" s="46">
        <v>6</v>
      </c>
      <c r="K15" s="38">
        <v>1170</v>
      </c>
      <c r="L15" s="38">
        <f t="shared" si="7"/>
        <v>3840</v>
      </c>
      <c r="M15" s="40">
        <f t="shared" si="3"/>
        <v>-1800.4380352337896</v>
      </c>
      <c r="N15" s="40">
        <f t="shared" si="4"/>
        <v>-1897.2658183292733</v>
      </c>
      <c r="O15" s="41"/>
      <c r="P15" s="41"/>
    </row>
    <row r="16" spans="1:16" ht="12.75">
      <c r="A16" s="14">
        <v>420</v>
      </c>
      <c r="B16" s="58">
        <v>221.1</v>
      </c>
      <c r="C16" s="58">
        <v>23.5</v>
      </c>
      <c r="D16" s="35">
        <f t="shared" si="2"/>
        <v>1350</v>
      </c>
      <c r="E16" s="36">
        <f t="shared" si="5"/>
        <v>7.467463363724475</v>
      </c>
      <c r="F16" s="2">
        <f>IF((M17-M15)&gt;0,(4.712-ATAN((N17-N15)/(M17-M15)))/(PI()/180),(4.712-ATAN((N17-N15)/(M17-M15))-3.1416)/(PI()/180))</f>
        <v>22.937503498512555</v>
      </c>
      <c r="G16" s="30">
        <f t="shared" si="0"/>
        <v>16.704715544651652</v>
      </c>
      <c r="H16" s="31">
        <f t="shared" si="8"/>
        <v>4430</v>
      </c>
      <c r="I16" s="17">
        <f t="shared" si="1"/>
        <v>14.516748779080379</v>
      </c>
      <c r="J16" s="46">
        <v>7</v>
      </c>
      <c r="K16" s="38">
        <v>1350</v>
      </c>
      <c r="L16" s="38">
        <f t="shared" si="7"/>
        <v>4430</v>
      </c>
      <c r="M16" s="40">
        <f t="shared" si="3"/>
        <v>-2041.0104056991568</v>
      </c>
      <c r="N16" s="40">
        <f t="shared" si="4"/>
        <v>-2339.6541547342417</v>
      </c>
      <c r="O16" s="41"/>
      <c r="P16" s="41"/>
    </row>
    <row r="17" spans="1:16" ht="12.75">
      <c r="A17" s="14">
        <v>480</v>
      </c>
      <c r="B17" s="58">
        <v>218.3</v>
      </c>
      <c r="C17" s="58">
        <v>23.8</v>
      </c>
      <c r="D17" s="35">
        <f t="shared" si="2"/>
        <v>1530</v>
      </c>
      <c r="E17" s="36">
        <f t="shared" si="5"/>
        <v>6.2872216329850925</v>
      </c>
      <c r="F17" s="2">
        <f t="shared" si="6"/>
        <v>356.936999170556</v>
      </c>
      <c r="G17" s="30">
        <f t="shared" si="0"/>
        <v>14.064514792987653</v>
      </c>
      <c r="H17" s="31">
        <f t="shared" si="8"/>
        <v>5020</v>
      </c>
      <c r="I17" s="17">
        <f t="shared" si="1"/>
        <v>12.22235885452302</v>
      </c>
      <c r="J17" s="46">
        <v>8</v>
      </c>
      <c r="K17" s="38">
        <v>1530</v>
      </c>
      <c r="L17" s="38">
        <f t="shared" si="7"/>
        <v>5020</v>
      </c>
      <c r="M17" s="40">
        <f t="shared" si="3"/>
        <v>-2149.9975788637626</v>
      </c>
      <c r="N17" s="40">
        <f t="shared" si="4"/>
        <v>-2722.3691187302434</v>
      </c>
      <c r="O17" s="41"/>
      <c r="P17" s="41"/>
    </row>
    <row r="18" spans="1:16" ht="12.75">
      <c r="A18" s="14">
        <v>540</v>
      </c>
      <c r="B18" s="58">
        <v>212.9</v>
      </c>
      <c r="C18" s="58">
        <v>24.9</v>
      </c>
      <c r="D18" s="35">
        <f t="shared" si="2"/>
        <v>1710</v>
      </c>
      <c r="E18" s="36">
        <f t="shared" si="5"/>
        <v>5.627238718724109</v>
      </c>
      <c r="F18" s="2">
        <f t="shared" si="6"/>
        <v>316.77041266603504</v>
      </c>
      <c r="G18" s="30">
        <f t="shared" si="0"/>
        <v>12.588133013785832</v>
      </c>
      <c r="H18" s="31">
        <f t="shared" si="8"/>
        <v>5600</v>
      </c>
      <c r="I18" s="17">
        <f t="shared" si="1"/>
        <v>10.939352069199668</v>
      </c>
      <c r="J18" s="46">
        <v>9</v>
      </c>
      <c r="K18" s="38">
        <v>1710</v>
      </c>
      <c r="L18" s="38">
        <f t="shared" si="7"/>
        <v>5610</v>
      </c>
      <c r="M18" s="40">
        <f t="shared" si="3"/>
        <v>-2000.98930212518</v>
      </c>
      <c r="N18" s="40">
        <f t="shared" si="4"/>
        <v>-3093.0585320015175</v>
      </c>
      <c r="O18" s="41"/>
      <c r="P18" s="41"/>
    </row>
    <row r="19" spans="1:16" ht="12.75">
      <c r="A19" s="14">
        <v>600</v>
      </c>
      <c r="B19" s="58">
        <v>207.7</v>
      </c>
      <c r="C19" s="58">
        <v>27.5</v>
      </c>
      <c r="D19" s="35">
        <f t="shared" si="2"/>
        <v>1890</v>
      </c>
      <c r="E19" s="36">
        <f t="shared" si="5"/>
        <v>5.398868804546818</v>
      </c>
      <c r="F19" s="2">
        <f t="shared" si="6"/>
        <v>305.1218051614406</v>
      </c>
      <c r="G19" s="30">
        <f t="shared" si="0"/>
        <v>12.077269515771231</v>
      </c>
      <c r="H19" s="31">
        <f t="shared" si="8"/>
        <v>6200</v>
      </c>
      <c r="I19" s="17">
        <f t="shared" si="1"/>
        <v>10.495400956039013</v>
      </c>
      <c r="J19" s="46">
        <v>10</v>
      </c>
      <c r="K19" s="38">
        <v>1890</v>
      </c>
      <c r="L19" s="38">
        <f t="shared" si="7"/>
        <v>6200</v>
      </c>
      <c r="M19" s="40">
        <f t="shared" si="3"/>
        <v>-1687.6816646162267</v>
      </c>
      <c r="N19" s="40">
        <f t="shared" si="4"/>
        <v>-3214.559874471934</v>
      </c>
      <c r="O19" s="41"/>
      <c r="P19" s="41"/>
    </row>
    <row r="20" spans="1:16" ht="12.75">
      <c r="A20" s="14">
        <v>660</v>
      </c>
      <c r="B20" s="58">
        <v>203</v>
      </c>
      <c r="C20" s="58">
        <v>28.8</v>
      </c>
      <c r="D20" s="35">
        <f t="shared" si="2"/>
        <v>2070</v>
      </c>
      <c r="E20" s="36">
        <f t="shared" si="5"/>
        <v>4.578980922958945</v>
      </c>
      <c r="F20" s="2">
        <f t="shared" si="6"/>
        <v>319.16503377951466</v>
      </c>
      <c r="G20" s="30">
        <f t="shared" si="0"/>
        <v>10.24318032465916</v>
      </c>
      <c r="H20" s="31">
        <f t="shared" si="8"/>
        <v>6800</v>
      </c>
      <c r="I20" s="17">
        <f t="shared" si="1"/>
        <v>8.901538914232189</v>
      </c>
      <c r="J20" s="46">
        <v>11</v>
      </c>
      <c r="K20" s="38">
        <v>2070</v>
      </c>
      <c r="L20" s="38">
        <f t="shared" si="7"/>
        <v>6790</v>
      </c>
      <c r="M20" s="40">
        <f t="shared" si="3"/>
        <v>-1471.2261783447143</v>
      </c>
      <c r="N20" s="40">
        <f t="shared" si="4"/>
        <v>-3465.9916729152333</v>
      </c>
      <c r="O20" s="41"/>
      <c r="P20" s="41"/>
    </row>
    <row r="21" spans="1:16" ht="12.75">
      <c r="A21" s="14">
        <v>720</v>
      </c>
      <c r="B21" s="58">
        <v>200.1</v>
      </c>
      <c r="C21" s="58">
        <v>30.2</v>
      </c>
      <c r="D21" s="35">
        <f t="shared" si="2"/>
        <v>2250</v>
      </c>
      <c r="E21" s="36">
        <f t="shared" si="5"/>
        <v>2.3214223084329495</v>
      </c>
      <c r="F21" s="2">
        <f t="shared" si="6"/>
        <v>332.91083895089224</v>
      </c>
      <c r="G21" s="30">
        <f t="shared" si="0"/>
        <v>5.193021703964508</v>
      </c>
      <c r="H21" s="31">
        <f t="shared" si="8"/>
        <v>7400</v>
      </c>
      <c r="I21" s="17">
        <f t="shared" si="1"/>
        <v>4.5128449675936535</v>
      </c>
      <c r="J21" s="46">
        <v>12</v>
      </c>
      <c r="K21" s="38">
        <v>2250</v>
      </c>
      <c r="L21" s="38">
        <f t="shared" si="7"/>
        <v>7380</v>
      </c>
      <c r="M21" s="40">
        <f t="shared" si="3"/>
        <v>-1328.5495675691811</v>
      </c>
      <c r="N21" s="40">
        <f t="shared" si="4"/>
        <v>-3630.4323206465124</v>
      </c>
      <c r="O21" s="41"/>
      <c r="P21" s="41"/>
    </row>
    <row r="22" spans="1:16" ht="12.75">
      <c r="A22" s="14">
        <v>780</v>
      </c>
      <c r="B22" s="58">
        <v>199.9</v>
      </c>
      <c r="C22" s="58">
        <v>31.6</v>
      </c>
      <c r="D22" s="35">
        <f t="shared" si="2"/>
        <v>2430</v>
      </c>
      <c r="E22" s="36">
        <f t="shared" si="5"/>
        <v>1.9174978912448069</v>
      </c>
      <c r="F22" s="2">
        <f t="shared" si="6"/>
        <v>57.97525779911363</v>
      </c>
      <c r="G22" s="30">
        <f t="shared" si="0"/>
        <v>4.289442782714633</v>
      </c>
      <c r="H22" s="31">
        <f t="shared" si="8"/>
        <v>7950</v>
      </c>
      <c r="I22" s="17">
        <f t="shared" si="1"/>
        <v>3.7276159005799046</v>
      </c>
      <c r="J22" s="46">
        <v>13</v>
      </c>
      <c r="K22" s="38">
        <v>2430</v>
      </c>
      <c r="L22" s="38">
        <f t="shared" si="7"/>
        <v>7970</v>
      </c>
      <c r="M22" s="40">
        <f t="shared" si="3"/>
        <v>-1344.4681215485746</v>
      </c>
      <c r="N22" s="40">
        <f t="shared" si="4"/>
        <v>-3714.0521839365665</v>
      </c>
      <c r="O22" s="41"/>
      <c r="P22" s="41"/>
    </row>
    <row r="23" spans="1:16" ht="12.75">
      <c r="A23" s="14">
        <v>840</v>
      </c>
      <c r="B23" s="58">
        <v>202.1</v>
      </c>
      <c r="C23" s="58">
        <v>32.8</v>
      </c>
      <c r="D23" s="35">
        <f t="shared" si="2"/>
        <v>2610</v>
      </c>
      <c r="E23" s="36">
        <f t="shared" si="5"/>
        <v>2.6251707928978485</v>
      </c>
      <c r="F23" s="2">
        <f t="shared" si="6"/>
        <v>75.41154327799406</v>
      </c>
      <c r="G23" s="30">
        <f t="shared" si="0"/>
        <v>5.872507063712487</v>
      </c>
      <c r="H23" s="31">
        <f t="shared" si="8"/>
        <v>8550</v>
      </c>
      <c r="I23" s="17">
        <f t="shared" si="1"/>
        <v>5.103332021393418</v>
      </c>
      <c r="J23" s="46">
        <v>14</v>
      </c>
      <c r="K23" s="38">
        <v>2610</v>
      </c>
      <c r="L23" s="38">
        <f t="shared" si="7"/>
        <v>8560</v>
      </c>
      <c r="M23" s="40">
        <f t="shared" si="3"/>
        <v>-1523.6808903647075</v>
      </c>
      <c r="N23" s="40">
        <f t="shared" si="4"/>
        <v>-3752.373537674371</v>
      </c>
      <c r="O23" s="41"/>
      <c r="P23" s="41"/>
    </row>
    <row r="24" spans="1:16" ht="12.75">
      <c r="A24" s="14">
        <v>900</v>
      </c>
      <c r="B24" s="58">
        <v>203.5</v>
      </c>
      <c r="C24" s="58">
        <v>34</v>
      </c>
      <c r="D24" s="35">
        <f t="shared" si="2"/>
        <v>2790</v>
      </c>
      <c r="E24" s="36">
        <f t="shared" si="5"/>
        <v>1.9584264628811685</v>
      </c>
      <c r="F24" s="2">
        <f t="shared" si="6"/>
        <v>108.1231808569673</v>
      </c>
      <c r="G24" s="30">
        <f t="shared" si="0"/>
        <v>4.3809999974651745</v>
      </c>
      <c r="H24" s="31">
        <f t="shared" si="8"/>
        <v>9150</v>
      </c>
      <c r="I24" s="17">
        <f t="shared" si="1"/>
        <v>3.8071810438409917</v>
      </c>
      <c r="J24" s="46">
        <v>15</v>
      </c>
      <c r="K24" s="38">
        <v>2790</v>
      </c>
      <c r="L24" s="38">
        <f t="shared" si="7"/>
        <v>9150</v>
      </c>
      <c r="M24" s="40">
        <f t="shared" si="3"/>
        <v>-1649.3637582360318</v>
      </c>
      <c r="N24" s="40">
        <f t="shared" si="4"/>
        <v>-3793.276947060722</v>
      </c>
      <c r="O24" s="41"/>
      <c r="P24" s="41"/>
    </row>
    <row r="25" spans="1:16" ht="12.75">
      <c r="A25" s="14">
        <v>960</v>
      </c>
      <c r="B25" s="58">
        <v>205.4</v>
      </c>
      <c r="C25" s="58">
        <v>36.1</v>
      </c>
      <c r="D25" s="35">
        <f t="shared" si="2"/>
        <v>2970</v>
      </c>
      <c r="E25" s="36">
        <f t="shared" si="5"/>
        <v>1.6897664221537017</v>
      </c>
      <c r="F25" s="2">
        <f t="shared" si="6"/>
        <v>132.24725324963907</v>
      </c>
      <c r="G25" s="30">
        <f t="shared" si="0"/>
        <v>3.780007486357831</v>
      </c>
      <c r="H25" s="31">
        <f t="shared" si="8"/>
        <v>9750</v>
      </c>
      <c r="I25" s="17">
        <f t="shared" si="1"/>
        <v>3.2849059246667958</v>
      </c>
      <c r="J25" s="46">
        <v>16</v>
      </c>
      <c r="K25" s="38">
        <v>2970</v>
      </c>
      <c r="L25" s="38">
        <f t="shared" si="7"/>
        <v>9740</v>
      </c>
      <c r="M25" s="40">
        <f t="shared" si="3"/>
        <v>-1747.0041618708551</v>
      </c>
      <c r="N25" s="40">
        <f t="shared" si="4"/>
        <v>-3679.182219642912</v>
      </c>
      <c r="O25" s="41"/>
      <c r="P25" s="41"/>
    </row>
    <row r="26" spans="1:16" ht="12.75">
      <c r="A26" s="14">
        <v>1020</v>
      </c>
      <c r="B26" s="58">
        <v>206.2</v>
      </c>
      <c r="C26" s="58">
        <v>37.7</v>
      </c>
      <c r="D26" s="35">
        <f t="shared" si="2"/>
        <v>3150</v>
      </c>
      <c r="E26" s="36">
        <f t="shared" si="5"/>
        <v>0.742054521403224</v>
      </c>
      <c r="F26" s="2">
        <f t="shared" si="6"/>
        <v>310.8657968159798</v>
      </c>
      <c r="G26" s="30">
        <f t="shared" si="0"/>
        <v>1.6599759643790122</v>
      </c>
      <c r="H26" s="31">
        <f t="shared" si="8"/>
        <v>10350</v>
      </c>
      <c r="I26" s="17">
        <f t="shared" si="1"/>
        <v>1.4425539896078674</v>
      </c>
      <c r="J26" s="46">
        <v>17</v>
      </c>
      <c r="K26" s="38">
        <v>3150</v>
      </c>
      <c r="L26" s="38">
        <f t="shared" si="7"/>
        <v>10330</v>
      </c>
      <c r="M26" s="40">
        <f t="shared" si="3"/>
        <v>-1799.411739473527</v>
      </c>
      <c r="N26" s="40">
        <f t="shared" si="4"/>
        <v>-3656.8875214762534</v>
      </c>
      <c r="O26" s="41"/>
      <c r="P26" s="41"/>
    </row>
    <row r="27" spans="1:16" ht="12.75">
      <c r="A27" s="14">
        <v>1080</v>
      </c>
      <c r="B27" s="58">
        <v>204.2</v>
      </c>
      <c r="C27" s="58">
        <v>39.1</v>
      </c>
      <c r="D27" s="35">
        <f t="shared" si="2"/>
        <v>3330</v>
      </c>
      <c r="E27" s="36">
        <f t="shared" si="5"/>
        <v>4.142856780851744</v>
      </c>
      <c r="F27" s="2">
        <f t="shared" si="6"/>
        <v>291.6136211348067</v>
      </c>
      <c r="G27" s="30">
        <f t="shared" si="0"/>
        <v>9.267570618765353</v>
      </c>
      <c r="H27" s="31">
        <f t="shared" si="8"/>
        <v>10950</v>
      </c>
      <c r="I27" s="17">
        <f t="shared" si="1"/>
        <v>8.05371358197579</v>
      </c>
      <c r="J27" s="46">
        <v>18</v>
      </c>
      <c r="K27" s="38">
        <v>3330</v>
      </c>
      <c r="L27" s="38">
        <f t="shared" si="7"/>
        <v>10930</v>
      </c>
      <c r="M27" s="40">
        <f t="shared" si="3"/>
        <v>-1679.6858996033357</v>
      </c>
      <c r="N27" s="40">
        <f t="shared" si="4"/>
        <v>-3737.470625940091</v>
      </c>
      <c r="O27" s="41"/>
      <c r="P27" s="41"/>
    </row>
    <row r="28" spans="1:16" ht="12.75">
      <c r="A28" s="14">
        <v>1140</v>
      </c>
      <c r="B28" s="58">
        <v>199.2</v>
      </c>
      <c r="C28" s="58">
        <v>40.8</v>
      </c>
      <c r="D28" s="35">
        <f t="shared" si="2"/>
        <v>3510</v>
      </c>
      <c r="E28" s="36">
        <f t="shared" si="5"/>
        <v>7.494602923797222</v>
      </c>
      <c r="F28" s="2">
        <f t="shared" si="6"/>
        <v>287.91545985520776</v>
      </c>
      <c r="G28" s="30">
        <f t="shared" si="0"/>
        <v>16.765426740534387</v>
      </c>
      <c r="H28" s="31">
        <f t="shared" si="8"/>
        <v>11500</v>
      </c>
      <c r="I28" s="17">
        <f t="shared" si="1"/>
        <v>14.5695080838618</v>
      </c>
      <c r="J28" s="46">
        <v>19</v>
      </c>
      <c r="K28" s="38">
        <v>3510</v>
      </c>
      <c r="L28" s="38">
        <f t="shared" si="7"/>
        <v>11520</v>
      </c>
      <c r="M28" s="40">
        <f t="shared" si="3"/>
        <v>-1337.2948271666553</v>
      </c>
      <c r="N28" s="40">
        <f t="shared" si="4"/>
        <v>-3840.18764852398</v>
      </c>
      <c r="O28" s="41"/>
      <c r="P28" s="41"/>
    </row>
    <row r="29" spans="1:16" ht="12.75">
      <c r="A29" s="14">
        <v>1200</v>
      </c>
      <c r="B29" s="58">
        <v>191.6</v>
      </c>
      <c r="C29" s="58">
        <v>42</v>
      </c>
      <c r="D29" s="35">
        <f t="shared" si="2"/>
        <v>3690</v>
      </c>
      <c r="E29" s="36">
        <f t="shared" si="5"/>
        <v>9.03373756573027</v>
      </c>
      <c r="F29" s="2">
        <f t="shared" si="6"/>
        <v>288.7322504984298</v>
      </c>
      <c r="G29" s="30">
        <f t="shared" si="0"/>
        <v>20.208470934538614</v>
      </c>
      <c r="H29" s="31">
        <f t="shared" si="8"/>
        <v>12100</v>
      </c>
      <c r="I29" s="17">
        <f t="shared" si="1"/>
        <v>17.561585827779645</v>
      </c>
      <c r="J29" s="46">
        <v>20</v>
      </c>
      <c r="K29" s="38">
        <v>3690</v>
      </c>
      <c r="L29" s="38">
        <f t="shared" si="7"/>
        <v>12110</v>
      </c>
      <c r="M29" s="40">
        <f t="shared" si="3"/>
        <v>-824.0495294612138</v>
      </c>
      <c r="N29" s="40">
        <f t="shared" si="4"/>
        <v>-4014.456280947039</v>
      </c>
      <c r="O29" s="41"/>
      <c r="P29" s="41"/>
    </row>
    <row r="30" spans="1:14" ht="12.75">
      <c r="A30" s="57">
        <f>A29</f>
        <v>1200</v>
      </c>
      <c r="B30" s="57"/>
      <c r="C30" s="57"/>
      <c r="D30" s="57"/>
      <c r="E30" s="57"/>
      <c r="F30" s="57"/>
      <c r="G30" s="57"/>
      <c r="H30" s="57"/>
      <c r="I30" s="57"/>
      <c r="J30" s="57"/>
      <c r="K30" s="57"/>
      <c r="L30" s="57"/>
      <c r="M30" s="56">
        <f>M29</f>
        <v>-824.0495294612138</v>
      </c>
      <c r="N30" s="56">
        <f>N29</f>
        <v>-4014.456280947039</v>
      </c>
    </row>
    <row r="31" spans="1:14" ht="45" customHeight="1">
      <c r="A31" s="15" t="s">
        <v>22</v>
      </c>
      <c r="B31" s="10" t="s">
        <v>11</v>
      </c>
      <c r="C31" s="10" t="s">
        <v>10</v>
      </c>
      <c r="G31" s="8"/>
      <c r="H31" s="8"/>
      <c r="I31" s="8"/>
      <c r="J31" s="8"/>
      <c r="K31" s="8"/>
      <c r="L31" s="8"/>
      <c r="M31" s="8"/>
      <c r="N31" s="8"/>
    </row>
    <row r="32" spans="1:14" ht="15">
      <c r="A32" s="8"/>
      <c r="B32" s="43">
        <v>328</v>
      </c>
      <c r="C32" s="35">
        <f>B32/3.28084</f>
        <v>99.9743968008193</v>
      </c>
      <c r="G32" s="42"/>
      <c r="H32" s="8"/>
      <c r="I32" s="8"/>
      <c r="J32" s="8"/>
      <c r="K32" s="8"/>
      <c r="L32" s="8"/>
      <c r="M32" s="8"/>
      <c r="N32" s="8"/>
    </row>
  </sheetData>
  <sheetProtection password="DDCA" sheet="1" objects="1" scenarios="1"/>
  <dataValidations count="6">
    <dataValidation type="time" allowBlank="1" showInputMessage="1" showErrorMessage="1" errorTitle="Incorrect time format" error="Please enter a time from 00:00 to 23:59 &#10;" sqref="D6">
      <formula1>0</formula1>
      <formula2>0.9993055555555556</formula2>
    </dataValidation>
    <dataValidation type="date" allowBlank="1" showErrorMessage="1" errorTitle="Incorrect date entered" error="Please enter a date between 1-01-2005 and -12-30-2020" sqref="D5">
      <formula1>36891</formula1>
      <formula2>42733</formula2>
    </dataValidation>
    <dataValidation type="whole" allowBlank="1" showErrorMessage="1" errorTitle="Altitude Error" error="Please enter a valid station altitude&#10; between  -100 and 3000 &#10;&#10;This value is in meters above M.S.L." sqref="D4">
      <formula1>-100</formula1>
      <formula2>3000</formula2>
    </dataValidation>
    <dataValidation type="decimal" allowBlank="1" showErrorMessage="1" errorTitle="Azimuth Entry Error" error="Please Enter a value for Azimuth in degrees.&#10;Value of 0.0 and 359.9" sqref="B10:B29">
      <formula1>0</formula1>
      <formula2>359.9</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whole" allowBlank="1" showInputMessage="1" showErrorMessage="1" errorTitle="Altitude error" error="Please enter a station altitude between -300 and 10000 for calculation of station altitude in feet." sqref="B32">
      <formula1>-300</formula1>
      <formula2>10000</formula2>
    </dataValidation>
  </dataValidations>
  <printOptions gridLines="1"/>
  <pageMargins left="0.75" right="0.75" top="1" bottom="1" header="0.5" footer="0.5"/>
  <pageSetup orientation="portrait" paperSize="9"/>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P46"/>
  <sheetViews>
    <sheetView workbookViewId="0" topLeftCell="A1">
      <selection activeCell="F1" sqref="F1"/>
    </sheetView>
  </sheetViews>
  <sheetFormatPr defaultColWidth="9.00390625" defaultRowHeight="12.75"/>
  <cols>
    <col min="1" max="1" width="10.625" style="0" customWidth="1"/>
    <col min="2" max="2" width="9.375" style="0" customWidth="1"/>
    <col min="3" max="3" width="11.625" style="0" customWidth="1"/>
    <col min="4" max="4" width="11.125" style="0" customWidth="1"/>
    <col min="5" max="5" width="13.50390625" style="0" customWidth="1"/>
    <col min="6" max="6" width="11.875" style="0" customWidth="1"/>
    <col min="7" max="7" width="12.50390625" style="0" customWidth="1"/>
    <col min="8" max="8" width="11.875" style="0" customWidth="1"/>
    <col min="9" max="9" width="12.875" style="0" customWidth="1"/>
    <col min="10" max="10" width="8.50390625" style="0" customWidth="1"/>
    <col min="11" max="12" width="10.50390625" style="0" customWidth="1"/>
    <col min="13" max="13" width="8.625" style="8" customWidth="1"/>
    <col min="14" max="14" width="9.375" style="8" customWidth="1"/>
  </cols>
  <sheetData>
    <row r="1" ht="20.25">
      <c r="A1" s="19" t="s">
        <v>30</v>
      </c>
    </row>
    <row r="2" spans="1:10" ht="12.75">
      <c r="A2" s="10" t="s">
        <v>6</v>
      </c>
      <c r="D2" s="13" t="s">
        <v>21</v>
      </c>
      <c r="E2" s="5" t="s">
        <v>27</v>
      </c>
      <c r="F2" s="4" t="s">
        <v>40</v>
      </c>
      <c r="I2" s="8"/>
      <c r="J2" s="8"/>
    </row>
    <row r="3" spans="1:12" ht="12.75">
      <c r="A3" s="5" t="s">
        <v>0</v>
      </c>
      <c r="D3" s="13" t="s">
        <v>28</v>
      </c>
      <c r="E3" s="7" t="s">
        <v>7</v>
      </c>
      <c r="F3" s="5" t="s">
        <v>1</v>
      </c>
      <c r="G3" s="8"/>
      <c r="H3" s="8"/>
      <c r="I3" s="8"/>
      <c r="J3" s="8"/>
      <c r="K3" s="8"/>
      <c r="L3" s="8"/>
    </row>
    <row r="4" spans="1:12" ht="12.75">
      <c r="A4" s="10" t="s">
        <v>9</v>
      </c>
      <c r="D4" s="4">
        <v>0</v>
      </c>
      <c r="E4" s="7" t="s">
        <v>8</v>
      </c>
      <c r="F4" s="5" t="s">
        <v>4</v>
      </c>
      <c r="G4" s="8"/>
      <c r="H4" s="8"/>
      <c r="I4" s="8"/>
      <c r="J4" s="8"/>
      <c r="K4" s="8"/>
      <c r="L4" s="8"/>
    </row>
    <row r="5" spans="1:12" ht="12.75">
      <c r="A5" s="5" t="s">
        <v>38</v>
      </c>
      <c r="D5" s="3">
        <v>36910</v>
      </c>
      <c r="E5" s="10" t="s">
        <v>29</v>
      </c>
      <c r="F5" s="32">
        <v>130</v>
      </c>
      <c r="G5" s="33" t="s">
        <v>5</v>
      </c>
      <c r="I5" s="8"/>
      <c r="J5" s="8"/>
      <c r="K5" s="8"/>
      <c r="L5" s="9"/>
    </row>
    <row r="6" spans="1:14" ht="12.75">
      <c r="A6" s="5" t="s">
        <v>2</v>
      </c>
      <c r="D6" s="45">
        <v>0.9652777777777778</v>
      </c>
      <c r="E6" s="1"/>
      <c r="F6" s="27">
        <v>430</v>
      </c>
      <c r="G6" s="28" t="s">
        <v>3</v>
      </c>
      <c r="I6" s="8" t="s">
        <v>41</v>
      </c>
      <c r="J6" s="8"/>
      <c r="K6" s="8"/>
      <c r="L6" s="9"/>
      <c r="M6"/>
      <c r="N6"/>
    </row>
    <row r="7" spans="1:14" ht="9" customHeight="1">
      <c r="A7" s="20"/>
      <c r="B7" s="21"/>
      <c r="C7" s="21"/>
      <c r="D7" s="21"/>
      <c r="E7" s="21"/>
      <c r="F7" s="22"/>
      <c r="G7" s="23"/>
      <c r="H7" s="24"/>
      <c r="I7" s="21"/>
      <c r="J7" s="21"/>
      <c r="K7" s="21"/>
      <c r="L7" s="25"/>
      <c r="M7" s="21"/>
      <c r="N7" s="21"/>
    </row>
    <row r="8" spans="1:16" s="6" customFormat="1" ht="24" customHeight="1">
      <c r="A8" s="11" t="s">
        <v>13</v>
      </c>
      <c r="B8" s="11" t="s">
        <v>19</v>
      </c>
      <c r="C8" s="11" t="s">
        <v>20</v>
      </c>
      <c r="D8" s="34" t="s">
        <v>14</v>
      </c>
      <c r="E8" s="34" t="s">
        <v>12</v>
      </c>
      <c r="F8" s="12" t="s">
        <v>15</v>
      </c>
      <c r="G8" s="29" t="s">
        <v>16</v>
      </c>
      <c r="H8" s="29" t="s">
        <v>17</v>
      </c>
      <c r="I8" s="16" t="s">
        <v>18</v>
      </c>
      <c r="J8" s="11" t="s">
        <v>39</v>
      </c>
      <c r="K8" s="37" t="s">
        <v>25</v>
      </c>
      <c r="L8" s="37" t="s">
        <v>26</v>
      </c>
      <c r="M8" s="39" t="s">
        <v>23</v>
      </c>
      <c r="N8" s="39" t="s">
        <v>24</v>
      </c>
      <c r="O8"/>
      <c r="P8"/>
    </row>
    <row r="9" spans="1:14" ht="12.75">
      <c r="A9" s="51">
        <v>0</v>
      </c>
      <c r="B9" s="51">
        <v>0</v>
      </c>
      <c r="C9" s="51">
        <v>0</v>
      </c>
      <c r="D9" s="52">
        <f aca="true" t="shared" si="0" ref="D9:D29">H9*0.305</f>
        <v>0</v>
      </c>
      <c r="E9" s="53">
        <v>0</v>
      </c>
      <c r="F9" s="52">
        <v>0</v>
      </c>
      <c r="G9" s="53">
        <f aca="true" t="shared" si="1" ref="G9:G29">2.237*E9</f>
        <v>0</v>
      </c>
      <c r="H9" s="52">
        <f>D4+L9</f>
        <v>0</v>
      </c>
      <c r="I9" s="53">
        <f aca="true" t="shared" si="2" ref="I9:I29">1.944*E9</f>
        <v>0</v>
      </c>
      <c r="J9" s="54">
        <v>0</v>
      </c>
      <c r="K9" s="52">
        <f aca="true" t="shared" si="3" ref="K9:K29">L9*0.305</f>
        <v>0</v>
      </c>
      <c r="L9" s="52">
        <v>0</v>
      </c>
      <c r="M9" s="55">
        <v>0</v>
      </c>
      <c r="N9" s="55">
        <v>0</v>
      </c>
    </row>
    <row r="10" spans="1:16" ht="12.75">
      <c r="A10" s="14">
        <v>60</v>
      </c>
      <c r="B10" s="58">
        <v>230.3</v>
      </c>
      <c r="C10" s="58">
        <v>28.2</v>
      </c>
      <c r="D10" s="35">
        <f t="shared" si="0"/>
        <v>152.5</v>
      </c>
      <c r="E10" s="36">
        <f>SQRT(M11^2+N11^2)/((A11-A9))</f>
        <v>4.588972575445051</v>
      </c>
      <c r="F10" s="2">
        <f>IF(M11&gt;0,(4.712-ATAN(N11/M11))/(PI()/180),(4.712-ATAN(N11/M11)-3.1416)/(PI()/180))</f>
        <v>45.37729214734447</v>
      </c>
      <c r="G10" s="30">
        <f t="shared" si="1"/>
        <v>10.26553165127058</v>
      </c>
      <c r="H10" s="31">
        <f>D4+L10</f>
        <v>500</v>
      </c>
      <c r="I10" s="17">
        <f t="shared" si="2"/>
        <v>8.92096268666518</v>
      </c>
      <c r="J10" s="46">
        <v>1</v>
      </c>
      <c r="K10" s="38">
        <f t="shared" si="3"/>
        <v>152.5</v>
      </c>
      <c r="L10" s="38">
        <v>500</v>
      </c>
      <c r="M10" s="40">
        <f>COS((90-B10)*(PI()/180))*(K10/TAN((PI()/180)*C10))</f>
        <v>-218.82592618460646</v>
      </c>
      <c r="N10" s="40">
        <f>SIN((PI()/180)*(90-B10))*(K10/TAN((PI()/180)*C10))</f>
        <v>-181.6727841443198</v>
      </c>
      <c r="O10" s="41"/>
      <c r="P10" s="41"/>
    </row>
    <row r="11" spans="1:16" ht="12.75">
      <c r="A11" s="14">
        <v>120</v>
      </c>
      <c r="B11" s="58">
        <v>225.4</v>
      </c>
      <c r="C11" s="58">
        <v>28</v>
      </c>
      <c r="D11" s="35">
        <f t="shared" si="0"/>
        <v>292.8</v>
      </c>
      <c r="E11" s="36">
        <f aca="true" t="shared" si="4" ref="E11:E29">SQRT((M12-M10)^2+(N12-N10)^2)/((A12-A10))</f>
        <v>4.475789590704782</v>
      </c>
      <c r="F11" s="2">
        <f aca="true" t="shared" si="5" ref="F11:F29">IF((M12-M10)&gt;0,(4.712-ATAN((N12-N10)/(M12-M10)))/(PI()/180),(4.712-ATAN((N12-N10)/(M12-M10))-3.1416)/(PI()/180))</f>
        <v>39.11921048809603</v>
      </c>
      <c r="G11" s="30">
        <f t="shared" si="1"/>
        <v>10.012341314406598</v>
      </c>
      <c r="H11" s="31">
        <f>D4+L11</f>
        <v>960</v>
      </c>
      <c r="I11" s="17">
        <f t="shared" si="2"/>
        <v>8.700934964330095</v>
      </c>
      <c r="J11" s="46">
        <v>2</v>
      </c>
      <c r="K11" s="38">
        <f t="shared" si="3"/>
        <v>292.8</v>
      </c>
      <c r="L11" s="38">
        <v>960</v>
      </c>
      <c r="M11" s="40">
        <f aca="true" t="shared" si="6" ref="M11:M28">COS((90-B11)*(PI()/180))*(K11/TAN((PI()/180)*C11))</f>
        <v>-392.09615976663105</v>
      </c>
      <c r="N11" s="40">
        <f aca="true" t="shared" si="7" ref="N11:N28">SIN((PI()/180)*(90-B11))*(K11/TAN((PI()/180)*C11))</f>
        <v>-386.6593324751779</v>
      </c>
      <c r="O11" s="41"/>
      <c r="P11" s="41"/>
    </row>
    <row r="12" spans="1:16" ht="12.75">
      <c r="A12" s="14">
        <v>180</v>
      </c>
      <c r="B12" s="58">
        <v>223</v>
      </c>
      <c r="C12" s="58">
        <v>27.9</v>
      </c>
      <c r="D12" s="35">
        <f t="shared" si="0"/>
        <v>433.09999999999997</v>
      </c>
      <c r="E12" s="36">
        <f t="shared" si="4"/>
        <v>5.477462089212728</v>
      </c>
      <c r="F12" s="2">
        <f t="shared" si="5"/>
        <v>42.43687728649953</v>
      </c>
      <c r="G12" s="30">
        <f t="shared" si="1"/>
        <v>12.253082693568873</v>
      </c>
      <c r="H12" s="31">
        <f>D4+L12</f>
        <v>1420</v>
      </c>
      <c r="I12" s="17">
        <f t="shared" si="2"/>
        <v>10.648186301429543</v>
      </c>
      <c r="J12" s="46">
        <v>3</v>
      </c>
      <c r="K12" s="38">
        <f t="shared" si="3"/>
        <v>433.09999999999997</v>
      </c>
      <c r="L12" s="38">
        <v>1420</v>
      </c>
      <c r="M12" s="40">
        <f t="shared" si="6"/>
        <v>-557.8634451552907</v>
      </c>
      <c r="N12" s="40">
        <f t="shared" si="7"/>
        <v>-598.2353030511046</v>
      </c>
      <c r="O12" s="41"/>
      <c r="P12" s="41"/>
    </row>
    <row r="13" spans="1:16" ht="12.75">
      <c r="A13" s="14">
        <v>240</v>
      </c>
      <c r="B13" s="58">
        <v>223.8</v>
      </c>
      <c r="C13" s="58">
        <v>25.4</v>
      </c>
      <c r="D13" s="35">
        <f t="shared" si="0"/>
        <v>573.4</v>
      </c>
      <c r="E13" s="36">
        <f t="shared" si="4"/>
        <v>6.140216707903311</v>
      </c>
      <c r="F13" s="2">
        <f t="shared" si="5"/>
        <v>47.40871762586972</v>
      </c>
      <c r="G13" s="30">
        <f t="shared" si="1"/>
        <v>13.735664775579707</v>
      </c>
      <c r="H13" s="31">
        <f>D4+L13</f>
        <v>1880</v>
      </c>
      <c r="I13" s="17">
        <f t="shared" si="2"/>
        <v>11.936581280164036</v>
      </c>
      <c r="J13" s="46">
        <v>4</v>
      </c>
      <c r="K13" s="38">
        <f t="shared" si="3"/>
        <v>573.4</v>
      </c>
      <c r="L13" s="38">
        <v>1880</v>
      </c>
      <c r="M13" s="40">
        <f t="shared" si="6"/>
        <v>-835.8165894947005</v>
      </c>
      <c r="N13" s="40">
        <f t="shared" si="7"/>
        <v>-871.5814806186917</v>
      </c>
      <c r="O13" s="41"/>
      <c r="P13" s="41"/>
    </row>
    <row r="14" spans="1:16" ht="12.75">
      <c r="A14" s="14">
        <v>300</v>
      </c>
      <c r="B14" s="58">
        <v>225.1</v>
      </c>
      <c r="C14" s="58">
        <v>24.3</v>
      </c>
      <c r="D14" s="35">
        <f t="shared" si="0"/>
        <v>701.5</v>
      </c>
      <c r="E14" s="36">
        <f t="shared" si="4"/>
        <v>5.392198991921361</v>
      </c>
      <c r="F14" s="2">
        <f t="shared" si="5"/>
        <v>42.9174132846473</v>
      </c>
      <c r="G14" s="30">
        <f t="shared" si="1"/>
        <v>12.062349144928085</v>
      </c>
      <c r="H14" s="31">
        <f>D4+L14</f>
        <v>2300</v>
      </c>
      <c r="I14" s="17">
        <f t="shared" si="2"/>
        <v>10.482434840295126</v>
      </c>
      <c r="J14" s="46">
        <v>5</v>
      </c>
      <c r="K14" s="38">
        <f t="shared" si="3"/>
        <v>701.5</v>
      </c>
      <c r="L14" s="38">
        <v>2300</v>
      </c>
      <c r="M14" s="40">
        <f t="shared" si="6"/>
        <v>-1100.5123873689217</v>
      </c>
      <c r="N14" s="40">
        <f t="shared" si="7"/>
        <v>-1096.6775635814924</v>
      </c>
      <c r="O14" s="41"/>
      <c r="P14" s="41"/>
    </row>
    <row r="15" spans="1:16" ht="12.75">
      <c r="A15" s="14">
        <v>360</v>
      </c>
      <c r="B15" s="58">
        <v>223.5</v>
      </c>
      <c r="C15" s="58">
        <v>24.1</v>
      </c>
      <c r="D15" s="35">
        <f t="shared" si="0"/>
        <v>829.6</v>
      </c>
      <c r="E15" s="36">
        <f t="shared" si="4"/>
        <v>5.513584667176642</v>
      </c>
      <c r="F15" s="2">
        <f t="shared" si="5"/>
        <v>31.649572744767262</v>
      </c>
      <c r="G15" s="30">
        <f t="shared" si="1"/>
        <v>12.333888900474149</v>
      </c>
      <c r="H15" s="31">
        <f>D4+L15</f>
        <v>2720</v>
      </c>
      <c r="I15" s="17">
        <f t="shared" si="2"/>
        <v>10.718408592991391</v>
      </c>
      <c r="J15" s="46">
        <v>6</v>
      </c>
      <c r="K15" s="38">
        <f t="shared" si="3"/>
        <v>829.6</v>
      </c>
      <c r="L15" s="38">
        <v>2720</v>
      </c>
      <c r="M15" s="40">
        <f t="shared" si="6"/>
        <v>-1276.6182854956853</v>
      </c>
      <c r="N15" s="40">
        <f t="shared" si="7"/>
        <v>-1345.274976825611</v>
      </c>
      <c r="O15" s="41"/>
      <c r="P15" s="41"/>
    </row>
    <row r="16" spans="1:16" ht="12.75">
      <c r="A16" s="14">
        <v>420</v>
      </c>
      <c r="B16" s="58">
        <v>221.1</v>
      </c>
      <c r="C16" s="58">
        <v>23.5</v>
      </c>
      <c r="D16" s="35">
        <f t="shared" si="0"/>
        <v>957.6999999999999</v>
      </c>
      <c r="E16" s="36">
        <f t="shared" si="4"/>
        <v>5.311980140838262</v>
      </c>
      <c r="F16" s="2">
        <f t="shared" si="5"/>
        <v>22.988098441639895</v>
      </c>
      <c r="G16" s="30">
        <f t="shared" si="1"/>
        <v>11.882899575055193</v>
      </c>
      <c r="H16" s="31">
        <f>D4+L16</f>
        <v>3140</v>
      </c>
      <c r="I16" s="17">
        <f t="shared" si="2"/>
        <v>10.326489393789581</v>
      </c>
      <c r="J16" s="46">
        <v>7</v>
      </c>
      <c r="K16" s="38">
        <f t="shared" si="3"/>
        <v>957.6999999999999</v>
      </c>
      <c r="L16" s="38">
        <v>3140</v>
      </c>
      <c r="M16" s="40">
        <f t="shared" si="6"/>
        <v>-1447.9079003985794</v>
      </c>
      <c r="N16" s="40">
        <f t="shared" si="7"/>
        <v>-1659.7679881399874</v>
      </c>
      <c r="O16" s="41"/>
      <c r="P16" s="41"/>
    </row>
    <row r="17" spans="1:16" ht="12.75">
      <c r="A17" s="14">
        <v>480</v>
      </c>
      <c r="B17" s="58">
        <v>218.3</v>
      </c>
      <c r="C17" s="58">
        <v>23.8</v>
      </c>
      <c r="D17" s="35">
        <f t="shared" si="0"/>
        <v>1085.8</v>
      </c>
      <c r="E17" s="36">
        <f t="shared" si="4"/>
        <v>4.472031524190472</v>
      </c>
      <c r="F17" s="2">
        <f t="shared" si="5"/>
        <v>357.04680216466824</v>
      </c>
      <c r="G17" s="30">
        <f t="shared" si="1"/>
        <v>10.003934519614086</v>
      </c>
      <c r="H17" s="31">
        <f>D4+L17</f>
        <v>3560</v>
      </c>
      <c r="I17" s="17">
        <f t="shared" si="2"/>
        <v>8.693629283026278</v>
      </c>
      <c r="J17" s="46">
        <v>8</v>
      </c>
      <c r="K17" s="38">
        <f t="shared" si="3"/>
        <v>1085.8</v>
      </c>
      <c r="L17" s="38">
        <v>3560</v>
      </c>
      <c r="M17" s="40">
        <f t="shared" si="6"/>
        <v>-1525.7956674054071</v>
      </c>
      <c r="N17" s="40">
        <f t="shared" si="7"/>
        <v>-1931.9924111877765</v>
      </c>
      <c r="O17" s="41"/>
      <c r="P17" s="41"/>
    </row>
    <row r="18" spans="1:16" ht="12.75">
      <c r="A18" s="14">
        <v>540</v>
      </c>
      <c r="B18" s="58">
        <v>212.9</v>
      </c>
      <c r="C18" s="58">
        <v>24.9</v>
      </c>
      <c r="D18" s="35">
        <f t="shared" si="0"/>
        <v>1213.8999999999999</v>
      </c>
      <c r="E18" s="36">
        <f t="shared" si="4"/>
        <v>3.9972730358730315</v>
      </c>
      <c r="F18" s="2">
        <f t="shared" si="5"/>
        <v>316.9260234988445</v>
      </c>
      <c r="G18" s="30">
        <f t="shared" si="1"/>
        <v>8.941899781247972</v>
      </c>
      <c r="H18" s="31">
        <f>D4+L18</f>
        <v>3980</v>
      </c>
      <c r="I18" s="17">
        <f t="shared" si="2"/>
        <v>7.770698781737173</v>
      </c>
      <c r="J18" s="46">
        <v>9</v>
      </c>
      <c r="K18" s="38">
        <f t="shared" si="3"/>
        <v>1213.8999999999999</v>
      </c>
      <c r="L18" s="38">
        <f>L17+420</f>
        <v>3980</v>
      </c>
      <c r="M18" s="40">
        <f t="shared" si="6"/>
        <v>-1420.468370672372</v>
      </c>
      <c r="N18" s="40">
        <f t="shared" si="7"/>
        <v>-2195.709796489264</v>
      </c>
      <c r="O18" s="41"/>
      <c r="P18" s="41"/>
    </row>
    <row r="19" spans="1:16" ht="12.75">
      <c r="A19" s="14">
        <v>600</v>
      </c>
      <c r="B19" s="58">
        <v>207.7</v>
      </c>
      <c r="C19" s="58">
        <v>27.5</v>
      </c>
      <c r="D19" s="35">
        <f t="shared" si="0"/>
        <v>1342</v>
      </c>
      <c r="E19" s="36">
        <f t="shared" si="4"/>
        <v>3.834624795134839</v>
      </c>
      <c r="F19" s="2">
        <f t="shared" si="5"/>
        <v>305.26398141838285</v>
      </c>
      <c r="G19" s="30">
        <f t="shared" si="1"/>
        <v>8.578055666716635</v>
      </c>
      <c r="H19" s="31">
        <f>D4+L19</f>
        <v>4400</v>
      </c>
      <c r="I19" s="17">
        <f t="shared" si="2"/>
        <v>7.454510601742127</v>
      </c>
      <c r="J19" s="46">
        <v>10</v>
      </c>
      <c r="K19" s="38">
        <f t="shared" si="3"/>
        <v>1342</v>
      </c>
      <c r="L19" s="38">
        <f aca="true" t="shared" si="8" ref="L19:L29">L18+420</f>
        <v>4400</v>
      </c>
      <c r="M19" s="40">
        <f t="shared" si="6"/>
        <v>-1198.343277203691</v>
      </c>
      <c r="N19" s="40">
        <f t="shared" si="7"/>
        <v>-2282.507593408114</v>
      </c>
      <c r="O19" s="41"/>
      <c r="P19" s="41"/>
    </row>
    <row r="20" spans="1:16" ht="12.75">
      <c r="A20" s="14">
        <v>660</v>
      </c>
      <c r="B20" s="58">
        <v>203</v>
      </c>
      <c r="C20" s="58">
        <v>28.8</v>
      </c>
      <c r="D20" s="35">
        <f t="shared" si="0"/>
        <v>1470.1</v>
      </c>
      <c r="E20" s="36">
        <f t="shared" si="4"/>
        <v>3.255370639674117</v>
      </c>
      <c r="F20" s="2">
        <f t="shared" si="5"/>
        <v>319.2929719684493</v>
      </c>
      <c r="G20" s="30">
        <f t="shared" si="1"/>
        <v>7.282264120951</v>
      </c>
      <c r="H20" s="31">
        <f>D4+L20</f>
        <v>4820</v>
      </c>
      <c r="I20" s="17">
        <f t="shared" si="2"/>
        <v>6.328440523526483</v>
      </c>
      <c r="J20" s="46">
        <v>11</v>
      </c>
      <c r="K20" s="38">
        <f t="shared" si="3"/>
        <v>1470.1</v>
      </c>
      <c r="L20" s="38">
        <f t="shared" si="8"/>
        <v>4820</v>
      </c>
      <c r="M20" s="40">
        <f t="shared" si="6"/>
        <v>-1044.8548815384368</v>
      </c>
      <c r="N20" s="40">
        <f t="shared" si="7"/>
        <v>-2461.5238446148232</v>
      </c>
      <c r="O20" s="41"/>
      <c r="P20" s="41"/>
    </row>
    <row r="21" spans="1:16" ht="12.75">
      <c r="A21" s="14">
        <v>720</v>
      </c>
      <c r="B21" s="58">
        <v>200.1</v>
      </c>
      <c r="C21" s="58">
        <v>30.2</v>
      </c>
      <c r="D21" s="35">
        <f t="shared" si="0"/>
        <v>1598.2</v>
      </c>
      <c r="E21" s="36">
        <f t="shared" si="4"/>
        <v>1.6535700127445272</v>
      </c>
      <c r="F21" s="2">
        <f t="shared" si="5"/>
        <v>333.0928197140403</v>
      </c>
      <c r="G21" s="30">
        <f t="shared" si="1"/>
        <v>3.6990361185095075</v>
      </c>
      <c r="H21" s="31">
        <f>D4+L21</f>
        <v>5240</v>
      </c>
      <c r="I21" s="17">
        <f t="shared" si="2"/>
        <v>3.214540104775361</v>
      </c>
      <c r="J21" s="46">
        <v>12</v>
      </c>
      <c r="K21" s="38">
        <f t="shared" si="3"/>
        <v>1598.2</v>
      </c>
      <c r="L21" s="38">
        <f t="shared" si="8"/>
        <v>5240</v>
      </c>
      <c r="M21" s="40">
        <f t="shared" si="6"/>
        <v>-943.6835195062512</v>
      </c>
      <c r="N21" s="40">
        <f t="shared" si="7"/>
        <v>-2578.736415492114</v>
      </c>
      <c r="O21" s="41"/>
      <c r="P21" s="41"/>
    </row>
    <row r="22" spans="1:16" ht="12.75">
      <c r="A22" s="14">
        <v>780</v>
      </c>
      <c r="B22" s="58">
        <v>199.9</v>
      </c>
      <c r="C22" s="58">
        <v>31.6</v>
      </c>
      <c r="D22" s="35">
        <f t="shared" si="0"/>
        <v>1726.3</v>
      </c>
      <c r="E22" s="36">
        <f t="shared" si="4"/>
        <v>1.3671367460221413</v>
      </c>
      <c r="F22" s="2">
        <f t="shared" si="5"/>
        <v>57.82019462107907</v>
      </c>
      <c r="G22" s="30">
        <f t="shared" si="1"/>
        <v>3.0582849008515303</v>
      </c>
      <c r="H22" s="31">
        <f>D4+L22</f>
        <v>5660</v>
      </c>
      <c r="I22" s="17">
        <f t="shared" si="2"/>
        <v>2.6577138342670428</v>
      </c>
      <c r="J22" s="46">
        <v>13</v>
      </c>
      <c r="K22" s="38">
        <f t="shared" si="3"/>
        <v>1726.3</v>
      </c>
      <c r="L22" s="38">
        <f t="shared" si="8"/>
        <v>5660</v>
      </c>
      <c r="M22" s="40">
        <f t="shared" si="6"/>
        <v>-955.1256453618537</v>
      </c>
      <c r="N22" s="40">
        <f t="shared" si="7"/>
        <v>-2638.5054671315615</v>
      </c>
      <c r="O22" s="41"/>
      <c r="P22" s="41"/>
    </row>
    <row r="23" spans="1:16" ht="12.75">
      <c r="A23" s="14">
        <v>840</v>
      </c>
      <c r="B23" s="58">
        <v>202.1</v>
      </c>
      <c r="C23" s="58">
        <v>32.8</v>
      </c>
      <c r="D23" s="35">
        <f t="shared" si="0"/>
        <v>1854.3999999999999</v>
      </c>
      <c r="E23" s="36">
        <f t="shared" si="4"/>
        <v>1.8683987148735741</v>
      </c>
      <c r="F23" s="2">
        <f t="shared" si="5"/>
        <v>75.27676398573198</v>
      </c>
      <c r="G23" s="30">
        <f t="shared" si="1"/>
        <v>4.179607925172186</v>
      </c>
      <c r="H23" s="31">
        <f>D4+L23</f>
        <v>6080</v>
      </c>
      <c r="I23" s="17">
        <f t="shared" si="2"/>
        <v>3.632167101714228</v>
      </c>
      <c r="J23" s="46">
        <v>14</v>
      </c>
      <c r="K23" s="38">
        <f t="shared" si="3"/>
        <v>1854.3999999999999</v>
      </c>
      <c r="L23" s="38">
        <f t="shared" si="8"/>
        <v>6080</v>
      </c>
      <c r="M23" s="40">
        <f t="shared" si="6"/>
        <v>-1082.572353675216</v>
      </c>
      <c r="N23" s="40">
        <f t="shared" si="7"/>
        <v>-2666.054210062588</v>
      </c>
      <c r="O23" s="41"/>
      <c r="P23" s="41"/>
    </row>
    <row r="24" spans="1:16" ht="12.75">
      <c r="A24" s="14">
        <v>900</v>
      </c>
      <c r="B24" s="58">
        <v>203.5</v>
      </c>
      <c r="C24" s="58">
        <v>34</v>
      </c>
      <c r="D24" s="35">
        <f t="shared" si="0"/>
        <v>1982.5</v>
      </c>
      <c r="E24" s="36">
        <f t="shared" si="4"/>
        <v>1.392073473107732</v>
      </c>
      <c r="F24" s="2">
        <f t="shared" si="5"/>
        <v>107.92689109216757</v>
      </c>
      <c r="G24" s="30">
        <f t="shared" si="1"/>
        <v>3.1140683593419967</v>
      </c>
      <c r="H24" s="31">
        <f>D4+L24</f>
        <v>6500</v>
      </c>
      <c r="I24" s="17">
        <f t="shared" si="2"/>
        <v>2.7061908317214307</v>
      </c>
      <c r="J24" s="46">
        <v>15</v>
      </c>
      <c r="K24" s="38">
        <f t="shared" si="3"/>
        <v>1982.5</v>
      </c>
      <c r="L24" s="38">
        <f t="shared" si="8"/>
        <v>6500</v>
      </c>
      <c r="M24" s="40">
        <f t="shared" si="6"/>
        <v>-1171.9941400368934</v>
      </c>
      <c r="N24" s="40">
        <f t="shared" si="7"/>
        <v>-2695.4019883684164</v>
      </c>
      <c r="O24" s="41"/>
      <c r="P24" s="41"/>
    </row>
    <row r="25" spans="1:16" ht="12.75">
      <c r="A25" s="14">
        <v>960</v>
      </c>
      <c r="B25" s="58">
        <v>205.4</v>
      </c>
      <c r="C25" s="58">
        <v>36.1</v>
      </c>
      <c r="D25" s="35">
        <f t="shared" si="0"/>
        <v>2110.6</v>
      </c>
      <c r="E25" s="36">
        <f t="shared" si="4"/>
        <v>1.1995355487475696</v>
      </c>
      <c r="F25" s="2">
        <f t="shared" si="5"/>
        <v>132.05249314743628</v>
      </c>
      <c r="G25" s="30">
        <f t="shared" si="1"/>
        <v>2.6833610225483135</v>
      </c>
      <c r="H25" s="31">
        <f>D4+L25</f>
        <v>6920</v>
      </c>
      <c r="I25" s="17">
        <f t="shared" si="2"/>
        <v>2.3318971067652754</v>
      </c>
      <c r="J25" s="46">
        <v>16</v>
      </c>
      <c r="K25" s="38">
        <f t="shared" si="3"/>
        <v>2110.6</v>
      </c>
      <c r="L25" s="38">
        <f t="shared" si="8"/>
        <v>6920</v>
      </c>
      <c r="M25" s="40">
        <f t="shared" si="6"/>
        <v>-1241.4905670183928</v>
      </c>
      <c r="N25" s="40">
        <f t="shared" si="7"/>
        <v>-2614.573061541525</v>
      </c>
      <c r="O25" s="41"/>
      <c r="P25" s="41"/>
    </row>
    <row r="26" spans="1:16" ht="12.75">
      <c r="A26" s="14">
        <v>1020</v>
      </c>
      <c r="B26" s="58">
        <v>206.2</v>
      </c>
      <c r="C26" s="58">
        <v>37.7</v>
      </c>
      <c r="D26" s="35">
        <f t="shared" si="0"/>
        <v>2238.7</v>
      </c>
      <c r="E26" s="36">
        <f t="shared" si="4"/>
        <v>0.5284345113527996</v>
      </c>
      <c r="F26" s="2">
        <f t="shared" si="5"/>
        <v>311.25952197161763</v>
      </c>
      <c r="G26" s="30">
        <f t="shared" si="1"/>
        <v>1.182108001896213</v>
      </c>
      <c r="H26" s="31">
        <f>D4+L26</f>
        <v>7340</v>
      </c>
      <c r="I26" s="17">
        <f t="shared" si="2"/>
        <v>1.0272766900698425</v>
      </c>
      <c r="J26" s="46">
        <v>17</v>
      </c>
      <c r="K26" s="38">
        <f t="shared" si="3"/>
        <v>2238.7</v>
      </c>
      <c r="L26" s="38">
        <f t="shared" si="8"/>
        <v>7340</v>
      </c>
      <c r="M26" s="40">
        <f t="shared" si="6"/>
        <v>-1278.839067034725</v>
      </c>
      <c r="N26" s="40">
        <f t="shared" si="7"/>
        <v>-2598.944156929805</v>
      </c>
      <c r="O26" s="41"/>
      <c r="P26" s="41"/>
    </row>
    <row r="27" spans="1:16" ht="12.75">
      <c r="A27" s="14">
        <v>1080</v>
      </c>
      <c r="B27" s="58">
        <v>204.2</v>
      </c>
      <c r="C27" s="58">
        <v>39.1</v>
      </c>
      <c r="D27" s="35">
        <f t="shared" si="0"/>
        <v>2366.7999999999997</v>
      </c>
      <c r="E27" s="36">
        <f t="shared" si="4"/>
        <v>2.94446668478992</v>
      </c>
      <c r="F27" s="2">
        <f t="shared" si="5"/>
        <v>291.67904470348674</v>
      </c>
      <c r="G27" s="30">
        <f t="shared" si="1"/>
        <v>6.586771973875051</v>
      </c>
      <c r="H27" s="31">
        <f>D4+L27</f>
        <v>7760</v>
      </c>
      <c r="I27" s="17">
        <f t="shared" si="2"/>
        <v>5.724043235231605</v>
      </c>
      <c r="J27" s="46">
        <v>18</v>
      </c>
      <c r="K27" s="38">
        <f t="shared" si="3"/>
        <v>2366.7999999999997</v>
      </c>
      <c r="L27" s="38">
        <f t="shared" si="8"/>
        <v>7760</v>
      </c>
      <c r="M27" s="40">
        <f t="shared" si="6"/>
        <v>-1193.8380141685209</v>
      </c>
      <c r="N27" s="40">
        <f t="shared" si="7"/>
        <v>-2656.4100532957973</v>
      </c>
      <c r="O27" s="41"/>
      <c r="P27" s="41"/>
    </row>
    <row r="28" spans="1:16" ht="12.75">
      <c r="A28" s="14">
        <v>1140</v>
      </c>
      <c r="B28" s="58">
        <v>199.2</v>
      </c>
      <c r="C28" s="58">
        <v>40.8</v>
      </c>
      <c r="D28" s="35">
        <f t="shared" si="0"/>
        <v>2494.9</v>
      </c>
      <c r="E28" s="36">
        <f t="shared" si="4"/>
        <v>5.3271323906926</v>
      </c>
      <c r="F28" s="2">
        <f t="shared" si="5"/>
        <v>287.9480815283059</v>
      </c>
      <c r="G28" s="30">
        <f t="shared" si="1"/>
        <v>11.916795157979346</v>
      </c>
      <c r="H28" s="31">
        <f>D4+L28</f>
        <v>8180</v>
      </c>
      <c r="I28" s="17">
        <f t="shared" si="2"/>
        <v>10.355945367506413</v>
      </c>
      <c r="J28" s="46">
        <v>19</v>
      </c>
      <c r="K28" s="38">
        <f t="shared" si="3"/>
        <v>2494.9</v>
      </c>
      <c r="L28" s="38">
        <f t="shared" si="8"/>
        <v>8180</v>
      </c>
      <c r="M28" s="40">
        <f t="shared" si="6"/>
        <v>-950.5461151846405</v>
      </c>
      <c r="N28" s="40">
        <f t="shared" si="7"/>
        <v>-2729.596628006404</v>
      </c>
      <c r="O28" s="41"/>
      <c r="P28" s="41"/>
    </row>
    <row r="29" spans="1:16" ht="12.75">
      <c r="A29" s="14">
        <v>1200</v>
      </c>
      <c r="B29" s="58">
        <v>191.6</v>
      </c>
      <c r="C29" s="58">
        <v>42</v>
      </c>
      <c r="D29" s="35">
        <f t="shared" si="0"/>
        <v>2623</v>
      </c>
      <c r="E29" s="36">
        <f t="shared" si="4"/>
        <v>6.421521298373955</v>
      </c>
      <c r="F29" s="2">
        <f t="shared" si="5"/>
        <v>288.75788155679186</v>
      </c>
      <c r="G29" s="30">
        <f t="shared" si="1"/>
        <v>14.364943144462538</v>
      </c>
      <c r="H29" s="31">
        <f>D4+L29</f>
        <v>8600</v>
      </c>
      <c r="I29" s="17">
        <f t="shared" si="2"/>
        <v>12.483437404038968</v>
      </c>
      <c r="J29" s="46">
        <v>20</v>
      </c>
      <c r="K29" s="38">
        <f t="shared" si="3"/>
        <v>2623</v>
      </c>
      <c r="L29" s="38">
        <f t="shared" si="8"/>
        <v>8600</v>
      </c>
      <c r="M29" s="40">
        <f>COS((90-B29)*(PI()/180))*(K29/TAN((PI()/180)*C29))</f>
        <v>-585.7674568500714</v>
      </c>
      <c r="N29" s="40">
        <f>SIN((PI()/180)*(90-B29))*(K29/TAN((PI()/180)*C29))</f>
        <v>-2853.636537919806</v>
      </c>
      <c r="O29" s="41"/>
      <c r="P29" s="41"/>
    </row>
    <row r="30" spans="1:14" ht="12.75">
      <c r="A30" s="57">
        <f>A29</f>
        <v>1200</v>
      </c>
      <c r="B30" s="26"/>
      <c r="C30" s="26"/>
      <c r="D30" s="26"/>
      <c r="E30" s="26"/>
      <c r="F30" s="26"/>
      <c r="G30" s="26"/>
      <c r="H30" s="26"/>
      <c r="I30" s="26"/>
      <c r="J30" s="26"/>
      <c r="K30" s="26"/>
      <c r="L30" s="26"/>
      <c r="M30" s="56">
        <f>M29</f>
        <v>-585.7674568500714</v>
      </c>
      <c r="N30" s="56">
        <f>N29</f>
        <v>-2853.636537919806</v>
      </c>
    </row>
    <row r="31" spans="1:12" ht="39">
      <c r="A31" s="15" t="s">
        <v>22</v>
      </c>
      <c r="B31" s="10" t="s">
        <v>10</v>
      </c>
      <c r="C31" s="10" t="s">
        <v>11</v>
      </c>
      <c r="D31" s="10"/>
      <c r="G31" s="8"/>
      <c r="H31" s="8"/>
      <c r="I31" s="8"/>
      <c r="J31" s="8"/>
      <c r="K31" s="38"/>
      <c r="L31" s="8"/>
    </row>
    <row r="32" spans="1:12" ht="12.75">
      <c r="A32" s="8"/>
      <c r="B32" s="59">
        <v>50</v>
      </c>
      <c r="C32" s="18">
        <f>3.2801*B32</f>
        <v>164.005</v>
      </c>
      <c r="D32" s="8"/>
      <c r="G32" s="8"/>
      <c r="H32" s="8"/>
      <c r="I32" s="8"/>
      <c r="J32" s="8"/>
      <c r="K32" s="8"/>
      <c r="L32" s="8"/>
    </row>
    <row r="33" spans="6:12" ht="12.75">
      <c r="F33" s="5"/>
      <c r="G33" s="8"/>
      <c r="H33" s="8"/>
      <c r="I33" s="8"/>
      <c r="J33" s="8"/>
      <c r="K33" s="8"/>
      <c r="L33" s="8"/>
    </row>
    <row r="34" spans="6:12" ht="12.75">
      <c r="F34" s="8"/>
      <c r="G34" s="8"/>
      <c r="H34" s="8"/>
      <c r="I34" s="8"/>
      <c r="J34" s="8"/>
      <c r="K34" s="8"/>
      <c r="L34" s="8"/>
    </row>
    <row r="35" ht="12.75">
      <c r="K35" s="8"/>
    </row>
    <row r="36" ht="12.75">
      <c r="K36" s="8"/>
    </row>
    <row r="37" ht="12.75">
      <c r="K37" s="8"/>
    </row>
    <row r="38" ht="12.75">
      <c r="K38" s="8"/>
    </row>
    <row r="39" ht="12.75">
      <c r="K39" s="8"/>
    </row>
    <row r="40" ht="12.75">
      <c r="K40" s="8"/>
    </row>
    <row r="41" ht="12.75">
      <c r="K41" s="8"/>
    </row>
    <row r="42" ht="12.75">
      <c r="K42" s="8"/>
    </row>
    <row r="43" ht="12.75">
      <c r="K43" s="8"/>
    </row>
    <row r="44" ht="12.75">
      <c r="K44" s="8"/>
    </row>
    <row r="45" ht="12.75">
      <c r="K45" s="8"/>
    </row>
    <row r="46" ht="12.75">
      <c r="K46" s="8"/>
    </row>
  </sheetData>
  <sheetProtection password="DDCA" sheet="1" objects="1" scenarios="1"/>
  <dataValidations count="6">
    <dataValidation type="decimal" allowBlank="1" showInputMessage="1" showErrorMessage="1" errorTitle="Station Altitude Error" error="Enter station altitude in meters for conversion to feet values of -100.0 to 2000.0 are accepted.  Use of 10 gram balloon at stations above 1800 meters is not recommended. " sqref="B32">
      <formula1>-300</formula1>
      <formula2>2000</formula2>
    </dataValidation>
    <dataValidation type="whole" allowBlank="1" showInputMessage="1" showErrorMessage="1" errorTitle="Altitude entry Error" error=" Please enter a station altitude between - 330 feet and 6500 feet.   Use of pilot balloons at stations above 6000 feet is not recommended." sqref="D4">
      <formula1>-330</formula1>
      <formula2>6500</formula2>
    </dataValidation>
    <dataValidation type="date" allowBlank="1" showErrorMessage="1" errorTitle="Incorrect date entered" error="Please enter a date between 1-01-2005 and -12-30-2020" sqref="D5">
      <formula1>36891</formula1>
      <formula2>42733</formula2>
    </dataValidation>
    <dataValidation type="time" allowBlank="1" showInputMessage="1" showErrorMessage="1" errorTitle="Incorrect time format" error="Please enter a time from 00:00 to 23:59 &#10;" sqref="D6">
      <formula1>0</formula1>
      <formula2>0.9993055555555556</formula2>
    </dataValidation>
    <dataValidation type="decimal" allowBlank="1" showErrorMessage="1" errorTitle="Elevation entry Error" error="Enter a value between 0.0 and 180 degrees.&#10;&#10;Values between 0 and 90 are typical." sqref="C10:C29">
      <formula1>0</formula1>
      <formula2>180</formula2>
    </dataValidation>
    <dataValidation type="decimal" allowBlank="1" showErrorMessage="1" errorTitle="Azimuth Entry Error" error="Please Enter a value for Azimuth in degrees.&#10;Value of 0.0 and 359.9" sqref="B10:B29">
      <formula1>0</formula1>
      <formula2>359.9</formula2>
    </dataValidation>
  </dataValidation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16"/>
  <sheetViews>
    <sheetView tabSelected="1" workbookViewId="0" topLeftCell="A1">
      <selection activeCell="L4" sqref="L4"/>
    </sheetView>
  </sheetViews>
  <sheetFormatPr defaultColWidth="9.00390625" defaultRowHeight="12.75"/>
  <cols>
    <col min="1" max="1" width="13.875" style="0" customWidth="1"/>
  </cols>
  <sheetData>
    <row r="1" ht="21">
      <c r="A1" s="19" t="s">
        <v>30</v>
      </c>
    </row>
    <row r="3" ht="17.25">
      <c r="A3" s="50"/>
    </row>
    <row r="4" ht="18.75">
      <c r="A4" s="47"/>
    </row>
    <row r="5" ht="15.75">
      <c r="A5" s="49"/>
    </row>
    <row r="6" ht="15.75">
      <c r="A6" s="49"/>
    </row>
    <row r="7" ht="15.75">
      <c r="A7" s="48"/>
    </row>
    <row r="8" ht="15.75">
      <c r="A8" s="49"/>
    </row>
    <row r="9" ht="15.75">
      <c r="A9" s="48"/>
    </row>
    <row r="10" ht="15.75">
      <c r="A10" s="49"/>
    </row>
    <row r="11" ht="15.75">
      <c r="A11" s="48"/>
    </row>
    <row r="12" ht="15.75">
      <c r="A12" s="49"/>
    </row>
    <row r="13" ht="15.75">
      <c r="A13" s="48"/>
    </row>
    <row r="14" ht="15.75">
      <c r="A14" s="48"/>
    </row>
    <row r="15" ht="15.75">
      <c r="A15" s="48"/>
    </row>
    <row r="16" ht="15.75">
      <c r="A16" s="48"/>
    </row>
  </sheetData>
  <sheetProtection password="DDCA" sheet="1" objects="1" scenarios="1"/>
  <printOptions/>
  <pageMargins left="0.75" right="0.75" top="1" bottom="1" header="0.5" footer="0.5"/>
  <pageSetup horizontalDpi="300" verticalDpi="300" orientation="portrait" r:id="rId3"/>
  <legacyDrawing r:id="rId2"/>
  <oleObjects>
    <oleObject progId="Document" shapeId="6270228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Pilot Balloon Winds Calculation</dc:title>
  <dc:subject>Pilot Balloon Wind Calculations</dc:subject>
  <dc:creator>Martin Brenner</dc:creator>
  <cp:keywords/>
  <dc:description>2005 by Martin Brenner
California State University, Long Beach
Calculates values based on United States Federal Meteorological Handbook procedures, and ascent rate tables.  These are applicable to the civilian weather services and all branches of the military.  
See also http://www.csulb.edu/~mbrenner</dc:description>
  <cp:lastModifiedBy>Martin Brenner</cp:lastModifiedBy>
  <dcterms:created xsi:type="dcterms:W3CDTF">2003-06-23T06:14:13Z</dcterms:created>
  <dcterms:modified xsi:type="dcterms:W3CDTF">2005-02-03T07:20:49Z</dcterms:modified>
  <cp:category/>
  <cp:version/>
  <cp:contentType/>
  <cp:contentStatus/>
</cp:coreProperties>
</file>